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OB - 2023\Csapat\"/>
    </mc:Choice>
  </mc:AlternateContent>
  <xr:revisionPtr revIDLastSave="0" documentId="8_{BF6A68D8-3D1C-4E5A-BDC4-A5187B78BF5A}" xr6:coauthVersionLast="47" xr6:coauthVersionMax="47" xr10:uidLastSave="{00000000-0000-0000-0000-000000000000}"/>
  <bookViews>
    <workbookView xWindow="-108" yWindow="-108" windowWidth="23256" windowHeight="13176" tabRatio="884" firstSheet="14" activeTab="16"/>
  </bookViews>
  <sheets>
    <sheet name="Altalanos" sheetId="1" r:id="rId1"/>
    <sheet name="Birók" sheetId="2" r:id="rId2"/>
    <sheet name="F12 ELO" sheetId="9" r:id="rId3"/>
    <sheet name="1E3" sheetId="89" r:id="rId4"/>
    <sheet name="1E4" sheetId="88" r:id="rId5"/>
    <sheet name="1E5" sheetId="87" r:id="rId6"/>
    <sheet name="1E6" sheetId="90" r:id="rId7"/>
    <sheet name="F12 csapat" sheetId="86" r:id="rId8"/>
    <sheet name="F14 ELO" sheetId="231" r:id="rId9"/>
    <sheet name="1E3 (2)" sheetId="232" r:id="rId10"/>
    <sheet name="1E4 (2)" sheetId="233" r:id="rId11"/>
    <sheet name="1E5 (2)" sheetId="234" r:id="rId12"/>
    <sheet name="1E6 (2)" sheetId="235" r:id="rId13"/>
    <sheet name="1E7 (2)" sheetId="236" r:id="rId14"/>
    <sheet name="F14 csapat" sheetId="237" r:id="rId15"/>
    <sheet name="F16 ELO" sheetId="279" r:id="rId16"/>
    <sheet name="F 16 csapat" sheetId="284" r:id="rId17"/>
    <sheet name="F18 ELO" sheetId="303" r:id="rId18"/>
    <sheet name="F18 csapat" sheetId="308" r:id="rId19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'F12 ELO'!$1:$6</definedName>
    <definedName name="_xlnm.Print_Titles" localSheetId="8">'F14 ELO'!$1:$6</definedName>
    <definedName name="_xlnm.Print_Titles" localSheetId="15">'F16 ELO'!$1:$6</definedName>
    <definedName name="_xlnm.Print_Titles" localSheetId="17">'F18 ELO'!$1:$6</definedName>
    <definedName name="_xlnm.Print_Area" localSheetId="3">'1E3'!$A$1:$M$41</definedName>
    <definedName name="_xlnm.Print_Area" localSheetId="9">'1E3 (2)'!$A$1:$M$41</definedName>
    <definedName name="_xlnm.Print_Area" localSheetId="4">'1E4'!$A$1:$M$41</definedName>
    <definedName name="_xlnm.Print_Area" localSheetId="10">'1E4 (2)'!$A$1:$M$41</definedName>
    <definedName name="_xlnm.Print_Area" localSheetId="5">'1E5'!$A$1:$M$41</definedName>
    <definedName name="_xlnm.Print_Area" localSheetId="11">'1E5 (2)'!$A$1:$M$41</definedName>
    <definedName name="_xlnm.Print_Area" localSheetId="6">'1E6'!$A$1:$M$47</definedName>
    <definedName name="_xlnm.Print_Area" localSheetId="12">'1E6 (2)'!$A$1:$M$47</definedName>
    <definedName name="_xlnm.Print_Area" localSheetId="13">'1E7 (2)'!$A$1:$M$49</definedName>
    <definedName name="_xlnm.Print_Area" localSheetId="1">Birók!$A$1:$N$29</definedName>
    <definedName name="_xlnm.Print_Area" localSheetId="16">'F 16 csapat'!$A$1:$M$49</definedName>
    <definedName name="_xlnm.Print_Area" localSheetId="7">'F12 csapat'!$A$1:$M$49</definedName>
    <definedName name="_xlnm.Print_Area" localSheetId="2">'F12 ELO'!$A$1:$Q$134</definedName>
    <definedName name="_xlnm.Print_Area" localSheetId="14">'F14 csapat'!$A$1:$M$52</definedName>
    <definedName name="_xlnm.Print_Area" localSheetId="8">'F14 ELO'!$A$1:$Q$134</definedName>
    <definedName name="_xlnm.Print_Area" localSheetId="15">'F16 ELO'!$A$1:$Q$134</definedName>
    <definedName name="_xlnm.Print_Area" localSheetId="18">'F18 csapat'!$A$1:$M$49</definedName>
    <definedName name="_xlnm.Print_Area" localSheetId="17">'F18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08" l="1"/>
  <c r="C2" i="303"/>
  <c r="R44" i="308"/>
  <c r="E43" i="308"/>
  <c r="E42" i="308"/>
  <c r="I19" i="308"/>
  <c r="G19" i="308"/>
  <c r="E19" i="308"/>
  <c r="B31" i="308" s="1"/>
  <c r="D19" i="308"/>
  <c r="C19" i="308"/>
  <c r="I17" i="308"/>
  <c r="G17" i="308"/>
  <c r="E17" i="308"/>
  <c r="B30" i="308"/>
  <c r="F38" i="308" s="1"/>
  <c r="D17" i="308"/>
  <c r="C17" i="308"/>
  <c r="I15" i="308"/>
  <c r="G15" i="308"/>
  <c r="E15" i="308"/>
  <c r="B29" i="308" s="1"/>
  <c r="F34" i="308" s="1"/>
  <c r="D15" i="308"/>
  <c r="C15" i="308"/>
  <c r="I13" i="308"/>
  <c r="G13" i="308"/>
  <c r="E13" i="308"/>
  <c r="B28" i="308" s="1"/>
  <c r="F36" i="308" s="1"/>
  <c r="D13" i="308"/>
  <c r="C13" i="308"/>
  <c r="I11" i="308"/>
  <c r="G11" i="308"/>
  <c r="E11" i="308"/>
  <c r="B25" i="308" s="1"/>
  <c r="C38" i="308" s="1"/>
  <c r="D11" i="308"/>
  <c r="C11" i="308"/>
  <c r="I9" i="308"/>
  <c r="G9" i="308"/>
  <c r="E9" i="308"/>
  <c r="B24" i="308" s="1"/>
  <c r="C36" i="308" s="1"/>
  <c r="D9" i="308"/>
  <c r="C9" i="308"/>
  <c r="I7" i="308"/>
  <c r="G7" i="308"/>
  <c r="E7" i="308"/>
  <c r="B23" i="308" s="1"/>
  <c r="C34" i="308" s="1"/>
  <c r="D7" i="308"/>
  <c r="C7" i="308"/>
  <c r="Y5" i="308"/>
  <c r="AJ1" i="308" s="1"/>
  <c r="L4" i="308"/>
  <c r="K49" i="308" s="1"/>
  <c r="E4" i="308"/>
  <c r="A4" i="308"/>
  <c r="Y3" i="308"/>
  <c r="A1" i="308"/>
  <c r="P156" i="303"/>
  <c r="M156" i="303" s="1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 s="1"/>
  <c r="L152" i="303"/>
  <c r="K152" i="303"/>
  <c r="J152" i="303"/>
  <c r="P151" i="303"/>
  <c r="M151" i="303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 s="1"/>
  <c r="L144" i="303"/>
  <c r="K144" i="303"/>
  <c r="J144" i="303"/>
  <c r="P143" i="303"/>
  <c r="M143" i="303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 s="1"/>
  <c r="L136" i="303"/>
  <c r="K136" i="303"/>
  <c r="J136" i="303"/>
  <c r="P135" i="303"/>
  <c r="M135" i="303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 s="1"/>
  <c r="L120" i="303"/>
  <c r="K120" i="303"/>
  <c r="J120" i="303"/>
  <c r="P119" i="303"/>
  <c r="M119" i="303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 s="1"/>
  <c r="L104" i="303"/>
  <c r="K104" i="303"/>
  <c r="J104" i="303"/>
  <c r="P103" i="303"/>
  <c r="M103" i="303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 s="1"/>
  <c r="L88" i="303"/>
  <c r="K88" i="303"/>
  <c r="J88" i="303"/>
  <c r="P87" i="303"/>
  <c r="M87" i="303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 s="1"/>
  <c r="L56" i="303"/>
  <c r="K56" i="303"/>
  <c r="J56" i="303"/>
  <c r="P55" i="303"/>
  <c r="M55" i="303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 s="1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4"/>
  <c r="C2" i="279"/>
  <c r="R44" i="284"/>
  <c r="E42" i="284" s="1"/>
  <c r="I19" i="284"/>
  <c r="G19" i="284"/>
  <c r="E19" i="284"/>
  <c r="B31" i="284" s="1"/>
  <c r="F38" i="284" s="1"/>
  <c r="D19" i="284"/>
  <c r="C19" i="284"/>
  <c r="I17" i="284"/>
  <c r="G17" i="284"/>
  <c r="E17" i="284"/>
  <c r="B30" i="284"/>
  <c r="D17" i="284"/>
  <c r="C17" i="284"/>
  <c r="I15" i="284"/>
  <c r="G15" i="284"/>
  <c r="E15" i="284"/>
  <c r="B29" i="284"/>
  <c r="F36" i="284"/>
  <c r="D15" i="284"/>
  <c r="C15" i="284"/>
  <c r="I13" i="284"/>
  <c r="G13" i="284"/>
  <c r="E13" i="284"/>
  <c r="B28" i="284" s="1"/>
  <c r="F34" i="284" s="1"/>
  <c r="D13" i="284"/>
  <c r="C13" i="284"/>
  <c r="I11" i="284"/>
  <c r="G11" i="284"/>
  <c r="E11" i="284"/>
  <c r="B25" i="284"/>
  <c r="C38" i="284" s="1"/>
  <c r="D11" i="284"/>
  <c r="C11" i="284"/>
  <c r="I9" i="284"/>
  <c r="G9" i="284"/>
  <c r="E9" i="284"/>
  <c r="B24" i="284"/>
  <c r="C36" i="284"/>
  <c r="D9" i="284"/>
  <c r="C9" i="284"/>
  <c r="I7" i="284"/>
  <c r="G7" i="284"/>
  <c r="E7" i="284"/>
  <c r="B23" i="284"/>
  <c r="C34" i="284"/>
  <c r="D7" i="284"/>
  <c r="C7" i="284"/>
  <c r="Y5" i="284"/>
  <c r="L4" i="284"/>
  <c r="K49" i="284" s="1"/>
  <c r="E4" i="284"/>
  <c r="A4" i="284"/>
  <c r="Y3" i="284"/>
  <c r="AF1" i="284" s="1"/>
  <c r="A1" i="284"/>
  <c r="P156" i="279"/>
  <c r="M156" i="279" s="1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 s="1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7"/>
  <c r="E2" i="236"/>
  <c r="E2" i="235"/>
  <c r="E2" i="234"/>
  <c r="E2" i="233"/>
  <c r="E2" i="232"/>
  <c r="C2" i="231"/>
  <c r="R47" i="237"/>
  <c r="E46" i="237"/>
  <c r="E47" i="237"/>
  <c r="L21" i="237"/>
  <c r="I21" i="237"/>
  <c r="G21" i="237"/>
  <c r="E21" i="237"/>
  <c r="D21" i="237"/>
  <c r="C21" i="237"/>
  <c r="L19" i="237"/>
  <c r="I19" i="237"/>
  <c r="G19" i="237"/>
  <c r="E19" i="237"/>
  <c r="H30" i="237"/>
  <c r="D19" i="237"/>
  <c r="C19" i="237"/>
  <c r="L17" i="237"/>
  <c r="I17" i="237"/>
  <c r="G17" i="237"/>
  <c r="E17" i="237"/>
  <c r="D17" i="237"/>
  <c r="C17" i="237"/>
  <c r="L15" i="237"/>
  <c r="I15" i="237"/>
  <c r="G15" i="237"/>
  <c r="E15" i="237"/>
  <c r="B31" i="237" s="1"/>
  <c r="D15" i="237"/>
  <c r="C15" i="237"/>
  <c r="L13" i="237"/>
  <c r="I13" i="237"/>
  <c r="G13" i="237"/>
  <c r="E13" i="237"/>
  <c r="B28" i="237"/>
  <c r="C37" i="237"/>
  <c r="D13" i="237"/>
  <c r="C13" i="237"/>
  <c r="L11" i="237"/>
  <c r="I11" i="237"/>
  <c r="G11" i="237"/>
  <c r="E11" i="237"/>
  <c r="B27" i="237"/>
  <c r="C39" i="237"/>
  <c r="D11" i="237"/>
  <c r="C11" i="237"/>
  <c r="L9" i="237"/>
  <c r="I9" i="237"/>
  <c r="G9" i="237"/>
  <c r="E9" i="237"/>
  <c r="B26" i="237"/>
  <c r="C41" i="237"/>
  <c r="D9" i="237"/>
  <c r="C9" i="237"/>
  <c r="L7" i="237"/>
  <c r="I7" i="237"/>
  <c r="G7" i="237"/>
  <c r="E7" i="237"/>
  <c r="B25" i="237"/>
  <c r="C43" i="237"/>
  <c r="D7" i="237"/>
  <c r="C7" i="237"/>
  <c r="Y5" i="237"/>
  <c r="AK1" i="237" s="1"/>
  <c r="L4" i="237"/>
  <c r="K53" i="237"/>
  <c r="E4" i="237"/>
  <c r="A4" i="237"/>
  <c r="Y3" i="237"/>
  <c r="A1" i="237"/>
  <c r="R44" i="236"/>
  <c r="E43" i="236"/>
  <c r="L19" i="236"/>
  <c r="I19" i="236"/>
  <c r="G19" i="236"/>
  <c r="E19" i="236"/>
  <c r="B31" i="236" s="1"/>
  <c r="D19" i="236"/>
  <c r="C19" i="236"/>
  <c r="L17" i="236"/>
  <c r="I17" i="236"/>
  <c r="G17" i="236"/>
  <c r="E17" i="236"/>
  <c r="H27" i="236"/>
  <c r="F38" i="236"/>
  <c r="D17" i="236"/>
  <c r="C17" i="236"/>
  <c r="L15" i="236"/>
  <c r="I15" i="236"/>
  <c r="G15" i="236"/>
  <c r="E15" i="236"/>
  <c r="B29" i="236"/>
  <c r="F36" i="236"/>
  <c r="D15" i="236"/>
  <c r="C15" i="236"/>
  <c r="L13" i="236"/>
  <c r="I13" i="236"/>
  <c r="G13" i="236"/>
  <c r="E13" i="236"/>
  <c r="B28" i="236"/>
  <c r="F34" i="236"/>
  <c r="D13" i="236"/>
  <c r="C13" i="236"/>
  <c r="L11" i="236"/>
  <c r="I11" i="236"/>
  <c r="G11" i="236"/>
  <c r="E11" i="236"/>
  <c r="H22" i="236"/>
  <c r="C38" i="236"/>
  <c r="D11" i="236"/>
  <c r="C11" i="236"/>
  <c r="L9" i="236"/>
  <c r="I9" i="236"/>
  <c r="G9" i="236"/>
  <c r="E9" i="236"/>
  <c r="F22" i="236"/>
  <c r="C36" i="236"/>
  <c r="D9" i="236"/>
  <c r="C9" i="236"/>
  <c r="L7" i="236"/>
  <c r="I7" i="236"/>
  <c r="G7" i="236"/>
  <c r="E7" i="236"/>
  <c r="B23" i="236"/>
  <c r="C34" i="236"/>
  <c r="D7" i="236"/>
  <c r="C7" i="236"/>
  <c r="Y5" i="236"/>
  <c r="L4" i="236"/>
  <c r="K49" i="236" s="1"/>
  <c r="E4" i="236"/>
  <c r="A4" i="236"/>
  <c r="Y3" i="236"/>
  <c r="A1" i="236"/>
  <c r="R47" i="235"/>
  <c r="E41" i="235" s="1"/>
  <c r="L17" i="235"/>
  <c r="I17" i="235"/>
  <c r="G17" i="235"/>
  <c r="E17" i="235"/>
  <c r="B30" i="235"/>
  <c r="F34" i="235"/>
  <c r="D17" i="235"/>
  <c r="C17" i="235"/>
  <c r="L15" i="235"/>
  <c r="I15" i="235"/>
  <c r="G15" i="235"/>
  <c r="E15" i="235"/>
  <c r="F27" i="235"/>
  <c r="F36" i="235"/>
  <c r="D15" i="235"/>
  <c r="C15" i="235"/>
  <c r="L13" i="235"/>
  <c r="I13" i="235"/>
  <c r="G13" i="235"/>
  <c r="E13" i="235"/>
  <c r="D27" i="235"/>
  <c r="F32" i="235"/>
  <c r="D13" i="235"/>
  <c r="C13" i="235"/>
  <c r="L11" i="235"/>
  <c r="I11" i="235"/>
  <c r="G11" i="235"/>
  <c r="E11" i="235"/>
  <c r="B25" i="235"/>
  <c r="C36" i="235"/>
  <c r="D11" i="235"/>
  <c r="C11" i="235"/>
  <c r="L9" i="235"/>
  <c r="I9" i="235"/>
  <c r="G9" i="235"/>
  <c r="E9" i="235"/>
  <c r="B24" i="235"/>
  <c r="C34" i="235"/>
  <c r="D9" i="235"/>
  <c r="C9" i="235"/>
  <c r="L7" i="235"/>
  <c r="I7" i="235"/>
  <c r="G7" i="235"/>
  <c r="E7" i="235"/>
  <c r="D22" i="235"/>
  <c r="C32" i="235"/>
  <c r="D7" i="235"/>
  <c r="C7" i="235"/>
  <c r="Y5" i="235"/>
  <c r="L4" i="235"/>
  <c r="K47" i="235" s="1"/>
  <c r="E4" i="235"/>
  <c r="A4" i="235"/>
  <c r="Y3" i="235"/>
  <c r="A1" i="235"/>
  <c r="L15" i="234"/>
  <c r="I15" i="234"/>
  <c r="G15" i="234"/>
  <c r="E15" i="234"/>
  <c r="B23" i="234"/>
  <c r="D15" i="234"/>
  <c r="C15" i="234"/>
  <c r="L13" i="234"/>
  <c r="I13" i="234"/>
  <c r="G13" i="234"/>
  <c r="E13" i="234"/>
  <c r="B22" i="234" s="1"/>
  <c r="D13" i="234"/>
  <c r="C13" i="234"/>
  <c r="L11" i="234"/>
  <c r="I11" i="234"/>
  <c r="G11" i="234"/>
  <c r="E11" i="234"/>
  <c r="B21" i="234"/>
  <c r="D11" i="234"/>
  <c r="C11" i="234"/>
  <c r="L9" i="234"/>
  <c r="I9" i="234"/>
  <c r="G9" i="234"/>
  <c r="E9" i="234"/>
  <c r="B20" i="234" s="1"/>
  <c r="D9" i="234"/>
  <c r="C9" i="234"/>
  <c r="L7" i="234"/>
  <c r="I7" i="234"/>
  <c r="G7" i="234"/>
  <c r="E7" i="234"/>
  <c r="B19" i="234"/>
  <c r="D7" i="234"/>
  <c r="C7" i="234"/>
  <c r="Y5" i="234"/>
  <c r="L4" i="234"/>
  <c r="K41" i="234" s="1"/>
  <c r="E4" i="234"/>
  <c r="A4" i="234"/>
  <c r="Y3" i="234"/>
  <c r="A1" i="234"/>
  <c r="L13" i="233"/>
  <c r="I13" i="233"/>
  <c r="G13" i="233"/>
  <c r="E13" i="233"/>
  <c r="B22" i="233"/>
  <c r="D13" i="233"/>
  <c r="C13" i="233"/>
  <c r="L11" i="233"/>
  <c r="I11" i="233"/>
  <c r="G11" i="233"/>
  <c r="E11" i="233"/>
  <c r="B21" i="233"/>
  <c r="D11" i="233"/>
  <c r="C11" i="233"/>
  <c r="L9" i="233"/>
  <c r="I9" i="233"/>
  <c r="G9" i="233"/>
  <c r="E9" i="233"/>
  <c r="F18" i="233"/>
  <c r="D9" i="233"/>
  <c r="C9" i="233"/>
  <c r="L7" i="233"/>
  <c r="I7" i="233"/>
  <c r="G7" i="233"/>
  <c r="E7" i="233"/>
  <c r="B19" i="233" s="1"/>
  <c r="D7" i="233"/>
  <c r="C7" i="233"/>
  <c r="Y5" i="233"/>
  <c r="M4" i="233"/>
  <c r="K41" i="233" s="1"/>
  <c r="E4" i="233"/>
  <c r="A4" i="233"/>
  <c r="Y3" i="233"/>
  <c r="A1" i="233"/>
  <c r="L11" i="232"/>
  <c r="I11" i="232"/>
  <c r="G11" i="232"/>
  <c r="E11" i="232"/>
  <c r="B21" i="232"/>
  <c r="D11" i="232"/>
  <c r="C11" i="232"/>
  <c r="L9" i="232"/>
  <c r="I9" i="232"/>
  <c r="G9" i="232"/>
  <c r="E9" i="232"/>
  <c r="B20" i="232" s="1"/>
  <c r="D9" i="232"/>
  <c r="C9" i="232"/>
  <c r="L7" i="232"/>
  <c r="I7" i="232"/>
  <c r="G7" i="232"/>
  <c r="E7" i="232"/>
  <c r="D18" i="232"/>
  <c r="D7" i="232"/>
  <c r="C7" i="232"/>
  <c r="Y5" i="232"/>
  <c r="L4" i="232"/>
  <c r="K41" i="232" s="1"/>
  <c r="E4" i="232"/>
  <c r="A4" i="232"/>
  <c r="Y3" i="232"/>
  <c r="A1" i="232"/>
  <c r="P156" i="231"/>
  <c r="M156" i="231" s="1"/>
  <c r="L156" i="231"/>
  <c r="K156" i="231"/>
  <c r="J156" i="231"/>
  <c r="P155" i="231"/>
  <c r="M155" i="23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/>
  <c r="L151" i="231"/>
  <c r="K151" i="231"/>
  <c r="J151" i="231"/>
  <c r="P150" i="231"/>
  <c r="M150" i="231"/>
  <c r="L150" i="231"/>
  <c r="K150" i="231"/>
  <c r="J150" i="231"/>
  <c r="P149" i="231"/>
  <c r="M149" i="231"/>
  <c r="L149" i="231"/>
  <c r="K149" i="231"/>
  <c r="J149" i="231"/>
  <c r="P148" i="231"/>
  <c r="M148" i="231" s="1"/>
  <c r="L148" i="231"/>
  <c r="K148" i="231"/>
  <c r="J148" i="231"/>
  <c r="P147" i="231"/>
  <c r="M147" i="231"/>
  <c r="L147" i="231"/>
  <c r="K147" i="231"/>
  <c r="J147" i="231"/>
  <c r="P146" i="231"/>
  <c r="M146" i="231"/>
  <c r="L146" i="231"/>
  <c r="K146" i="231"/>
  <c r="J146" i="231"/>
  <c r="P145" i="231"/>
  <c r="M145" i="231"/>
  <c r="L145" i="231"/>
  <c r="K145" i="231"/>
  <c r="J145" i="231"/>
  <c r="P144" i="231"/>
  <c r="M144" i="231" s="1"/>
  <c r="L144" i="231"/>
  <c r="K144" i="231"/>
  <c r="J144" i="231"/>
  <c r="P143" i="231"/>
  <c r="M143" i="231"/>
  <c r="L143" i="231"/>
  <c r="K143" i="231"/>
  <c r="J143" i="231"/>
  <c r="P142" i="231"/>
  <c r="M142" i="231" s="1"/>
  <c r="L142" i="231"/>
  <c r="K142" i="231"/>
  <c r="J142" i="231"/>
  <c r="P141" i="231"/>
  <c r="M141" i="231"/>
  <c r="L141" i="231"/>
  <c r="K141" i="231"/>
  <c r="J141" i="231"/>
  <c r="P140" i="231"/>
  <c r="M140" i="231"/>
  <c r="L140" i="231"/>
  <c r="K140" i="231"/>
  <c r="J140" i="231"/>
  <c r="P139" i="231"/>
  <c r="M139" i="231"/>
  <c r="L139" i="231"/>
  <c r="K139" i="231"/>
  <c r="J139" i="231"/>
  <c r="P138" i="231"/>
  <c r="M138" i="231" s="1"/>
  <c r="L138" i="231"/>
  <c r="K138" i="231"/>
  <c r="J138" i="231"/>
  <c r="P137" i="231"/>
  <c r="M137" i="231"/>
  <c r="L137" i="231"/>
  <c r="K137" i="231"/>
  <c r="J137" i="231"/>
  <c r="P136" i="231"/>
  <c r="M136" i="23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/>
  <c r="L61" i="231"/>
  <c r="K61" i="231"/>
  <c r="J61" i="231"/>
  <c r="P60" i="231"/>
  <c r="M60" i="23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/>
  <c r="L48" i="231"/>
  <c r="K48" i="231"/>
  <c r="J48" i="231"/>
  <c r="P47" i="231"/>
  <c r="M47" i="23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/>
  <c r="L44" i="231"/>
  <c r="K44" i="231"/>
  <c r="J44" i="231"/>
  <c r="P43" i="231"/>
  <c r="M43" i="23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P24" i="2"/>
  <c r="P25" i="2"/>
  <c r="P26" i="2"/>
  <c r="P27" i="2"/>
  <c r="P28" i="2"/>
  <c r="P29" i="2"/>
  <c r="L11" i="89"/>
  <c r="L9" i="89"/>
  <c r="L7" i="89"/>
  <c r="L13" i="88"/>
  <c r="L11" i="88"/>
  <c r="L9" i="88"/>
  <c r="L7" i="88"/>
  <c r="L15" i="87"/>
  <c r="L13" i="87"/>
  <c r="L11" i="87"/>
  <c r="L9" i="87"/>
  <c r="L7" i="87"/>
  <c r="L17" i="90"/>
  <c r="L15" i="90"/>
  <c r="L13" i="90"/>
  <c r="L11" i="90"/>
  <c r="L9" i="90"/>
  <c r="L7" i="90"/>
  <c r="Y5" i="89"/>
  <c r="AG1" i="89" s="1"/>
  <c r="Y3" i="89"/>
  <c r="Y5" i="88"/>
  <c r="AI1" i="88" s="1"/>
  <c r="Y3" i="88"/>
  <c r="AE1" i="88"/>
  <c r="Y5" i="87"/>
  <c r="AI1" i="87" s="1"/>
  <c r="Y3" i="87"/>
  <c r="AJ1" i="87"/>
  <c r="AE1" i="87"/>
  <c r="Y5" i="90"/>
  <c r="AJ1" i="90" s="1"/>
  <c r="Y3" i="90"/>
  <c r="AI1" i="90" s="1"/>
  <c r="Y3" i="86"/>
  <c r="Y5" i="86"/>
  <c r="AH1" i="86" s="1"/>
  <c r="L19" i="86"/>
  <c r="L17" i="86"/>
  <c r="L15" i="86"/>
  <c r="L13" i="86"/>
  <c r="L11" i="86"/>
  <c r="L9" i="86"/>
  <c r="L7" i="86"/>
  <c r="R44" i="86"/>
  <c r="R47" i="90"/>
  <c r="E40" i="90" s="1"/>
  <c r="I19" i="86"/>
  <c r="G19" i="86"/>
  <c r="E19" i="86"/>
  <c r="J27" i="86" s="1"/>
  <c r="D19" i="86"/>
  <c r="C19" i="86"/>
  <c r="E15" i="86"/>
  <c r="B29" i="86" s="1"/>
  <c r="E13" i="86"/>
  <c r="B28" i="86" s="1"/>
  <c r="E17" i="86"/>
  <c r="H27" i="86" s="1"/>
  <c r="F38" i="86"/>
  <c r="F36" i="86"/>
  <c r="F34" i="86"/>
  <c r="L4" i="86"/>
  <c r="K49" i="86"/>
  <c r="E11" i="86"/>
  <c r="B25" i="86" s="1"/>
  <c r="C38" i="86"/>
  <c r="E9" i="86"/>
  <c r="B24" i="86" s="1"/>
  <c r="C36" i="86"/>
  <c r="E7" i="86"/>
  <c r="B23" i="86"/>
  <c r="C34" i="86"/>
  <c r="I17" i="86"/>
  <c r="G17" i="86"/>
  <c r="D17" i="86"/>
  <c r="C17" i="86"/>
  <c r="I15" i="86"/>
  <c r="G15" i="86"/>
  <c r="D15" i="86"/>
  <c r="C15" i="86"/>
  <c r="I13" i="86"/>
  <c r="G13" i="86"/>
  <c r="D13" i="86"/>
  <c r="C13" i="86"/>
  <c r="I11" i="86"/>
  <c r="G11" i="86"/>
  <c r="D11" i="86"/>
  <c r="C11" i="86"/>
  <c r="I9" i="86"/>
  <c r="G9" i="86"/>
  <c r="D9" i="86"/>
  <c r="C9" i="86"/>
  <c r="I7" i="86"/>
  <c r="G7" i="86"/>
  <c r="D7" i="86"/>
  <c r="C7" i="86"/>
  <c r="E4" i="86"/>
  <c r="A4" i="86"/>
  <c r="E2" i="86"/>
  <c r="A1" i="86"/>
  <c r="E17" i="90"/>
  <c r="H27" i="90" s="1"/>
  <c r="E15" i="90"/>
  <c r="B29" i="90" s="1"/>
  <c r="E13" i="90"/>
  <c r="D27" i="90" s="1"/>
  <c r="F34" i="90"/>
  <c r="F36" i="90"/>
  <c r="F32" i="90"/>
  <c r="I17" i="90"/>
  <c r="G17" i="90"/>
  <c r="D17" i="90"/>
  <c r="C17" i="90"/>
  <c r="I15" i="90"/>
  <c r="G15" i="90"/>
  <c r="D15" i="90"/>
  <c r="C15" i="90"/>
  <c r="I13" i="90"/>
  <c r="G13" i="90"/>
  <c r="D13" i="90"/>
  <c r="C13" i="90"/>
  <c r="L4" i="90"/>
  <c r="K47" i="90"/>
  <c r="E11" i="90"/>
  <c r="B25" i="90" s="1"/>
  <c r="C36" i="90"/>
  <c r="E9" i="90"/>
  <c r="B24" i="90" s="1"/>
  <c r="C34" i="90"/>
  <c r="E7" i="90"/>
  <c r="D22" i="90"/>
  <c r="C32" i="90"/>
  <c r="I11" i="90"/>
  <c r="G11" i="90"/>
  <c r="D11" i="90"/>
  <c r="C11" i="90"/>
  <c r="I9" i="90"/>
  <c r="G9" i="90"/>
  <c r="D9" i="90"/>
  <c r="C9" i="90"/>
  <c r="I7" i="90"/>
  <c r="G7" i="90"/>
  <c r="D7" i="90"/>
  <c r="C7" i="90"/>
  <c r="E4" i="90"/>
  <c r="A4" i="90"/>
  <c r="E2" i="90"/>
  <c r="A1" i="90"/>
  <c r="E15" i="87"/>
  <c r="B23" i="87" s="1"/>
  <c r="I15" i="87"/>
  <c r="G15" i="87"/>
  <c r="D15" i="87"/>
  <c r="C15" i="87"/>
  <c r="L4" i="87"/>
  <c r="K41" i="87" s="1"/>
  <c r="E13" i="87"/>
  <c r="B22" i="87" s="1"/>
  <c r="E11" i="87"/>
  <c r="B21" i="87" s="1"/>
  <c r="E9" i="87"/>
  <c r="F18" i="87" s="1"/>
  <c r="E7" i="87"/>
  <c r="D18" i="87" s="1"/>
  <c r="I13" i="87"/>
  <c r="G13" i="87"/>
  <c r="D13" i="87"/>
  <c r="C13" i="87"/>
  <c r="I11" i="87"/>
  <c r="G11" i="87"/>
  <c r="D11" i="87"/>
  <c r="C11" i="87"/>
  <c r="I9" i="87"/>
  <c r="G9" i="87"/>
  <c r="D9" i="87"/>
  <c r="C9" i="87"/>
  <c r="I7" i="87"/>
  <c r="G7" i="87"/>
  <c r="D7" i="87"/>
  <c r="C7" i="87"/>
  <c r="E4" i="87"/>
  <c r="A4" i="87"/>
  <c r="E2" i="87"/>
  <c r="A1" i="87"/>
  <c r="E13" i="88"/>
  <c r="B22" i="88" s="1"/>
  <c r="I13" i="88"/>
  <c r="G13" i="88"/>
  <c r="D13" i="88"/>
  <c r="C13" i="88"/>
  <c r="M4" i="88"/>
  <c r="K41" i="88" s="1"/>
  <c r="E11" i="88"/>
  <c r="B21" i="88" s="1"/>
  <c r="E9" i="88"/>
  <c r="B20" i="88" s="1"/>
  <c r="E7" i="88"/>
  <c r="B19" i="88" s="1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L4" i="89"/>
  <c r="K41" i="89" s="1"/>
  <c r="E4" i="89"/>
  <c r="I11" i="89"/>
  <c r="G11" i="89"/>
  <c r="E11" i="89"/>
  <c r="H18" i="89"/>
  <c r="D11" i="89"/>
  <c r="C11" i="89"/>
  <c r="I9" i="89"/>
  <c r="G9" i="89"/>
  <c r="E9" i="89"/>
  <c r="B20" i="89"/>
  <c r="D9" i="89"/>
  <c r="C9" i="89"/>
  <c r="I7" i="89"/>
  <c r="G7" i="89"/>
  <c r="E7" i="89"/>
  <c r="B19" i="89"/>
  <c r="D7" i="89"/>
  <c r="C7" i="89"/>
  <c r="A4" i="89"/>
  <c r="E2" i="89"/>
  <c r="A1" i="89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F37" i="237"/>
  <c r="B32" i="237"/>
  <c r="F39" i="237"/>
  <c r="F30" i="237"/>
  <c r="F41" i="237"/>
  <c r="B34" i="237"/>
  <c r="F43" i="237"/>
  <c r="J30" i="237"/>
  <c r="J18" i="233"/>
  <c r="J18" i="234"/>
  <c r="H22" i="235"/>
  <c r="D22" i="236"/>
  <c r="F27" i="236"/>
  <c r="J24" i="237"/>
  <c r="F22" i="308"/>
  <c r="D27" i="308"/>
  <c r="H22" i="284"/>
  <c r="D27" i="284"/>
  <c r="J27" i="284"/>
  <c r="E43" i="86"/>
  <c r="E42" i="86"/>
  <c r="AD1" i="89"/>
  <c r="AF1" i="88"/>
  <c r="AI1" i="89"/>
  <c r="E41" i="90"/>
  <c r="AH1" i="87"/>
  <c r="AD1" i="87"/>
  <c r="AK1" i="87"/>
  <c r="AG1" i="87"/>
  <c r="AC1" i="87"/>
  <c r="AG1" i="86"/>
  <c r="AD1" i="86"/>
  <c r="AF1" i="86"/>
  <c r="AJ1" i="86"/>
  <c r="AH1" i="88"/>
  <c r="AD1" i="88"/>
  <c r="AK1" i="88"/>
  <c r="AG1" i="88"/>
  <c r="AC1" i="88"/>
  <c r="AE1" i="86"/>
  <c r="AB1" i="86"/>
  <c r="AH1" i="90"/>
  <c r="AD1" i="90"/>
  <c r="AK1" i="90"/>
  <c r="AG1" i="90"/>
  <c r="AC1" i="90"/>
  <c r="AB1" i="88"/>
  <c r="AJ1" i="88"/>
  <c r="AI1" i="86"/>
  <c r="AJ1" i="232"/>
  <c r="AF1" i="232"/>
  <c r="AB1" i="232"/>
  <c r="AH1" i="232"/>
  <c r="AD1" i="232"/>
  <c r="AK1" i="234"/>
  <c r="AG1" i="234"/>
  <c r="AC1" i="234"/>
  <c r="AI1" i="234"/>
  <c r="AE1" i="234"/>
  <c r="AK1" i="235"/>
  <c r="AG1" i="235"/>
  <c r="AC1" i="235"/>
  <c r="AI1" i="235"/>
  <c r="AE1" i="235"/>
  <c r="AI1" i="232"/>
  <c r="AF1" i="234"/>
  <c r="AF1" i="235"/>
  <c r="AB1" i="308"/>
  <c r="AC1" i="308"/>
  <c r="AC1" i="232"/>
  <c r="AK1" i="232"/>
  <c r="AH1" i="234"/>
  <c r="AH1" i="235"/>
  <c r="AH1" i="237"/>
  <c r="AD1" i="237"/>
  <c r="AJ1" i="237"/>
  <c r="AF1" i="237"/>
  <c r="AB1" i="237"/>
  <c r="AE1" i="232"/>
  <c r="AD1" i="233"/>
  <c r="AB1" i="234"/>
  <c r="AJ1" i="234"/>
  <c r="AB1" i="235"/>
  <c r="AJ1" i="235"/>
  <c r="E40" i="235"/>
  <c r="AI1" i="236"/>
  <c r="AI1" i="237"/>
  <c r="AH1" i="284"/>
  <c r="AD1" i="284"/>
  <c r="AB1" i="90"/>
  <c r="AF1" i="90"/>
  <c r="AE1" i="90"/>
  <c r="AF1" i="87"/>
  <c r="AG1" i="233"/>
  <c r="AB1" i="87"/>
  <c r="AG1" i="232"/>
  <c r="AD1" i="234"/>
  <c r="E42" i="236"/>
  <c r="AG1" i="237"/>
  <c r="AE1" i="284"/>
  <c r="E43" i="284"/>
  <c r="AC1" i="237"/>
  <c r="AC1" i="284"/>
  <c r="F27" i="308"/>
  <c r="H22" i="308"/>
  <c r="D22" i="308"/>
  <c r="H27" i="308"/>
  <c r="F27" i="284"/>
  <c r="H18" i="232"/>
  <c r="D18" i="234"/>
  <c r="D27" i="236"/>
  <c r="B28" i="235"/>
  <c r="B24" i="236"/>
  <c r="B25" i="236"/>
  <c r="B30" i="236"/>
  <c r="H18" i="234"/>
  <c r="H18" i="233"/>
  <c r="F18" i="234"/>
  <c r="F18" i="232"/>
  <c r="J27" i="236"/>
  <c r="D18" i="233"/>
  <c r="H22" i="90"/>
  <c r="J18" i="88"/>
  <c r="L18" i="87"/>
  <c r="B31" i="86"/>
  <c r="H22" i="86"/>
  <c r="B20" i="87"/>
  <c r="B19" i="87"/>
  <c r="F27" i="90"/>
  <c r="F18" i="88"/>
  <c r="D18" i="89"/>
  <c r="B28" i="90"/>
  <c r="B30" i="90"/>
  <c r="F22" i="90"/>
  <c r="F27" i="86"/>
  <c r="B21" i="89"/>
  <c r="D18" i="88"/>
  <c r="J18" i="87"/>
  <c r="H18" i="87"/>
  <c r="B30" i="86"/>
  <c r="F22" i="86"/>
  <c r="H18" i="88"/>
  <c r="D27" i="86"/>
  <c r="AH1" i="236"/>
  <c r="AE1" i="236"/>
  <c r="AK1" i="236"/>
  <c r="AJ1" i="233"/>
  <c r="AH1" i="308"/>
  <c r="AI1" i="308"/>
  <c r="AE1" i="89"/>
  <c r="AB1" i="89"/>
  <c r="AK1" i="89"/>
  <c r="AI1" i="233"/>
  <c r="AD1" i="236"/>
  <c r="AJ1" i="236"/>
  <c r="AB1" i="284"/>
  <c r="AI1" i="284"/>
  <c r="AK1" i="308"/>
  <c r="AE1" i="233"/>
  <c r="AC1" i="236"/>
  <c r="AB1" i="233"/>
  <c r="AH1" i="233"/>
  <c r="AG1" i="308"/>
  <c r="AF1" i="308"/>
  <c r="AC1" i="233"/>
  <c r="AF1" i="89"/>
  <c r="AC1" i="89"/>
  <c r="AH1" i="89"/>
  <c r="AF1" i="236"/>
  <c r="AG1" i="284"/>
  <c r="AE1" i="308"/>
  <c r="AK1" i="233"/>
  <c r="AG1" i="236"/>
  <c r="AD1" i="308"/>
  <c r="AJ1" i="89"/>
  <c r="AK1" i="86"/>
  <c r="B33" i="237"/>
  <c r="D30" i="237"/>
  <c r="B20" i="233"/>
  <c r="B23" i="235"/>
  <c r="H27" i="235"/>
  <c r="F24" i="237"/>
  <c r="H24" i="237"/>
  <c r="B19" i="232"/>
  <c r="F22" i="235"/>
  <c r="L18" i="234"/>
  <c r="B29" i="235"/>
  <c r="D24" i="237"/>
  <c r="D22" i="86"/>
  <c r="B23" i="90"/>
  <c r="F18" i="89"/>
  <c r="J27" i="308"/>
  <c r="F22" i="284"/>
  <c r="H27" i="284"/>
  <c r="D22" i="284"/>
  <c r="AC1" i="86" l="1"/>
  <c r="AB1" i="236"/>
  <c r="AJ1" i="284"/>
  <c r="AF1" i="233"/>
  <c r="AD1" i="235"/>
  <c r="AE1" i="237"/>
  <c r="AK1" i="284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<sst xmlns="http://schemas.openxmlformats.org/spreadsheetml/2006/main" count="1368" uniqueCount="162">
  <si>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</si>
  <si>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</si>
  <si>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</si>
  <si>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</si>
  <si>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</si>
  <si>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</si>
  <si>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</si>
  <si>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</si>
  <si>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</si>
  <si>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</si>
  <si>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</si>
  <si>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</si>
  <si>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</si>
  <si>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</si>
  <si>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</si>
  <si>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</si>
  <si>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</si>
  <si>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</si>
  <si>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</si>
  <si>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</si>
  <si>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</si>
  <si>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</si>
  <si>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</si>
  <si>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</si>
  <si>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</si>
  <si>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</si>
  <si>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</si>
  <si>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</si>
  <si>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</si>
  <si>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</si>
  <si>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</si>
  <si>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</si>
  <si>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</si>
  <si>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</si>
  <si>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</si>
  <si>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</si>
  <si>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</si>
  <si>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</si>
  <si>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</si>
  <si>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</si>
  <si>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</si>
  <si>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</si>
  <si>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</si>
  <si>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</si>
  <si>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</si>
  <si>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</si>
  <si>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</si>
  <si>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</si>
  <si>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</si>
  <si>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</si>
  <si>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</si>
  <si>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</si>
  <si>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</si>
  <si>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</si>
  <si>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</si>
  <si>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</si>
  <si>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</si>
  <si>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</si>
  <si>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</si>
  <si>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</si>
  <si>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</si>
  <si>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</si>
  <si>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</si>
  <si>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</si>
  <si>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</si>
  <si>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</si>
  <si>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</si>
  <si>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</si>
  <si>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</si>
  <si>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</si>
  <si>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</si>
  <si>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</si>
  <si>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</si>
  <si>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</si>
  <si>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</si>
  <si>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</si>
  <si>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</si>
  <si>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</si>
  <si>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</si>
  <si>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</si>
  <si>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</si>
  <si>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</si>
  <si>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</si>
  <si>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</si>
  <si>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</si>
  <si>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</si>
  <si>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</si>
  <si>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</si>
  <si>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</si>
  <si>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</si>
  <si>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</si>
  <si>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</si>
  <si>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</si>
  <si>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</si>
  <si>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</si>
  <si>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</si>
  <si>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</si>
  <si>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</si>
  <si>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</si>
  <si>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</si>
  <si>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</si>
  <si>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</si>
  <si>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</si>
  <si>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</si>
  <si>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</si>
  <si>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</si>
  <si>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</si>
  <si>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</si>
  <si>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</si>
  <si>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</si>
  <si>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</si>
  <si>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</si>
  <si>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</si>
  <si>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</si>
  <si>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</si>
  <si>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</si>
  <si>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</si>
  <si>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</si>
  <si>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</si>
  <si>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2023.08.24-26.</t>
  </si>
  <si>
    <t>Budapest</t>
  </si>
  <si>
    <t>Rákóczi Andrea</t>
  </si>
  <si>
    <t>BLKE</t>
  </si>
  <si>
    <t>Nagy Csilla</t>
  </si>
  <si>
    <t>Csapat OB</t>
  </si>
  <si>
    <t>F12</t>
  </si>
  <si>
    <t>F14</t>
  </si>
  <si>
    <t>F16</t>
  </si>
  <si>
    <t>F18</t>
  </si>
  <si>
    <t>BUSC</t>
  </si>
  <si>
    <t>MTK</t>
  </si>
  <si>
    <t>SVSE I.</t>
  </si>
  <si>
    <t>Pasarét TK</t>
  </si>
  <si>
    <t>SVSE II.</t>
  </si>
  <si>
    <t>SZTE Sportmánia</t>
  </si>
  <si>
    <t>Dunakeszi TK</t>
  </si>
  <si>
    <t>SVSE</t>
  </si>
  <si>
    <t>Viharsarok TA</t>
  </si>
  <si>
    <t>PG Tenisz</t>
  </si>
  <si>
    <t>Gellért SE</t>
  </si>
  <si>
    <t>Alfa TI</t>
  </si>
  <si>
    <t>Vasas SC</t>
  </si>
  <si>
    <t>Csopak TK</t>
  </si>
  <si>
    <t>Budaörsi SC</t>
  </si>
  <si>
    <t>Marso TC</t>
  </si>
  <si>
    <t>Gellért SE 2</t>
  </si>
  <si>
    <t>Gellért SE 1.</t>
  </si>
  <si>
    <t>GYAC</t>
  </si>
  <si>
    <t>Tenisz Műhely</t>
  </si>
  <si>
    <t>3/0</t>
  </si>
  <si>
    <t>0/3</t>
  </si>
  <si>
    <t>2/1</t>
  </si>
  <si>
    <t>1/2</t>
  </si>
  <si>
    <t>2/0</t>
  </si>
  <si>
    <t>0/2</t>
  </si>
  <si>
    <t>VII.</t>
  </si>
  <si>
    <t>V.</t>
  </si>
  <si>
    <t>VI.</t>
  </si>
  <si>
    <t>I.</t>
  </si>
  <si>
    <t>III.</t>
  </si>
  <si>
    <t>IV.</t>
  </si>
  <si>
    <t>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</si>
</sst>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_-&quot;$&quot;* #,##0.00_-;\-&quot;$&quot;* #,##0.00_-;_-&quot;$&quot;* &quot;-&quot;??_-;_-@_-"/>
    <numFmt numFmtId="191" formatCode="d\-mmm\-yy"/>
  </numFmts>
  <fonts count="68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6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54" fillId="6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57" fillId="6" borderId="7" xfId="0" applyFont="1" applyFill="1" applyBorder="1" applyAlignment="1">
      <alignment horizontal="center" vertical="center" shrinkToFit="1"/>
    </xf>
    <xf numFmtId="0" fontId="65" fillId="7" borderId="0" xfId="0" applyFont="1" applyFill="1" applyAlignment="1">
      <alignment horizontal="center"/>
    </xf>
    <xf numFmtId="0" fontId="66" fillId="7" borderId="0" xfId="0" applyFont="1" applyFill="1" applyAlignment="1">
      <alignment horizontal="center"/>
    </xf>
    <xf numFmtId="0" fontId="38" fillId="13" borderId="15" xfId="0" applyFont="1" applyFill="1" applyBorder="1" applyAlignment="1">
      <alignment horizontal="right" vertical="center"/>
    </xf>
    <xf numFmtId="0" fontId="0" fillId="0" borderId="25" xfId="0" applyBorder="1"/>
    <xf numFmtId="0" fontId="0" fillId="2" borderId="38" xfId="0" applyFill="1" applyBorder="1"/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49" fontId="0" fillId="6" borderId="0" xfId="0" applyNumberFormat="1" applyFill="1" applyBorder="1" applyAlignment="1">
      <alignment horizontal="right" vertical="center" shrinkToFit="1"/>
    </xf>
    <xf numFmtId="49" fontId="0" fillId="6" borderId="0" xfId="0" applyNumberFormat="1" applyFill="1" applyBorder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 applyBorder="1" applyAlignment="1">
      <alignment horizontal="center"/>
    </xf>
    <xf numFmtId="0" fontId="54" fillId="7" borderId="7" xfId="0" applyFont="1" applyFill="1" applyBorder="1" applyAlignment="1">
      <alignment horizontal="center"/>
    </xf>
    <xf numFmtId="0" fontId="54" fillId="6" borderId="0" xfId="0" applyFont="1" applyFill="1"/>
    <xf numFmtId="49" fontId="54" fillId="6" borderId="7" xfId="0" applyNumberFormat="1" applyFont="1" applyFill="1" applyBorder="1"/>
    <xf numFmtId="49" fontId="54" fillId="6" borderId="0" xfId="0" applyNumberFormat="1" applyFont="1" applyFill="1"/>
    <xf numFmtId="49" fontId="64" fillId="6" borderId="0" xfId="0" applyNumberFormat="1" applyFont="1" applyFill="1"/>
    <xf numFmtId="14" fontId="26" fillId="2" borderId="26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4" fontId="18" fillId="6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 shrinkToFit="1"/>
    </xf>
    <xf numFmtId="0" fontId="9" fillId="6" borderId="26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56" fillId="6" borderId="7" xfId="0" applyFont="1" applyFill="1" applyBorder="1" applyAlignment="1">
      <alignment vertical="center" shrinkToFit="1"/>
    </xf>
    <xf numFmtId="0" fontId="0" fillId="6" borderId="7" xfId="0" applyFill="1" applyBorder="1" applyAlignment="1">
      <alignment horizontal="center"/>
    </xf>
    <xf numFmtId="0" fontId="0" fillId="0" borderId="2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49" fontId="0" fillId="6" borderId="7" xfId="0" applyNumberFormat="1" applyFill="1" applyBorder="1" applyAlignment="1">
      <alignment horizontal="center"/>
    </xf>
    <xf numFmtId="49" fontId="64" fillId="6" borderId="7" xfId="0" applyNumberFormat="1" applyFont="1" applyFill="1" applyBorder="1" applyAlignment="1">
      <alignment horizontal="center"/>
    </xf>
    <xf numFmtId="49" fontId="0" fillId="0" borderId="5" xfId="0" applyNumberForma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</cellXfs>
  <cellStyles count="3">
    <cellStyle name="Hivatkozás" xfId="1" builtinId="8"/>
    <cellStyle name="Normál" xfId="0" builtinId="0"/>
    <cellStyle name="Pénznem" xfId="2" builtinId="4"/>
  </cellStyles>
  <dxfs count="98"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23" name="Picture 13">
          <a:extLst>
            <a:ext uri="{FF2B5EF4-FFF2-40B4-BE49-F238E27FC236}">
              <a16:creationId xmlns:a16="http://schemas.microsoft.com/office/drawing/2014/main" id="{0B0E07F5-6BB7-FB4F-AC12-8A2623E9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54" name="Picture 3">
          <a:extLst>
            <a:ext uri="{FF2B5EF4-FFF2-40B4-BE49-F238E27FC236}">
              <a16:creationId xmlns:a16="http://schemas.microsoft.com/office/drawing/2014/main" id="{006A4337-4453-E542-A9D8-7F83F9B2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78" name="Picture 1">
          <a:extLst>
            <a:ext uri="{FF2B5EF4-FFF2-40B4-BE49-F238E27FC236}">
              <a16:creationId xmlns:a16="http://schemas.microsoft.com/office/drawing/2014/main" id="{4C9DBE7E-45A7-57A1-C964-872AA82D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1602" name="Picture 1">
          <a:extLst>
            <a:ext uri="{FF2B5EF4-FFF2-40B4-BE49-F238E27FC236}">
              <a16:creationId xmlns:a16="http://schemas.microsoft.com/office/drawing/2014/main" id="{B4312981-A68A-ED91-3DFF-DA308C0C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626" name="Picture 1">
          <a:extLst>
            <a:ext uri="{FF2B5EF4-FFF2-40B4-BE49-F238E27FC236}">
              <a16:creationId xmlns:a16="http://schemas.microsoft.com/office/drawing/2014/main" id="{75D83937-DAB1-D054-7E2C-5E26B720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50" name="Picture 1">
          <a:extLst>
            <a:ext uri="{FF2B5EF4-FFF2-40B4-BE49-F238E27FC236}">
              <a16:creationId xmlns:a16="http://schemas.microsoft.com/office/drawing/2014/main" id="{7B23AB4F-CA00-E4D0-D78C-8EBAAD72D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4674" name="Picture 1">
          <a:extLst>
            <a:ext uri="{FF2B5EF4-FFF2-40B4-BE49-F238E27FC236}">
              <a16:creationId xmlns:a16="http://schemas.microsoft.com/office/drawing/2014/main" id="{CE15C5B7-7E50-F4BB-3FB3-D62FBBA6C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28" name="Picture 21">
          <a:extLst>
            <a:ext uri="{FF2B5EF4-FFF2-40B4-BE49-F238E27FC236}">
              <a16:creationId xmlns:a16="http://schemas.microsoft.com/office/drawing/2014/main" id="{CCF5A0BD-4A5A-1EB1-FE10-C1D74BB0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B78FF09E-A3DC-0F9E-DFAF-FBB01619F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8161" name="Picture 1">
          <a:extLst>
            <a:ext uri="{FF2B5EF4-FFF2-40B4-BE49-F238E27FC236}">
              <a16:creationId xmlns:a16="http://schemas.microsoft.com/office/drawing/2014/main" id="{EBE4534D-6072-E1C5-07A1-35922D335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40" name="Picture 21">
          <a:extLst>
            <a:ext uri="{FF2B5EF4-FFF2-40B4-BE49-F238E27FC236}">
              <a16:creationId xmlns:a16="http://schemas.microsoft.com/office/drawing/2014/main" id="{6C1524BB-7F91-CA55-63BB-531EB904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895EBD1D-92C9-2F5A-8F15-7A96CF1C01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425" name="Picture 1">
          <a:extLst>
            <a:ext uri="{FF2B5EF4-FFF2-40B4-BE49-F238E27FC236}">
              <a16:creationId xmlns:a16="http://schemas.microsoft.com/office/drawing/2014/main" id="{FEC182CE-67E0-5DE7-80E7-4E63CDD3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94" name="Picture 23">
          <a:extLst>
            <a:ext uri="{FF2B5EF4-FFF2-40B4-BE49-F238E27FC236}">
              <a16:creationId xmlns:a16="http://schemas.microsoft.com/office/drawing/2014/main" id="{8C148FE8-4F82-2C5C-2B51-BBCA8771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16B1F8B6-14E3-5B8C-47D1-DBCF7CBC58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82" name="Picture 21">
          <a:extLst>
            <a:ext uri="{FF2B5EF4-FFF2-40B4-BE49-F238E27FC236}">
              <a16:creationId xmlns:a16="http://schemas.microsoft.com/office/drawing/2014/main" id="{7C24666A-B42C-40A7-9BA0-1B2C2C14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1880BA8C-DCE1-7918-3C5D-C2066032E2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6098" name="Picture 3">
          <a:extLst>
            <a:ext uri="{FF2B5EF4-FFF2-40B4-BE49-F238E27FC236}">
              <a16:creationId xmlns:a16="http://schemas.microsoft.com/office/drawing/2014/main" id="{BE453810-05B3-2701-48A6-380B4FE0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120" name="Picture 1">
          <a:extLst>
            <a:ext uri="{FF2B5EF4-FFF2-40B4-BE49-F238E27FC236}">
              <a16:creationId xmlns:a16="http://schemas.microsoft.com/office/drawing/2014/main" id="{3030F2D6-0911-5A2D-84FF-265030B5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8144" name="Picture 1">
          <a:extLst>
            <a:ext uri="{FF2B5EF4-FFF2-40B4-BE49-F238E27FC236}">
              <a16:creationId xmlns:a16="http://schemas.microsoft.com/office/drawing/2014/main" id="{2FA3AF97-7A02-8085-8760-5CB1C3DF3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9168" name="Picture 1">
          <a:extLst>
            <a:ext uri="{FF2B5EF4-FFF2-40B4-BE49-F238E27FC236}">
              <a16:creationId xmlns:a16="http://schemas.microsoft.com/office/drawing/2014/main" id="{DF07E888-CAA6-8C43-7A31-DB5E3AEA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00192" name="Picture 1">
          <a:extLst>
            <a:ext uri="{FF2B5EF4-FFF2-40B4-BE49-F238E27FC236}">
              <a16:creationId xmlns:a16="http://schemas.microsoft.com/office/drawing/2014/main" id="{2AC10EF1-B40B-33E7-CEAB-9463A028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41" name="Picture 21">
          <a:extLst>
            <a:ext uri="{FF2B5EF4-FFF2-40B4-BE49-F238E27FC236}">
              <a16:creationId xmlns:a16="http://schemas.microsoft.com/office/drawing/2014/main" id="{95D7F442-9775-C864-D976-A81E188C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36766407-14B9-11AA-4288-074F9BB8E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K13" sqref="K13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101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89"/>
      <c r="F5" s="21"/>
      <c r="G5" s="22"/>
    </row>
    <row r="6" spans="1:7" s="2" customFormat="1" ht="24.6" x14ac:dyDescent="0.25">
      <c r="A6" s="329" t="s">
        <v>124</v>
      </c>
      <c r="B6" s="290"/>
      <c r="C6" s="23"/>
      <c r="D6" s="24"/>
      <c r="E6" s="25"/>
      <c r="F6" s="5"/>
      <c r="G6" s="5"/>
    </row>
    <row r="7" spans="1:7" s="18" customFormat="1" ht="15" customHeight="1" x14ac:dyDescent="0.25">
      <c r="A7" s="275" t="s">
        <v>102</v>
      </c>
      <c r="B7" s="275" t="s">
        <v>103</v>
      </c>
      <c r="C7" s="275" t="s">
        <v>104</v>
      </c>
      <c r="D7" s="275" t="s">
        <v>105</v>
      </c>
      <c r="E7" s="275" t="s">
        <v>106</v>
      </c>
      <c r="F7" s="21"/>
      <c r="G7" s="22"/>
    </row>
    <row r="8" spans="1:7" s="2" customFormat="1" ht="16.5" customHeight="1" x14ac:dyDescent="0.25">
      <c r="A8" s="174" t="s">
        <v>125</v>
      </c>
      <c r="B8" s="174" t="s">
        <v>126</v>
      </c>
      <c r="C8" s="174" t="s">
        <v>127</v>
      </c>
      <c r="D8" s="174" t="s">
        <v>128</v>
      </c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 t="s">
        <v>119</v>
      </c>
      <c r="B10" s="28"/>
      <c r="C10" s="29" t="s">
        <v>120</v>
      </c>
      <c r="D10" s="155" t="s">
        <v>57</v>
      </c>
      <c r="E10" s="281" t="s">
        <v>121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98</v>
      </c>
      <c r="E11" s="168" t="s">
        <v>99</v>
      </c>
      <c r="F11" s="31"/>
      <c r="G11" s="31"/>
    </row>
    <row r="12" spans="1:7" s="2" customFormat="1" x14ac:dyDescent="0.25">
      <c r="A12" s="126"/>
      <c r="B12" s="5"/>
      <c r="C12" s="175"/>
      <c r="D12" s="175" t="s">
        <v>122</v>
      </c>
      <c r="E12" s="175" t="s">
        <v>123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74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11"/>
  </sheetPr>
  <dimension ref="A1:AK43"/>
  <sheetViews>
    <sheetView workbookViewId="0">
      <selection activeCell="B7" sqref="B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76" hidden="1" customWidth="1"/>
    <col min="26" max="37" width="0" style="276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Y1"/>
      <c r="Z1"/>
      <c r="AA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Altalanos!$B$8</f>
        <v>F14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11"/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11"/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11"/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19" t="s">
        <v>58</v>
      </c>
      <c r="B7" s="250"/>
      <c r="C7" s="205" t="str">
        <f>IF($B7="","",VLOOKUP($B7,'F14 ELO'!$A$7:$O$22,5))</f>
        <v/>
      </c>
      <c r="D7" s="205" t="str">
        <f>IF($B7="","",VLOOKUP($B7,'F14 ELO'!$A$7:$O$22,15))</f>
        <v/>
      </c>
      <c r="E7" s="201" t="str">
        <f>UPPER(IF($B7="","",VLOOKUP($B7,'F14 ELO'!$A$7:$O$22,2)))</f>
        <v/>
      </c>
      <c r="F7" s="206"/>
      <c r="G7" s="201" t="str">
        <f>IF($B7="","",VLOOKUP($B7,'F14 ELO'!$A$7:$O$22,3))</f>
        <v/>
      </c>
      <c r="H7" s="206"/>
      <c r="I7" s="201" t="str">
        <f>IF($B7="","",VLOOKUP($B7,'F14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11"/>
      <c r="R7" s="211"/>
      <c r="S7" s="211"/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51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11"/>
      <c r="R8" s="211"/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50"/>
      <c r="C9" s="205" t="str">
        <f>IF($B9="","",VLOOKUP($B9,'F14 ELO'!$A$7:$O$22,5))</f>
        <v/>
      </c>
      <c r="D9" s="205" t="str">
        <f>IF($B9="","",VLOOKUP($B9,'F14 ELO'!$A$7:$O$22,15))</f>
        <v/>
      </c>
      <c r="E9" s="201" t="str">
        <f>UPPER(IF($B9="","",VLOOKUP($B9,'F14 ELO'!$A$7:$O$22,2)))</f>
        <v/>
      </c>
      <c r="F9" s="206"/>
      <c r="G9" s="201" t="str">
        <f>IF($B9="","",VLOOKUP($B9,'F14 ELO'!$A$7:$O$22,3))</f>
        <v/>
      </c>
      <c r="H9" s="206"/>
      <c r="I9" s="201" t="str">
        <f>IF($B9="","",VLOOKUP($B9,'F14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51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50"/>
      <c r="C11" s="205" t="str">
        <f>IF($B11="","",VLOOKUP($B11,'F14 ELO'!$A$7:$O$22,5))</f>
        <v/>
      </c>
      <c r="D11" s="205" t="str">
        <f>IF($B11="","",VLOOKUP($B11,'F14 ELO'!$A$7:$O$22,15))</f>
        <v/>
      </c>
      <c r="E11" s="201" t="str">
        <f>UPPER(IF($B11="","",VLOOKUP($B11,'F14 ELO'!$A$7:$O$22,2)))</f>
        <v/>
      </c>
      <c r="F11" s="206"/>
      <c r="G11" s="201" t="str">
        <f>IF($B11="","",VLOOKUP($B11,'F14 ELO'!$A$7:$O$22,3))</f>
        <v/>
      </c>
      <c r="H11" s="206"/>
      <c r="I11" s="201" t="str">
        <f>IF($B11="","",VLOOKUP($B11,'F14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ht="18.75" customHeight="1" x14ac:dyDescent="0.25">
      <c r="A18" s="193"/>
      <c r="B18" s="345"/>
      <c r="C18" s="345"/>
      <c r="D18" s="344" t="str">
        <f>E7</f>
        <v/>
      </c>
      <c r="E18" s="344"/>
      <c r="F18" s="344" t="str">
        <f>E9</f>
        <v/>
      </c>
      <c r="G18" s="344"/>
      <c r="H18" s="344" t="str">
        <f>E11</f>
        <v/>
      </c>
      <c r="I18" s="344"/>
      <c r="J18" s="193"/>
      <c r="K18" s="193"/>
      <c r="L18" s="193"/>
      <c r="M18" s="193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ht="18.75" customHeight="1" x14ac:dyDescent="0.25">
      <c r="A19" s="255" t="s">
        <v>58</v>
      </c>
      <c r="B19" s="349" t="str">
        <f>E7</f>
        <v/>
      </c>
      <c r="C19" s="349"/>
      <c r="D19" s="342"/>
      <c r="E19" s="342"/>
      <c r="F19" s="341"/>
      <c r="G19" s="341"/>
      <c r="H19" s="341"/>
      <c r="I19" s="341"/>
      <c r="J19" s="193"/>
      <c r="K19" s="193"/>
      <c r="L19" s="193"/>
      <c r="M19" s="193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ht="18.75" customHeight="1" x14ac:dyDescent="0.25">
      <c r="A20" s="255" t="s">
        <v>59</v>
      </c>
      <c r="B20" s="349" t="str">
        <f>E9</f>
        <v/>
      </c>
      <c r="C20" s="349"/>
      <c r="D20" s="341"/>
      <c r="E20" s="341"/>
      <c r="F20" s="342"/>
      <c r="G20" s="342"/>
      <c r="H20" s="341"/>
      <c r="I20" s="341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ht="18.75" customHeight="1" x14ac:dyDescent="0.25">
      <c r="A21" s="255" t="s">
        <v>60</v>
      </c>
      <c r="B21" s="349" t="str">
        <f>E11</f>
        <v/>
      </c>
      <c r="C21" s="349"/>
      <c r="D21" s="341"/>
      <c r="E21" s="341"/>
      <c r="F21" s="341"/>
      <c r="G21" s="341"/>
      <c r="H21" s="342"/>
      <c r="I21" s="342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2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319"/>
      <c r="N33" s="318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8"/>
      <c r="F34" s="348"/>
      <c r="G34" s="240" t="s">
        <v>3</v>
      </c>
      <c r="H34" s="197"/>
      <c r="I34" s="230"/>
      <c r="J34" s="241"/>
      <c r="K34" s="194" t="s">
        <v>41</v>
      </c>
      <c r="L34" s="247"/>
      <c r="M34" s="235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6"/>
      <c r="F35" s="346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L4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51" priority="2" stopIfTrue="1" operator="equal">
      <formula>"Bye"</formula>
    </cfRule>
  </conditionalFormatting>
  <conditionalFormatting sqref="R41">
    <cfRule type="expression" dxfId="5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11"/>
  </sheetPr>
  <dimension ref="A1:AK43"/>
  <sheetViews>
    <sheetView workbookViewId="0">
      <selection activeCell="B7" sqref="B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Altalanos!$B$8</f>
        <v>F14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280"/>
      <c r="M4" s="191" t="str">
        <f>Altalanos!$E$10</f>
        <v>Rákóczi Andrea</v>
      </c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19" t="s">
        <v>58</v>
      </c>
      <c r="B7" s="250"/>
      <c r="C7" s="252" t="str">
        <f>IF($B7="","",VLOOKUP($B7,'F14 ELO'!$A$7:$O$22,5))</f>
        <v/>
      </c>
      <c r="D7" s="252" t="str">
        <f>IF($B7="","",VLOOKUP($B7,'F14 ELO'!$A$7:$O$22,15))</f>
        <v/>
      </c>
      <c r="E7" s="350" t="str">
        <f>UPPER(IF($B7="","",VLOOKUP($B7,'F14 ELO'!$A$7:$O$22,2)))</f>
        <v/>
      </c>
      <c r="F7" s="350"/>
      <c r="G7" s="350" t="str">
        <f>IF($B7="","",VLOOKUP($B7,'F14 ELO'!$A$7:$O$22,3))</f>
        <v/>
      </c>
      <c r="H7" s="350"/>
      <c r="I7" s="253" t="str">
        <f>IF($B7="","",VLOOKUP($B7,'F14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11"/>
      <c r="R7" s="211"/>
      <c r="S7" s="211"/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51"/>
      <c r="C8" s="254"/>
      <c r="D8" s="254"/>
      <c r="E8" s="254"/>
      <c r="F8" s="254"/>
      <c r="G8" s="254"/>
      <c r="H8" s="254"/>
      <c r="I8" s="254"/>
      <c r="J8" s="193"/>
      <c r="K8" s="219"/>
      <c r="L8" s="219"/>
      <c r="M8" s="287"/>
      <c r="N8" s="211"/>
      <c r="O8" s="211"/>
      <c r="P8" s="211"/>
      <c r="Q8" s="211"/>
      <c r="R8" s="211"/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50"/>
      <c r="C9" s="252" t="str">
        <f>IF($B9="","",VLOOKUP($B9,'F14 ELO'!$A$7:$O$22,5))</f>
        <v/>
      </c>
      <c r="D9" s="252" t="str">
        <f>IF($B9="","",VLOOKUP($B9,'F14 ELO'!$A$7:$O$22,15))</f>
        <v/>
      </c>
      <c r="E9" s="350" t="str">
        <f>UPPER(IF($B9="","",VLOOKUP($B9,'F14 ELO'!$A$7:$O$22,2)))</f>
        <v/>
      </c>
      <c r="F9" s="350"/>
      <c r="G9" s="350" t="str">
        <f>IF($B9="","",VLOOKUP($B9,'F14 ELO'!$A$7:$O$22,3))</f>
        <v/>
      </c>
      <c r="H9" s="350"/>
      <c r="I9" s="253" t="str">
        <f>IF($B9="","",VLOOKUP($B9,'F14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51"/>
      <c r="C10" s="254"/>
      <c r="D10" s="254"/>
      <c r="E10" s="254"/>
      <c r="F10" s="254"/>
      <c r="G10" s="254"/>
      <c r="H10" s="254"/>
      <c r="I10" s="254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50"/>
      <c r="C11" s="252" t="str">
        <f>IF($B11="","",VLOOKUP($B11,'F14 ELO'!$A$7:$O$22,5))</f>
        <v/>
      </c>
      <c r="D11" s="252" t="str">
        <f>IF($B11="","",VLOOKUP($B11,'F14 ELO'!$A$7:$O$22,15))</f>
        <v/>
      </c>
      <c r="E11" s="350" t="str">
        <f>UPPER(IF($B11="","",VLOOKUP($B11,'F14 ELO'!$A$7:$O$22,2)))</f>
        <v/>
      </c>
      <c r="F11" s="350"/>
      <c r="G11" s="350" t="str">
        <f>IF($B11="","",VLOOKUP($B11,'F14 ELO'!$A$7:$O$22,3))</f>
        <v/>
      </c>
      <c r="H11" s="350"/>
      <c r="I11" s="253" t="str">
        <f>IF($B11="","",VLOOKUP($B11,'F14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219"/>
      <c r="B12" s="251"/>
      <c r="C12" s="254"/>
      <c r="D12" s="254"/>
      <c r="E12" s="254"/>
      <c r="F12" s="254"/>
      <c r="G12" s="254"/>
      <c r="H12" s="254"/>
      <c r="I12" s="254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19" t="s">
        <v>65</v>
      </c>
      <c r="B13" s="250"/>
      <c r="C13" s="252" t="str">
        <f>IF($B13="","",VLOOKUP($B13,'F14 ELO'!$A$7:$O$22,5))</f>
        <v/>
      </c>
      <c r="D13" s="252" t="str">
        <f>IF($B13="","",VLOOKUP($B13,'F14 ELO'!$A$7:$O$22,15))</f>
        <v/>
      </c>
      <c r="E13" s="350" t="str">
        <f>UPPER(IF($B13="","",VLOOKUP($B13,'F14 ELO'!$A$7:$O$22,2)))</f>
        <v/>
      </c>
      <c r="F13" s="350"/>
      <c r="G13" s="350" t="str">
        <f>IF($B13="","",VLOOKUP($B13,'F14 ELO'!$A$7:$O$22,3))</f>
        <v/>
      </c>
      <c r="H13" s="350"/>
      <c r="I13" s="253" t="str">
        <f>IF($B13="","",VLOOKUP($B13,'F14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ht="18.75" customHeight="1" x14ac:dyDescent="0.25">
      <c r="A18" s="193"/>
      <c r="B18" s="345"/>
      <c r="C18" s="345"/>
      <c r="D18" s="344" t="str">
        <f>E7</f>
        <v/>
      </c>
      <c r="E18" s="344"/>
      <c r="F18" s="344" t="str">
        <f>E9</f>
        <v/>
      </c>
      <c r="G18" s="344"/>
      <c r="H18" s="344" t="str">
        <f>E11</f>
        <v/>
      </c>
      <c r="I18" s="344"/>
      <c r="J18" s="344" t="str">
        <f>E13</f>
        <v/>
      </c>
      <c r="K18" s="344"/>
      <c r="L18" s="193"/>
      <c r="M18" s="193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ht="18.75" customHeight="1" x14ac:dyDescent="0.25">
      <c r="A19" s="255" t="s">
        <v>58</v>
      </c>
      <c r="B19" s="349" t="str">
        <f>E7</f>
        <v/>
      </c>
      <c r="C19" s="349"/>
      <c r="D19" s="342"/>
      <c r="E19" s="342"/>
      <c r="F19" s="341"/>
      <c r="G19" s="341"/>
      <c r="H19" s="341"/>
      <c r="I19" s="341"/>
      <c r="J19" s="344"/>
      <c r="K19" s="344"/>
      <c r="L19" s="193"/>
      <c r="M19" s="193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ht="18.75" customHeight="1" x14ac:dyDescent="0.25">
      <c r="A20" s="255" t="s">
        <v>59</v>
      </c>
      <c r="B20" s="349" t="str">
        <f>E9</f>
        <v/>
      </c>
      <c r="C20" s="349"/>
      <c r="D20" s="341"/>
      <c r="E20" s="341"/>
      <c r="F20" s="342"/>
      <c r="G20" s="342"/>
      <c r="H20" s="341"/>
      <c r="I20" s="341"/>
      <c r="J20" s="341"/>
      <c r="K20" s="341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ht="18.75" customHeight="1" x14ac:dyDescent="0.25">
      <c r="A21" s="255" t="s">
        <v>60</v>
      </c>
      <c r="B21" s="349" t="str">
        <f>E11</f>
        <v/>
      </c>
      <c r="C21" s="349"/>
      <c r="D21" s="341"/>
      <c r="E21" s="341"/>
      <c r="F21" s="341"/>
      <c r="G21" s="341"/>
      <c r="H21" s="342"/>
      <c r="I21" s="342"/>
      <c r="J21" s="341"/>
      <c r="K21" s="341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255" t="s">
        <v>65</v>
      </c>
      <c r="B22" s="349" t="str">
        <f>E13</f>
        <v/>
      </c>
      <c r="C22" s="349"/>
      <c r="D22" s="341"/>
      <c r="E22" s="341"/>
      <c r="F22" s="341"/>
      <c r="G22" s="341"/>
      <c r="H22" s="344"/>
      <c r="I22" s="344"/>
      <c r="J22" s="342"/>
      <c r="K22" s="342"/>
      <c r="L22" s="193"/>
      <c r="M22" s="193"/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8"/>
      <c r="F34" s="348"/>
      <c r="G34" s="240" t="s">
        <v>3</v>
      </c>
      <c r="H34" s="197"/>
      <c r="I34" s="230"/>
      <c r="J34" s="241"/>
      <c r="K34" s="194" t="s">
        <v>41</v>
      </c>
      <c r="L34" s="247"/>
      <c r="M34" s="231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6"/>
      <c r="F35" s="346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M4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49" priority="2" stopIfTrue="1" operator="equal">
      <formula>"Bye"</formula>
    </cfRule>
  </conditionalFormatting>
  <conditionalFormatting sqref="R41">
    <cfRule type="expression" dxfId="4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indexed="11"/>
  </sheetPr>
  <dimension ref="A1:AK43"/>
  <sheetViews>
    <sheetView workbookViewId="0">
      <selection activeCell="B7" sqref="B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Altalanos!$B$8</f>
        <v>F14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14"/>
      <c r="R3" s="216"/>
      <c r="S3" s="211"/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65" t="s">
        <v>72</v>
      </c>
      <c r="Q4" s="266" t="s">
        <v>81</v>
      </c>
      <c r="R4" s="266" t="s">
        <v>77</v>
      </c>
      <c r="S4" s="264"/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67" t="s">
        <v>79</v>
      </c>
      <c r="Q5" s="268" t="s">
        <v>75</v>
      </c>
      <c r="R5" s="268" t="s">
        <v>82</v>
      </c>
      <c r="S5" s="264"/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69" t="s">
        <v>80</v>
      </c>
      <c r="Q6" s="270" t="s">
        <v>83</v>
      </c>
      <c r="R6" s="270" t="s">
        <v>78</v>
      </c>
      <c r="S6" s="264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19" t="s">
        <v>58</v>
      </c>
      <c r="B7" s="250"/>
      <c r="C7" s="252" t="str">
        <f>IF($B7="","",VLOOKUP($B7,'F14 ELO'!$A$7:$O$22,5))</f>
        <v/>
      </c>
      <c r="D7" s="252" t="str">
        <f>IF($B7="","",VLOOKUP($B7,'F14 ELO'!$A$7:$O$22,15))</f>
        <v/>
      </c>
      <c r="E7" s="350" t="str">
        <f>UPPER(IF($B7="","",VLOOKUP($B7,'F14 ELO'!$A$7:$O$22,2)))</f>
        <v/>
      </c>
      <c r="F7" s="350"/>
      <c r="G7" s="350" t="str">
        <f>IF($B7="","",VLOOKUP($B7,'F14 ELO'!$A$7:$O$22,3))</f>
        <v/>
      </c>
      <c r="H7" s="350"/>
      <c r="I7" s="253" t="str">
        <f>IF($B7="","",VLOOKUP($B7,'F14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65" t="s">
        <v>86</v>
      </c>
      <c r="Q7" s="266" t="s">
        <v>74</v>
      </c>
      <c r="R7" s="266" t="s">
        <v>84</v>
      </c>
      <c r="S7" s="211"/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51"/>
      <c r="C8" s="254"/>
      <c r="D8" s="254"/>
      <c r="E8" s="254"/>
      <c r="F8" s="254"/>
      <c r="G8" s="254"/>
      <c r="H8" s="254"/>
      <c r="I8" s="254"/>
      <c r="J8" s="193"/>
      <c r="K8" s="219"/>
      <c r="L8" s="219"/>
      <c r="M8" s="287"/>
      <c r="N8" s="211"/>
      <c r="O8" s="211"/>
      <c r="P8" s="267" t="s">
        <v>87</v>
      </c>
      <c r="Q8" s="268" t="s">
        <v>76</v>
      </c>
      <c r="R8" s="268" t="s">
        <v>85</v>
      </c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50"/>
      <c r="C9" s="252" t="str">
        <f>IF($B9="","",VLOOKUP($B9,'F14 ELO'!$A$7:$O$22,5))</f>
        <v/>
      </c>
      <c r="D9" s="252" t="str">
        <f>IF($B9="","",VLOOKUP($B9,'F14 ELO'!$A$7:$O$22,15))</f>
        <v/>
      </c>
      <c r="E9" s="350" t="str">
        <f>UPPER(IF($B9="","",VLOOKUP($B9,'F14 ELO'!$A$7:$O$22,2)))</f>
        <v/>
      </c>
      <c r="F9" s="350"/>
      <c r="G9" s="350" t="str">
        <f>IF($B9="","",VLOOKUP($B9,'F14 ELO'!$A$7:$O$22,3))</f>
        <v/>
      </c>
      <c r="H9" s="350"/>
      <c r="I9" s="253" t="str">
        <f>IF($B9="","",VLOOKUP($B9,'F14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51"/>
      <c r="C10" s="254"/>
      <c r="D10" s="254"/>
      <c r="E10" s="254"/>
      <c r="F10" s="254"/>
      <c r="G10" s="254"/>
      <c r="H10" s="254"/>
      <c r="I10" s="254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50"/>
      <c r="C11" s="252" t="str">
        <f>IF($B11="","",VLOOKUP($B11,'F14 ELO'!$A$7:$O$22,5))</f>
        <v/>
      </c>
      <c r="D11" s="252" t="str">
        <f>IF($B11="","",VLOOKUP($B11,'F14 ELO'!$A$7:$O$22,15))</f>
        <v/>
      </c>
      <c r="E11" s="350" t="str">
        <f>UPPER(IF($B11="","",VLOOKUP($B11,'F14 ELO'!$A$7:$O$22,2)))</f>
        <v/>
      </c>
      <c r="F11" s="350"/>
      <c r="G11" s="350" t="str">
        <f>IF($B11="","",VLOOKUP($B11,'F14 ELO'!$A$7:$O$22,3))</f>
        <v/>
      </c>
      <c r="H11" s="350"/>
      <c r="I11" s="253" t="str">
        <f>IF($B11="","",VLOOKUP($B11,'F14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219"/>
      <c r="B12" s="251"/>
      <c r="C12" s="254"/>
      <c r="D12" s="254"/>
      <c r="E12" s="254"/>
      <c r="F12" s="254"/>
      <c r="G12" s="254"/>
      <c r="H12" s="254"/>
      <c r="I12" s="254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19" t="s">
        <v>65</v>
      </c>
      <c r="B13" s="250"/>
      <c r="C13" s="252" t="str">
        <f>IF($B13="","",VLOOKUP($B13,'F14 ELO'!$A$7:$O$22,5))</f>
        <v/>
      </c>
      <c r="D13" s="252" t="str">
        <f>IF($B13="","",VLOOKUP($B13,'F14 ELO'!$A$7:$O$22,15))</f>
        <v/>
      </c>
      <c r="E13" s="350" t="str">
        <f>UPPER(IF($B13="","",VLOOKUP($B13,'F14 ELO'!$A$7:$O$22,2)))</f>
        <v/>
      </c>
      <c r="F13" s="350"/>
      <c r="G13" s="350" t="str">
        <f>IF($B13="","",VLOOKUP($B13,'F14 ELO'!$A$7:$O$22,3))</f>
        <v/>
      </c>
      <c r="H13" s="350"/>
      <c r="I13" s="253" t="str">
        <f>IF($B13="","",VLOOKUP($B13,'F14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51"/>
      <c r="C14" s="254"/>
      <c r="D14" s="254"/>
      <c r="E14" s="254"/>
      <c r="F14" s="254"/>
      <c r="G14" s="254"/>
      <c r="H14" s="254"/>
      <c r="I14" s="254"/>
      <c r="J14" s="193"/>
      <c r="K14" s="219"/>
      <c r="L14" s="219"/>
      <c r="M14" s="288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50"/>
      <c r="C15" s="252" t="str">
        <f>IF($B15="","",VLOOKUP($B15,'F14 ELO'!$A$7:$O$22,5))</f>
        <v/>
      </c>
      <c r="D15" s="252" t="str">
        <f>IF($B15="","",VLOOKUP($B15,'F14 ELO'!$A$7:$O$22,15))</f>
        <v/>
      </c>
      <c r="E15" s="350" t="str">
        <f>UPPER(IF($B15="","",VLOOKUP($B15,'F14 ELO'!$A$7:$O$22,2)))</f>
        <v/>
      </c>
      <c r="F15" s="350"/>
      <c r="G15" s="350" t="str">
        <f>IF($B15="","",VLOOKUP($B15,'F14 ELO'!$A$7:$O$22,3))</f>
        <v/>
      </c>
      <c r="H15" s="350"/>
      <c r="I15" s="253" t="str">
        <f>IF($B15="","",VLOOKUP($B15,'F14 ELO'!$A$7:$O$22,4))</f>
        <v/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ht="18.75" customHeight="1" x14ac:dyDescent="0.25">
      <c r="A18" s="193"/>
      <c r="B18" s="345"/>
      <c r="C18" s="345"/>
      <c r="D18" s="344" t="str">
        <f>E7</f>
        <v/>
      </c>
      <c r="E18" s="344"/>
      <c r="F18" s="344" t="str">
        <f>E9</f>
        <v/>
      </c>
      <c r="G18" s="344"/>
      <c r="H18" s="344" t="str">
        <f>E11</f>
        <v/>
      </c>
      <c r="I18" s="344"/>
      <c r="J18" s="344" t="str">
        <f>E13</f>
        <v/>
      </c>
      <c r="K18" s="344"/>
      <c r="L18" s="344" t="str">
        <f>E15</f>
        <v/>
      </c>
      <c r="M18" s="344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ht="18.75" customHeight="1" x14ac:dyDescent="0.25">
      <c r="A19" s="255" t="s">
        <v>58</v>
      </c>
      <c r="B19" s="349" t="str">
        <f>E7</f>
        <v/>
      </c>
      <c r="C19" s="349"/>
      <c r="D19" s="342"/>
      <c r="E19" s="342"/>
      <c r="F19" s="341"/>
      <c r="G19" s="341"/>
      <c r="H19" s="341"/>
      <c r="I19" s="341"/>
      <c r="J19" s="344"/>
      <c r="K19" s="344"/>
      <c r="L19" s="344"/>
      <c r="M19" s="344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ht="18.75" customHeight="1" x14ac:dyDescent="0.25">
      <c r="A20" s="255" t="s">
        <v>59</v>
      </c>
      <c r="B20" s="349" t="str">
        <f>E9</f>
        <v/>
      </c>
      <c r="C20" s="349"/>
      <c r="D20" s="341"/>
      <c r="E20" s="341"/>
      <c r="F20" s="342"/>
      <c r="G20" s="342"/>
      <c r="H20" s="341"/>
      <c r="I20" s="341"/>
      <c r="J20" s="341"/>
      <c r="K20" s="341"/>
      <c r="L20" s="344"/>
      <c r="M20" s="344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ht="18.75" customHeight="1" x14ac:dyDescent="0.25">
      <c r="A21" s="255" t="s">
        <v>60</v>
      </c>
      <c r="B21" s="349" t="str">
        <f>E11</f>
        <v/>
      </c>
      <c r="C21" s="349"/>
      <c r="D21" s="341"/>
      <c r="E21" s="341"/>
      <c r="F21" s="341"/>
      <c r="G21" s="341"/>
      <c r="H21" s="342"/>
      <c r="I21" s="342"/>
      <c r="J21" s="341"/>
      <c r="K21" s="341"/>
      <c r="L21" s="341"/>
      <c r="M21" s="341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255" t="s">
        <v>65</v>
      </c>
      <c r="B22" s="349" t="str">
        <f>E13</f>
        <v/>
      </c>
      <c r="C22" s="349"/>
      <c r="D22" s="341"/>
      <c r="E22" s="341"/>
      <c r="F22" s="341"/>
      <c r="G22" s="341"/>
      <c r="H22" s="344"/>
      <c r="I22" s="344"/>
      <c r="J22" s="342"/>
      <c r="K22" s="342"/>
      <c r="L22" s="341"/>
      <c r="M22" s="341"/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66</v>
      </c>
      <c r="B23" s="349" t="str">
        <f>E15</f>
        <v/>
      </c>
      <c r="C23" s="349"/>
      <c r="D23" s="341"/>
      <c r="E23" s="341"/>
      <c r="F23" s="341"/>
      <c r="G23" s="341"/>
      <c r="H23" s="344"/>
      <c r="I23" s="344"/>
      <c r="J23" s="344"/>
      <c r="K23" s="344"/>
      <c r="L23" s="342"/>
      <c r="M23" s="342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8"/>
      <c r="F34" s="348"/>
      <c r="G34" s="240" t="s">
        <v>3</v>
      </c>
      <c r="H34" s="197"/>
      <c r="I34" s="230"/>
      <c r="J34" s="241"/>
      <c r="K34" s="194" t="s">
        <v>41</v>
      </c>
      <c r="L34" s="247"/>
      <c r="M34" s="231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6"/>
      <c r="F35" s="346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L4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47" priority="2" stopIfTrue="1" operator="equal">
      <formula>"Bye"</formula>
    </cfRule>
  </conditionalFormatting>
  <conditionalFormatting sqref="R41">
    <cfRule type="expression" dxfId="4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11"/>
  </sheetPr>
  <dimension ref="A1:AK49"/>
  <sheetViews>
    <sheetView workbookViewId="0">
      <selection activeCell="M30" sqref="M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Altalanos!$B$8</f>
        <v>F14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65" t="s">
        <v>72</v>
      </c>
      <c r="P5" s="266" t="s">
        <v>78</v>
      </c>
      <c r="Q5" s="211"/>
      <c r="R5" s="265" t="s">
        <v>72</v>
      </c>
      <c r="S5" s="320" t="s">
        <v>110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67" t="s">
        <v>79</v>
      </c>
      <c r="P6" s="268" t="s">
        <v>74</v>
      </c>
      <c r="Q6" s="211"/>
      <c r="R6" s="267" t="s">
        <v>79</v>
      </c>
      <c r="S6" s="321" t="s">
        <v>111</v>
      </c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/>
      <c r="C7" s="205" t="str">
        <f>IF($B7="","",VLOOKUP($B7,'F14 ELO'!$A$7:$O$22,5))</f>
        <v/>
      </c>
      <c r="D7" s="205" t="str">
        <f>IF($B7="","",VLOOKUP($B7,'F14 ELO'!$A$7:$O$22,15))</f>
        <v/>
      </c>
      <c r="E7" s="202" t="str">
        <f>UPPER(IF($B7="","",VLOOKUP($B7,'F14 ELO'!$A$7:$O$22,2)))</f>
        <v/>
      </c>
      <c r="F7" s="204"/>
      <c r="G7" s="202" t="str">
        <f>IF($B7="","",VLOOKUP($B7,'F14 ELO'!$A$7:$O$22,3))</f>
        <v/>
      </c>
      <c r="H7" s="204"/>
      <c r="I7" s="202" t="str">
        <f>IF($B7="","",VLOOKUP($B7,'F14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69" t="s">
        <v>80</v>
      </c>
      <c r="P7" s="270" t="s">
        <v>76</v>
      </c>
      <c r="Q7" s="211"/>
      <c r="R7" s="269" t="s">
        <v>80</v>
      </c>
      <c r="S7" s="322" t="s">
        <v>84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11"/>
      <c r="R8" s="211"/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/>
      <c r="C9" s="205" t="str">
        <f>IF($B9="","",VLOOKUP($B9,'F14 ELO'!$A$7:$O$22,5))</f>
        <v/>
      </c>
      <c r="D9" s="205" t="str">
        <f>IF($B9="","",VLOOKUP($B9,'F14 ELO'!$A$7:$O$22,15))</f>
        <v/>
      </c>
      <c r="E9" s="201" t="str">
        <f>UPPER(IF($B9="","",VLOOKUP($B9,'F14 ELO'!$A$7:$O$22,2)))</f>
        <v/>
      </c>
      <c r="F9" s="206"/>
      <c r="G9" s="201" t="str">
        <f>IF($B9="","",VLOOKUP($B9,'F14 ELO'!$A$7:$O$22,3))</f>
        <v/>
      </c>
      <c r="H9" s="206"/>
      <c r="I9" s="201" t="str">
        <f>IF($B9="","",VLOOKUP($B9,'F14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/>
      <c r="C11" s="205" t="str">
        <f>IF($B11="","",VLOOKUP($B11,'F14 ELO'!$A$7:$O$22,5))</f>
        <v/>
      </c>
      <c r="D11" s="205" t="str">
        <f>IF($B11="","",VLOOKUP($B11,'F14 ELO'!$A$7:$O$22,15))</f>
        <v/>
      </c>
      <c r="E11" s="201" t="str">
        <f>UPPER(IF($B11="","",VLOOKUP($B11,'F14 ELO'!$A$7:$O$22,2)))</f>
        <v/>
      </c>
      <c r="F11" s="206"/>
      <c r="G11" s="201" t="str">
        <f>IF($B11="","",VLOOKUP($B11,'F14 ELO'!$A$7:$O$22,3))</f>
        <v/>
      </c>
      <c r="H11" s="206"/>
      <c r="I11" s="201" t="str">
        <f>IF($B11="","",VLOOKUP($B11,'F14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56" t="s">
        <v>65</v>
      </c>
      <c r="B13" s="271"/>
      <c r="C13" s="205" t="str">
        <f>IF($B13="","",VLOOKUP($B13,'F14 ELO'!$A$7:$O$22,5))</f>
        <v/>
      </c>
      <c r="D13" s="205" t="str">
        <f>IF($B13="","",VLOOKUP($B13,'F14 ELO'!$A$7:$O$22,15))</f>
        <v/>
      </c>
      <c r="E13" s="202" t="str">
        <f>UPPER(IF($B13="","",VLOOKUP($B13,'F14 ELO'!$A$7:$O$22,2)))</f>
        <v/>
      </c>
      <c r="F13" s="204"/>
      <c r="G13" s="202" t="str">
        <f>IF($B13="","",VLOOKUP($B13,'F14 ELO'!$A$7:$O$22,3))</f>
        <v/>
      </c>
      <c r="H13" s="204"/>
      <c r="I13" s="202" t="str">
        <f>IF($B13="","",VLOOKUP($B13,'F14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19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73"/>
      <c r="C15" s="205" t="str">
        <f>IF($B15="","",VLOOKUP($B15,'F14 ELO'!$A$7:$O$22,5))</f>
        <v/>
      </c>
      <c r="D15" s="205" t="str">
        <f>IF($B15="","",VLOOKUP($B15,'F14 ELO'!$A$7:$O$22,15))</f>
        <v/>
      </c>
      <c r="E15" s="201" t="str">
        <f>UPPER(IF($B15="","",VLOOKUP($B15,'F14 ELO'!$A$7:$O$22,2)))</f>
        <v/>
      </c>
      <c r="F15" s="206"/>
      <c r="G15" s="201" t="str">
        <f>IF($B15="","",VLOOKUP($B15,'F14 ELO'!$A$7:$O$22,3))</f>
        <v/>
      </c>
      <c r="H15" s="206"/>
      <c r="I15" s="201" t="str">
        <f>IF($B15="","",VLOOKUP($B15,'F14 ELO'!$A$7:$O$22,4))</f>
        <v/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19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/>
      <c r="C17" s="205" t="str">
        <f>IF($B17="","",VLOOKUP($B17,'F14 ELO'!$A$7:$O$22,5))</f>
        <v/>
      </c>
      <c r="D17" s="205" t="str">
        <f>IF($B17="","",VLOOKUP($B17,'F14 ELO'!$A$7:$O$22,15))</f>
        <v/>
      </c>
      <c r="E17" s="201" t="str">
        <f>UPPER(IF($B17="","",VLOOKUP($B17,'F14 ELO'!$A$7:$O$22,2)))</f>
        <v/>
      </c>
      <c r="F17" s="206"/>
      <c r="G17" s="201" t="str">
        <f>IF($B17="","",VLOOKUP($B17,'F14 ELO'!$A$7:$O$22,3))</f>
        <v/>
      </c>
      <c r="H17" s="206"/>
      <c r="I17" s="201" t="str">
        <f>IF($B17="","",VLOOKUP($B17,'F14 ELO'!$A$7:$O$22,4))</f>
        <v/>
      </c>
      <c r="J17" s="193"/>
      <c r="K17" s="285"/>
      <c r="L17" s="279" t="str">
        <f>IF(K17="","",CONCATENATE(VLOOKUP($Y$3,$AB$1:$AK$1,K17)," pont"))</f>
        <v/>
      </c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193"/>
      <c r="B22" s="345"/>
      <c r="C22" s="345"/>
      <c r="D22" s="344" t="str">
        <f>E7</f>
        <v/>
      </c>
      <c r="E22" s="344"/>
      <c r="F22" s="344" t="str">
        <f>E9</f>
        <v/>
      </c>
      <c r="G22" s="344"/>
      <c r="H22" s="344" t="str">
        <f>E11</f>
        <v/>
      </c>
      <c r="I22" s="344"/>
      <c r="J22" s="193"/>
      <c r="K22" s="193"/>
      <c r="L22" s="193"/>
      <c r="M22" s="257" t="s">
        <v>62</v>
      </c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58</v>
      </c>
      <c r="B23" s="349" t="str">
        <f>E7</f>
        <v/>
      </c>
      <c r="C23" s="349"/>
      <c r="D23" s="342"/>
      <c r="E23" s="342"/>
      <c r="F23" s="341"/>
      <c r="G23" s="341"/>
      <c r="H23" s="341"/>
      <c r="I23" s="341"/>
      <c r="J23" s="193"/>
      <c r="K23" s="193"/>
      <c r="L23" s="193"/>
      <c r="M23" s="259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ht="18.75" customHeight="1" x14ac:dyDescent="0.25">
      <c r="A24" s="255" t="s">
        <v>59</v>
      </c>
      <c r="B24" s="349" t="str">
        <f>E9</f>
        <v/>
      </c>
      <c r="C24" s="349"/>
      <c r="D24" s="341"/>
      <c r="E24" s="341"/>
      <c r="F24" s="342"/>
      <c r="G24" s="342"/>
      <c r="H24" s="341"/>
      <c r="I24" s="341"/>
      <c r="J24" s="193"/>
      <c r="K24" s="193"/>
      <c r="L24" s="193"/>
      <c r="M24" s="259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ht="18.75" customHeight="1" x14ac:dyDescent="0.25">
      <c r="A25" s="255" t="s">
        <v>60</v>
      </c>
      <c r="B25" s="349" t="str">
        <f>E11</f>
        <v/>
      </c>
      <c r="C25" s="349"/>
      <c r="D25" s="341"/>
      <c r="E25" s="341"/>
      <c r="F25" s="341"/>
      <c r="G25" s="341"/>
      <c r="H25" s="342"/>
      <c r="I25" s="342"/>
      <c r="J25" s="193"/>
      <c r="K25" s="193"/>
      <c r="L25" s="193"/>
      <c r="M25" s="259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260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ht="18.75" customHeight="1" x14ac:dyDescent="0.25">
      <c r="A27" s="193"/>
      <c r="B27" s="345"/>
      <c r="C27" s="345"/>
      <c r="D27" s="344" t="str">
        <f>E13</f>
        <v/>
      </c>
      <c r="E27" s="344"/>
      <c r="F27" s="344" t="str">
        <f>E15</f>
        <v/>
      </c>
      <c r="G27" s="344"/>
      <c r="H27" s="344" t="str">
        <f>E17</f>
        <v/>
      </c>
      <c r="I27" s="344"/>
      <c r="J27" s="193"/>
      <c r="K27" s="193"/>
      <c r="L27" s="193"/>
      <c r="M27" s="260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255" t="s">
        <v>65</v>
      </c>
      <c r="B28" s="349" t="str">
        <f>E13</f>
        <v/>
      </c>
      <c r="C28" s="349"/>
      <c r="D28" s="342"/>
      <c r="E28" s="342"/>
      <c r="F28" s="341"/>
      <c r="G28" s="341"/>
      <c r="H28" s="341"/>
      <c r="I28" s="341"/>
      <c r="J28" s="193"/>
      <c r="K28" s="193"/>
      <c r="L28" s="193"/>
      <c r="M28" s="259"/>
    </row>
    <row r="29" spans="1:37" ht="18.75" customHeight="1" x14ac:dyDescent="0.25">
      <c r="A29" s="255" t="s">
        <v>66</v>
      </c>
      <c r="B29" s="349" t="str">
        <f>E15</f>
        <v/>
      </c>
      <c r="C29" s="349"/>
      <c r="D29" s="341"/>
      <c r="E29" s="341"/>
      <c r="F29" s="342"/>
      <c r="G29" s="342"/>
      <c r="H29" s="341"/>
      <c r="I29" s="341"/>
      <c r="J29" s="193"/>
      <c r="K29" s="193"/>
      <c r="L29" s="193"/>
      <c r="M29" s="259"/>
    </row>
    <row r="30" spans="1:37" ht="18.75" customHeight="1" x14ac:dyDescent="0.25">
      <c r="A30" s="255" t="s">
        <v>67</v>
      </c>
      <c r="B30" s="349" t="str">
        <f>E17</f>
        <v/>
      </c>
      <c r="C30" s="349"/>
      <c r="D30" s="341"/>
      <c r="E30" s="341"/>
      <c r="F30" s="341"/>
      <c r="G30" s="341"/>
      <c r="H30" s="342"/>
      <c r="I30" s="342"/>
      <c r="J30" s="193"/>
      <c r="K30" s="193"/>
      <c r="L30" s="193"/>
      <c r="M30" s="259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 t="s">
        <v>52</v>
      </c>
      <c r="B32" s="193"/>
      <c r="C32" s="351" t="str">
        <f>IF(M23=1,B23,IF(M24=1,B24,IF(M25=1,B25,"")))</f>
        <v/>
      </c>
      <c r="D32" s="351"/>
      <c r="E32" s="219" t="s">
        <v>69</v>
      </c>
      <c r="F32" s="351" t="str">
        <f>IF(M28=1,B28,IF(M29=1,B29,IF(M30=1,B30,"")))</f>
        <v/>
      </c>
      <c r="G32" s="351"/>
      <c r="H32" s="193"/>
      <c r="I32" s="192"/>
      <c r="J32" s="193"/>
      <c r="K32" s="193"/>
      <c r="L32" s="193"/>
      <c r="M32" s="193"/>
    </row>
    <row r="33" spans="1:19" x14ac:dyDescent="0.25">
      <c r="A33" s="193"/>
      <c r="B33" s="193"/>
      <c r="C33" s="193"/>
      <c r="D33" s="193"/>
      <c r="E33" s="193"/>
      <c r="F33" s="219"/>
      <c r="G33" s="219"/>
      <c r="H33" s="193"/>
      <c r="I33" s="193"/>
      <c r="J33" s="193"/>
      <c r="K33" s="193"/>
      <c r="L33" s="193"/>
      <c r="M33" s="193"/>
    </row>
    <row r="34" spans="1:19" x14ac:dyDescent="0.25">
      <c r="A34" s="193" t="s">
        <v>68</v>
      </c>
      <c r="B34" s="193"/>
      <c r="C34" s="351" t="str">
        <f>IF(M23=2,B23,IF(M24=2,B24,IF(M25=2,B25,"")))</f>
        <v/>
      </c>
      <c r="D34" s="351"/>
      <c r="E34" s="219" t="s">
        <v>69</v>
      </c>
      <c r="F34" s="351" t="str">
        <f>IF(M28=2,B28,IF(M29=2,B29,IF(M30=2,B30,"")))</f>
        <v/>
      </c>
      <c r="G34" s="351"/>
      <c r="H34" s="193"/>
      <c r="I34" s="192"/>
      <c r="J34" s="193"/>
      <c r="K34" s="193"/>
      <c r="L34" s="193"/>
      <c r="M34" s="193"/>
    </row>
    <row r="35" spans="1:19" x14ac:dyDescent="0.25">
      <c r="A35" s="193"/>
      <c r="B35" s="193"/>
      <c r="C35" s="258"/>
      <c r="D35" s="258"/>
      <c r="E35" s="219"/>
      <c r="F35" s="258"/>
      <c r="G35" s="258"/>
      <c r="H35" s="193"/>
      <c r="I35" s="193"/>
      <c r="J35" s="193"/>
      <c r="K35" s="193"/>
      <c r="L35" s="193"/>
      <c r="M35" s="193"/>
    </row>
    <row r="36" spans="1:19" x14ac:dyDescent="0.25">
      <c r="A36" s="193" t="s">
        <v>70</v>
      </c>
      <c r="B36" s="193"/>
      <c r="C36" s="351" t="str">
        <f>IF(M23=3,B23,IF(M24=3,B24,IF(M25=3,B25,"")))</f>
        <v/>
      </c>
      <c r="D36" s="351"/>
      <c r="E36" s="219" t="s">
        <v>69</v>
      </c>
      <c r="F36" s="351" t="str">
        <f>IF(M28=3,B28,IF(M29=3,B29,IF(M30=3,B30,"")))</f>
        <v/>
      </c>
      <c r="G36" s="351"/>
      <c r="H36" s="193"/>
      <c r="I36" s="192"/>
      <c r="J36" s="193"/>
      <c r="K36" s="193"/>
      <c r="L36" s="193"/>
      <c r="M36" s="193"/>
    </row>
    <row r="37" spans="1:19" x14ac:dyDescent="0.25">
      <c r="A37" s="193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</row>
    <row r="38" spans="1:19" x14ac:dyDescent="0.25">
      <c r="A38" s="193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2"/>
      <c r="M38" s="193"/>
      <c r="O38" s="211"/>
      <c r="P38" s="211"/>
      <c r="Q38" s="211"/>
      <c r="R38" s="211"/>
      <c r="S38" s="211"/>
    </row>
    <row r="39" spans="1:19" x14ac:dyDescent="0.25">
      <c r="A39" s="110" t="s">
        <v>38</v>
      </c>
      <c r="B39" s="111"/>
      <c r="C39" s="165"/>
      <c r="D39" s="227" t="s">
        <v>2</v>
      </c>
      <c r="E39" s="228" t="s">
        <v>40</v>
      </c>
      <c r="F39" s="246"/>
      <c r="G39" s="227" t="s">
        <v>2</v>
      </c>
      <c r="H39" s="228" t="s">
        <v>49</v>
      </c>
      <c r="I39" s="119"/>
      <c r="J39" s="228" t="s">
        <v>50</v>
      </c>
      <c r="K39" s="118" t="s">
        <v>51</v>
      </c>
      <c r="L39" s="31"/>
      <c r="M39" s="246"/>
      <c r="O39" s="211"/>
      <c r="P39" s="221"/>
      <c r="Q39" s="221"/>
      <c r="R39" s="222"/>
      <c r="S39" s="211"/>
    </row>
    <row r="40" spans="1:19" x14ac:dyDescent="0.25">
      <c r="A40" s="196" t="s">
        <v>39</v>
      </c>
      <c r="B40" s="197"/>
      <c r="C40" s="198"/>
      <c r="D40" s="229">
        <v>1</v>
      </c>
      <c r="E40" s="348" t="str">
        <f>IF(D40&gt;$R$47,,UPPER(VLOOKUP(D40,'F14 ELO'!$A$7:$Q$134,2)))</f>
        <v>DUNAKESZI TK</v>
      </c>
      <c r="F40" s="348"/>
      <c r="G40" s="240" t="s">
        <v>3</v>
      </c>
      <c r="H40" s="197"/>
      <c r="I40" s="230"/>
      <c r="J40" s="241"/>
      <c r="K40" s="194" t="s">
        <v>41</v>
      </c>
      <c r="L40" s="247"/>
      <c r="M40" s="231"/>
      <c r="O40" s="211"/>
      <c r="P40" s="223"/>
      <c r="Q40" s="223"/>
      <c r="R40" s="224"/>
      <c r="S40" s="211"/>
    </row>
    <row r="41" spans="1:19" x14ac:dyDescent="0.25">
      <c r="A41" s="199" t="s">
        <v>48</v>
      </c>
      <c r="B41" s="117"/>
      <c r="C41" s="200"/>
      <c r="D41" s="232">
        <v>2</v>
      </c>
      <c r="E41" s="346" t="str">
        <f>IF(D41&gt;$R$47,,UPPER(VLOOKUP(D41,'F14 ELO'!$A$7:$Q$134,2)))</f>
        <v>TENISZ MŰHELY</v>
      </c>
      <c r="F41" s="346"/>
      <c r="G41" s="242" t="s">
        <v>4</v>
      </c>
      <c r="H41" s="233"/>
      <c r="I41" s="234"/>
      <c r="J41" s="82"/>
      <c r="K41" s="244"/>
      <c r="L41" s="192"/>
      <c r="M41" s="239"/>
      <c r="O41" s="211"/>
      <c r="P41" s="224"/>
      <c r="Q41" s="225"/>
      <c r="R41" s="224"/>
      <c r="S41" s="211"/>
    </row>
    <row r="42" spans="1:19" x14ac:dyDescent="0.25">
      <c r="A42" s="132"/>
      <c r="B42" s="133"/>
      <c r="C42" s="134"/>
      <c r="D42" s="232"/>
      <c r="E42" s="236"/>
      <c r="F42" s="237"/>
      <c r="G42" s="242" t="s">
        <v>5</v>
      </c>
      <c r="H42" s="233"/>
      <c r="I42" s="234"/>
      <c r="J42" s="82"/>
      <c r="K42" s="194" t="s">
        <v>42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12"/>
      <c r="B43" s="163"/>
      <c r="C43" s="113"/>
      <c r="D43" s="232"/>
      <c r="E43" s="236"/>
      <c r="F43" s="237"/>
      <c r="G43" s="242" t="s">
        <v>6</v>
      </c>
      <c r="H43" s="233"/>
      <c r="I43" s="234"/>
      <c r="J43" s="82"/>
      <c r="K43" s="245"/>
      <c r="L43" s="237"/>
      <c r="M43" s="235"/>
      <c r="O43" s="211"/>
      <c r="P43" s="224"/>
      <c r="Q43" s="225"/>
      <c r="R43" s="224"/>
      <c r="S43" s="211"/>
    </row>
    <row r="44" spans="1:19" x14ac:dyDescent="0.25">
      <c r="A44" s="121"/>
      <c r="B44" s="135"/>
      <c r="C44" s="164"/>
      <c r="D44" s="232"/>
      <c r="E44" s="236"/>
      <c r="F44" s="237"/>
      <c r="G44" s="242" t="s">
        <v>7</v>
      </c>
      <c r="H44" s="233"/>
      <c r="I44" s="234"/>
      <c r="J44" s="82"/>
      <c r="K44" s="199"/>
      <c r="L44" s="192"/>
      <c r="M44" s="239"/>
      <c r="O44" s="211"/>
      <c r="P44" s="224"/>
      <c r="Q44" s="225"/>
      <c r="R44" s="224"/>
      <c r="S44" s="211"/>
    </row>
    <row r="45" spans="1:19" x14ac:dyDescent="0.25">
      <c r="A45" s="122"/>
      <c r="B45" s="138"/>
      <c r="C45" s="113"/>
      <c r="D45" s="232"/>
      <c r="E45" s="236"/>
      <c r="F45" s="237"/>
      <c r="G45" s="242" t="s">
        <v>8</v>
      </c>
      <c r="H45" s="233"/>
      <c r="I45" s="234"/>
      <c r="J45" s="82"/>
      <c r="K45" s="194" t="s">
        <v>31</v>
      </c>
      <c r="L45" s="247"/>
      <c r="M45" s="231"/>
      <c r="O45" s="211"/>
      <c r="P45" s="223"/>
      <c r="Q45" s="223"/>
      <c r="R45" s="224"/>
      <c r="S45" s="211"/>
    </row>
    <row r="46" spans="1:19" x14ac:dyDescent="0.25">
      <c r="A46" s="122"/>
      <c r="B46" s="138"/>
      <c r="C46" s="130"/>
      <c r="D46" s="232"/>
      <c r="E46" s="236"/>
      <c r="F46" s="237"/>
      <c r="G46" s="242" t="s">
        <v>9</v>
      </c>
      <c r="H46" s="233"/>
      <c r="I46" s="234"/>
      <c r="J46" s="82"/>
      <c r="K46" s="245"/>
      <c r="L46" s="237"/>
      <c r="M46" s="235"/>
      <c r="O46" s="211"/>
      <c r="P46" s="224"/>
      <c r="Q46" s="225"/>
      <c r="R46" s="224"/>
      <c r="S46" s="211"/>
    </row>
    <row r="47" spans="1:19" x14ac:dyDescent="0.25">
      <c r="A47" s="123"/>
      <c r="B47" s="120"/>
      <c r="C47" s="131"/>
      <c r="D47" s="238"/>
      <c r="E47" s="114"/>
      <c r="F47" s="192"/>
      <c r="G47" s="243" t="s">
        <v>10</v>
      </c>
      <c r="H47" s="117"/>
      <c r="I47" s="195"/>
      <c r="J47" s="115"/>
      <c r="K47" s="199" t="str">
        <f>L4</f>
        <v>Rákóczi Andrea</v>
      </c>
      <c r="L47" s="192"/>
      <c r="M47" s="239"/>
      <c r="O47" s="211"/>
      <c r="P47" s="224"/>
      <c r="Q47" s="225"/>
      <c r="R47" s="226">
        <f>MIN(4,'F14 ELO'!Q5)</f>
        <v>4</v>
      </c>
      <c r="S47" s="211"/>
    </row>
    <row r="48" spans="1:19" x14ac:dyDescent="0.25">
      <c r="O48" s="211"/>
      <c r="P48" s="211"/>
      <c r="Q48" s="211"/>
      <c r="R48" s="211"/>
      <c r="S48" s="211"/>
    </row>
    <row r="49" spans="15:19" x14ac:dyDescent="0.25">
      <c r="O49" s="211"/>
      <c r="P49" s="211"/>
      <c r="Q49" s="211"/>
      <c r="R49" s="211"/>
      <c r="S49" s="211"/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45" priority="2" stopIfTrue="1">
      <formula>$O$1="CU"</formula>
    </cfRule>
  </conditionalFormatting>
  <conditionalFormatting sqref="E7 E9 E11 E13 E15 E17">
    <cfRule type="cellIs" dxfId="44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indexed="11"/>
  </sheetPr>
  <dimension ref="A1:AK51"/>
  <sheetViews>
    <sheetView workbookViewId="0">
      <selection activeCell="M31" sqref="M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Altalanos!$B$8</f>
        <v>F14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/>
      <c r="C7" s="205" t="str">
        <f>IF($B7="","",VLOOKUP($B7,'F14 ELO'!$A$7:$O$22,5))</f>
        <v/>
      </c>
      <c r="D7" s="205" t="str">
        <f>IF($B7="","",VLOOKUP($B7,'F14 ELO'!$A$7:$O$22,15))</f>
        <v/>
      </c>
      <c r="E7" s="202" t="str">
        <f>UPPER(IF($B7="","",VLOOKUP($B7,'F14 ELO'!$A$7:$O$22,2)))</f>
        <v/>
      </c>
      <c r="F7" s="204"/>
      <c r="G7" s="202" t="str">
        <f>IF($B7="","",VLOOKUP($B7,'F14 ELO'!$A$7:$O$22,3))</f>
        <v/>
      </c>
      <c r="H7" s="204"/>
      <c r="I7" s="202" t="str">
        <f>IF($B7="","",VLOOKUP($B7,'F14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65" t="s">
        <v>72</v>
      </c>
      <c r="R7" s="320" t="s">
        <v>110</v>
      </c>
      <c r="S7" s="320" t="s">
        <v>112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67" t="s">
        <v>79</v>
      </c>
      <c r="R8" s="321" t="s">
        <v>111</v>
      </c>
      <c r="S8" s="321" t="s">
        <v>113</v>
      </c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/>
      <c r="C9" s="205" t="str">
        <f>IF($B9="","",VLOOKUP($B9,'F14 ELO'!$A$7:$O$22,5))</f>
        <v/>
      </c>
      <c r="D9" s="205" t="str">
        <f>IF($B9="","",VLOOKUP($B9,'F14 ELO'!$A$7:$O$22,15))</f>
        <v/>
      </c>
      <c r="E9" s="201" t="str">
        <f>UPPER(IF($B9="","",VLOOKUP($B9,'F14 ELO'!$A$7:$O$22,2)))</f>
        <v/>
      </c>
      <c r="F9" s="206"/>
      <c r="G9" s="201" t="str">
        <f>IF($B9="","",VLOOKUP($B9,'F14 ELO'!$A$7:$O$22,3))</f>
        <v/>
      </c>
      <c r="H9" s="206"/>
      <c r="I9" s="201" t="str">
        <f>IF($B9="","",VLOOKUP($B9,'F14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69" t="s">
        <v>80</v>
      </c>
      <c r="R9" s="322" t="s">
        <v>84</v>
      </c>
      <c r="S9" s="322" t="s">
        <v>114</v>
      </c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/>
      <c r="C11" s="205" t="str">
        <f>IF($B11="","",VLOOKUP($B11,'F14 ELO'!$A$7:$O$22,5))</f>
        <v/>
      </c>
      <c r="D11" s="205" t="str">
        <f>IF($B11="","",VLOOKUP($B11,'F14 ELO'!$A$7:$O$22,15))</f>
        <v/>
      </c>
      <c r="E11" s="201" t="str">
        <f>UPPER(IF($B11="","",VLOOKUP($B11,'F14 ELO'!$A$7:$O$22,2)))</f>
        <v/>
      </c>
      <c r="F11" s="206"/>
      <c r="G11" s="201" t="str">
        <f>IF($B11="","",VLOOKUP($B11,'F14 ELO'!$A$7:$O$22,3))</f>
        <v/>
      </c>
      <c r="H11" s="206"/>
      <c r="I11" s="201" t="str">
        <f>IF($B11="","",VLOOKUP($B11,'F14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56" t="s">
        <v>65</v>
      </c>
      <c r="B13" s="271"/>
      <c r="C13" s="205" t="str">
        <f>IF($B13="","",VLOOKUP($B13,'F14 ELO'!$A$7:$O$22,5))</f>
        <v/>
      </c>
      <c r="D13" s="205" t="str">
        <f>IF($B13="","",VLOOKUP($B13,'F14 ELO'!$A$7:$O$22,15))</f>
        <v/>
      </c>
      <c r="E13" s="202" t="str">
        <f>UPPER(IF($B13="","",VLOOKUP($B13,'F14 ELO'!$A$7:$O$22,2)))</f>
        <v/>
      </c>
      <c r="F13" s="204"/>
      <c r="G13" s="202" t="str">
        <f>IF($B13="","",VLOOKUP($B13,'F14 ELO'!$A$7:$O$22,3))</f>
        <v/>
      </c>
      <c r="H13" s="204"/>
      <c r="I13" s="202" t="str">
        <f>IF($B13="","",VLOOKUP($B13,'F14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19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73"/>
      <c r="C15" s="205" t="str">
        <f>IF($B15="","",VLOOKUP($B15,'F14 ELO'!$A$7:$O$22,5))</f>
        <v/>
      </c>
      <c r="D15" s="205" t="str">
        <f>IF($B15="","",VLOOKUP($B15,'F14 ELO'!$A$7:$O$22,15))</f>
        <v/>
      </c>
      <c r="E15" s="201" t="str">
        <f>UPPER(IF($B15="","",VLOOKUP($B15,'F14 ELO'!$A$7:$O$22,2)))</f>
        <v/>
      </c>
      <c r="F15" s="206"/>
      <c r="G15" s="201" t="str">
        <f>IF($B15="","",VLOOKUP($B15,'F14 ELO'!$A$7:$O$22,3))</f>
        <v/>
      </c>
      <c r="H15" s="206"/>
      <c r="I15" s="201" t="str">
        <f>IF($B15="","",VLOOKUP($B15,'F14 ELO'!$A$7:$O$22,4))</f>
        <v/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19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/>
      <c r="C17" s="205" t="str">
        <f>IF($B17="","",VLOOKUP($B17,'F14 ELO'!$A$7:$O$22,5))</f>
        <v/>
      </c>
      <c r="D17" s="205" t="str">
        <f>IF($B17="","",VLOOKUP($B17,'F14 ELO'!$A$7:$O$22,15))</f>
        <v/>
      </c>
      <c r="E17" s="201" t="str">
        <f>UPPER(IF($B17="","",VLOOKUP($B17,'F14 ELO'!$A$7:$O$22,2)))</f>
        <v/>
      </c>
      <c r="F17" s="206"/>
      <c r="G17" s="201" t="str">
        <f>IF($B17="","",VLOOKUP($B17,'F14 ELO'!$A$7:$O$22,3))</f>
        <v/>
      </c>
      <c r="H17" s="206"/>
      <c r="I17" s="201" t="str">
        <f>IF($B17="","",VLOOKUP($B17,'F14 ELO'!$A$7:$O$22,4))</f>
        <v/>
      </c>
      <c r="J17" s="193"/>
      <c r="K17" s="285"/>
      <c r="L17" s="279" t="str">
        <f>IF(K17="","",CONCATENATE(VLOOKUP($Y$3,$AB$1:$AK$1,K17)," pont"))</f>
        <v/>
      </c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219"/>
      <c r="B18" s="272"/>
      <c r="C18" s="220"/>
      <c r="D18" s="220"/>
      <c r="E18" s="220"/>
      <c r="F18" s="220"/>
      <c r="G18" s="220"/>
      <c r="H18" s="220"/>
      <c r="I18" s="220"/>
      <c r="J18" s="193"/>
      <c r="K18" s="219"/>
      <c r="L18" s="219"/>
      <c r="M18" s="287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219" t="s">
        <v>67</v>
      </c>
      <c r="B19" s="273"/>
      <c r="C19" s="205" t="str">
        <f>IF($B19="","",VLOOKUP($B19,'F14 ELO'!$A$7:$O$22,5))</f>
        <v/>
      </c>
      <c r="D19" s="205" t="str">
        <f>IF($B19="","",VLOOKUP($B19,'F14 ELO'!$A$7:$O$22,15))</f>
        <v/>
      </c>
      <c r="E19" s="201" t="str">
        <f>UPPER(IF($B19="","",VLOOKUP($B19,'F14 ELO'!$A$7:$O$22,2)))</f>
        <v/>
      </c>
      <c r="F19" s="206"/>
      <c r="G19" s="201" t="str">
        <f>IF($B19="","",VLOOKUP($B19,'F14 ELO'!$A$7:$O$22,3))</f>
        <v/>
      </c>
      <c r="H19" s="206"/>
      <c r="I19" s="201" t="str">
        <f>IF($B19="","",VLOOKUP($B19,'F14 ELO'!$A$7:$O$22,4))</f>
        <v/>
      </c>
      <c r="J19" s="193"/>
      <c r="K19" s="285"/>
      <c r="L19" s="279" t="str">
        <f>IF(K19="","",CONCATENATE(VLOOKUP($Y$3,$AB$1:$AK$1,K19)," pont"))</f>
        <v/>
      </c>
      <c r="M19" s="286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193"/>
      <c r="B22" s="345"/>
      <c r="C22" s="345"/>
      <c r="D22" s="344" t="str">
        <f>E7</f>
        <v/>
      </c>
      <c r="E22" s="344"/>
      <c r="F22" s="344" t="str">
        <f>E9</f>
        <v/>
      </c>
      <c r="G22" s="344"/>
      <c r="H22" s="344" t="str">
        <f>E11</f>
        <v/>
      </c>
      <c r="I22" s="344"/>
      <c r="J22" s="193"/>
      <c r="K22" s="193"/>
      <c r="L22" s="193"/>
      <c r="M22" s="257" t="s">
        <v>62</v>
      </c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58</v>
      </c>
      <c r="B23" s="349" t="str">
        <f>E7</f>
        <v/>
      </c>
      <c r="C23" s="349"/>
      <c r="D23" s="342"/>
      <c r="E23" s="342"/>
      <c r="F23" s="341"/>
      <c r="G23" s="341"/>
      <c r="H23" s="341"/>
      <c r="I23" s="341"/>
      <c r="J23" s="193"/>
      <c r="K23" s="193"/>
      <c r="L23" s="193"/>
      <c r="M23" s="259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ht="18.75" customHeight="1" x14ac:dyDescent="0.25">
      <c r="A24" s="255" t="s">
        <v>59</v>
      </c>
      <c r="B24" s="349" t="str">
        <f>E9</f>
        <v/>
      </c>
      <c r="C24" s="349"/>
      <c r="D24" s="341"/>
      <c r="E24" s="341"/>
      <c r="F24" s="342"/>
      <c r="G24" s="342"/>
      <c r="H24" s="341"/>
      <c r="I24" s="341"/>
      <c r="J24" s="193"/>
      <c r="K24" s="193"/>
      <c r="L24" s="193"/>
      <c r="M24" s="259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ht="18.75" customHeight="1" x14ac:dyDescent="0.25">
      <c r="A25" s="255" t="s">
        <v>60</v>
      </c>
      <c r="B25" s="349" t="str">
        <f>E11</f>
        <v/>
      </c>
      <c r="C25" s="349"/>
      <c r="D25" s="341"/>
      <c r="E25" s="341"/>
      <c r="F25" s="341"/>
      <c r="G25" s="341"/>
      <c r="H25" s="342"/>
      <c r="I25" s="342"/>
      <c r="J25" s="193"/>
      <c r="K25" s="193"/>
      <c r="L25" s="193"/>
      <c r="M25" s="259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260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ht="18.75" customHeight="1" x14ac:dyDescent="0.25">
      <c r="A27" s="193"/>
      <c r="B27" s="345"/>
      <c r="C27" s="345"/>
      <c r="D27" s="344" t="str">
        <f>E13</f>
        <v/>
      </c>
      <c r="E27" s="344"/>
      <c r="F27" s="344" t="str">
        <f>E15</f>
        <v/>
      </c>
      <c r="G27" s="344"/>
      <c r="H27" s="344" t="str">
        <f>E17</f>
        <v/>
      </c>
      <c r="I27" s="344"/>
      <c r="J27" s="344" t="str">
        <f>E19</f>
        <v/>
      </c>
      <c r="K27" s="344"/>
      <c r="L27" s="193"/>
      <c r="M27" s="260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255" t="s">
        <v>65</v>
      </c>
      <c r="B28" s="349" t="str">
        <f>E13</f>
        <v/>
      </c>
      <c r="C28" s="349"/>
      <c r="D28" s="342"/>
      <c r="E28" s="342"/>
      <c r="F28" s="341"/>
      <c r="G28" s="341"/>
      <c r="H28" s="341"/>
      <c r="I28" s="341"/>
      <c r="J28" s="344"/>
      <c r="K28" s="344"/>
      <c r="L28" s="193"/>
      <c r="M28" s="259"/>
    </row>
    <row r="29" spans="1:37" ht="18.75" customHeight="1" x14ac:dyDescent="0.25">
      <c r="A29" s="255" t="s">
        <v>66</v>
      </c>
      <c r="B29" s="349" t="str">
        <f>E15</f>
        <v/>
      </c>
      <c r="C29" s="349"/>
      <c r="D29" s="341"/>
      <c r="E29" s="341"/>
      <c r="F29" s="342"/>
      <c r="G29" s="342"/>
      <c r="H29" s="341"/>
      <c r="I29" s="341"/>
      <c r="J29" s="341"/>
      <c r="K29" s="341"/>
      <c r="L29" s="193"/>
      <c r="M29" s="259"/>
    </row>
    <row r="30" spans="1:37" ht="18.75" customHeight="1" x14ac:dyDescent="0.25">
      <c r="A30" s="255" t="s">
        <v>67</v>
      </c>
      <c r="B30" s="349" t="str">
        <f>E17</f>
        <v/>
      </c>
      <c r="C30" s="349"/>
      <c r="D30" s="341"/>
      <c r="E30" s="341"/>
      <c r="F30" s="341"/>
      <c r="G30" s="341"/>
      <c r="H30" s="342"/>
      <c r="I30" s="342"/>
      <c r="J30" s="341"/>
      <c r="K30" s="341"/>
      <c r="L30" s="193"/>
      <c r="M30" s="259"/>
    </row>
    <row r="31" spans="1:37" ht="18.75" customHeight="1" x14ac:dyDescent="0.25">
      <c r="A31" s="255" t="s">
        <v>71</v>
      </c>
      <c r="B31" s="349" t="str">
        <f>E19</f>
        <v/>
      </c>
      <c r="C31" s="349"/>
      <c r="D31" s="341"/>
      <c r="E31" s="341"/>
      <c r="F31" s="341"/>
      <c r="G31" s="341"/>
      <c r="H31" s="344"/>
      <c r="I31" s="344"/>
      <c r="J31" s="342"/>
      <c r="K31" s="342"/>
      <c r="L31" s="193"/>
      <c r="M31" s="259"/>
    </row>
    <row r="32" spans="1:37" ht="18.75" customHeight="1" x14ac:dyDescent="0.25">
      <c r="A32" s="261"/>
      <c r="B32" s="262"/>
      <c r="C32" s="262"/>
      <c r="D32" s="261"/>
      <c r="E32" s="261"/>
      <c r="F32" s="261"/>
      <c r="G32" s="261"/>
      <c r="H32" s="261"/>
      <c r="I32" s="261"/>
      <c r="J32" s="193"/>
      <c r="K32" s="193"/>
      <c r="L32" s="193"/>
      <c r="M32" s="263"/>
    </row>
    <row r="33" spans="1:19" x14ac:dyDescent="0.25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</row>
    <row r="34" spans="1:19" x14ac:dyDescent="0.25">
      <c r="A34" s="193" t="s">
        <v>52</v>
      </c>
      <c r="B34" s="193"/>
      <c r="C34" s="351" t="str">
        <f>IF(M23=1,B23,IF(M24=1,B24,IF(M25=1,B25,"")))</f>
        <v/>
      </c>
      <c r="D34" s="351"/>
      <c r="E34" s="219" t="s">
        <v>69</v>
      </c>
      <c r="F34" s="351" t="str">
        <f>IF(M28=1,B28,IF(M29=1,B29,IF(M30=1,B30,IF(M31=1,B31,""))))</f>
        <v/>
      </c>
      <c r="G34" s="351"/>
      <c r="H34" s="193"/>
      <c r="I34" s="192"/>
      <c r="J34" s="193"/>
      <c r="K34" s="193"/>
      <c r="L34" s="193"/>
      <c r="M34" s="193"/>
    </row>
    <row r="35" spans="1:19" x14ac:dyDescent="0.25">
      <c r="A35" s="193"/>
      <c r="B35" s="193"/>
      <c r="C35" s="193"/>
      <c r="D35" s="193"/>
      <c r="E35" s="193"/>
      <c r="F35" s="219"/>
      <c r="G35" s="219"/>
      <c r="H35" s="193"/>
      <c r="I35" s="193"/>
      <c r="J35" s="193"/>
      <c r="K35" s="193"/>
      <c r="L35" s="193"/>
      <c r="M35" s="193"/>
    </row>
    <row r="36" spans="1:19" x14ac:dyDescent="0.25">
      <c r="A36" s="193" t="s">
        <v>68</v>
      </c>
      <c r="B36" s="193"/>
      <c r="C36" s="351" t="str">
        <f>IF(M23=2,B23,IF(M24=2,B24,IF(M25=2,B25,"")))</f>
        <v/>
      </c>
      <c r="D36" s="351"/>
      <c r="E36" s="219" t="s">
        <v>69</v>
      </c>
      <c r="F36" s="351" t="str">
        <f>IF(M28=2,B28,IF(M29=2,B29,IF(M30=2,B30,IF(M31=2,B31,""))))</f>
        <v/>
      </c>
      <c r="G36" s="351"/>
      <c r="H36" s="193"/>
      <c r="I36" s="192"/>
      <c r="J36" s="193"/>
      <c r="K36" s="193"/>
      <c r="L36" s="193"/>
      <c r="M36" s="193"/>
    </row>
    <row r="37" spans="1:19" x14ac:dyDescent="0.25">
      <c r="A37" s="193"/>
      <c r="B37" s="193"/>
      <c r="C37" s="258"/>
      <c r="D37" s="258"/>
      <c r="E37" s="219"/>
      <c r="F37" s="258"/>
      <c r="G37" s="258"/>
      <c r="H37" s="193"/>
      <c r="I37" s="193"/>
      <c r="J37" s="193"/>
      <c r="K37" s="193"/>
      <c r="L37" s="193"/>
      <c r="M37" s="193"/>
    </row>
    <row r="38" spans="1:19" x14ac:dyDescent="0.25">
      <c r="A38" s="193" t="s">
        <v>70</v>
      </c>
      <c r="B38" s="193"/>
      <c r="C38" s="351" t="str">
        <f>IF(M23=3,B23,IF(M24=3,B24,IF(M25=3,B25,"")))</f>
        <v/>
      </c>
      <c r="D38" s="351"/>
      <c r="E38" s="219" t="s">
        <v>69</v>
      </c>
      <c r="F38" s="351" t="str">
        <f>IF(M28=3,B28,IF(M29=3,B29,IF(M30=3,B30,IF(M31=3,B31,""))))</f>
        <v/>
      </c>
      <c r="G38" s="351"/>
      <c r="H38" s="193"/>
      <c r="I38" s="192"/>
      <c r="J38" s="193"/>
      <c r="K38" s="193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7" t="s">
        <v>2</v>
      </c>
      <c r="E41" s="228" t="s">
        <v>40</v>
      </c>
      <c r="F41" s="246"/>
      <c r="G41" s="227" t="s">
        <v>2</v>
      </c>
      <c r="H41" s="228" t="s">
        <v>49</v>
      </c>
      <c r="I41" s="119"/>
      <c r="J41" s="228" t="s">
        <v>50</v>
      </c>
      <c r="K41" s="118" t="s">
        <v>51</v>
      </c>
      <c r="L41" s="31"/>
      <c r="M41" s="246"/>
      <c r="O41" s="211"/>
      <c r="P41" s="221"/>
      <c r="Q41" s="221"/>
      <c r="R41" s="222"/>
      <c r="S41" s="211"/>
    </row>
    <row r="42" spans="1:19" x14ac:dyDescent="0.25">
      <c r="A42" s="196" t="s">
        <v>39</v>
      </c>
      <c r="B42" s="197"/>
      <c r="C42" s="198"/>
      <c r="D42" s="229">
        <v>1</v>
      </c>
      <c r="E42" s="348" t="str">
        <f>IF(D42&gt;$R$44,,UPPER(VLOOKUP(D42,'F14 ELO'!$A$7:$Q$134,2)))</f>
        <v>DUNAKESZI TK</v>
      </c>
      <c r="F42" s="348"/>
      <c r="G42" s="240" t="s">
        <v>3</v>
      </c>
      <c r="H42" s="197"/>
      <c r="I42" s="230"/>
      <c r="J42" s="241"/>
      <c r="K42" s="194" t="s">
        <v>41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99" t="s">
        <v>48</v>
      </c>
      <c r="B43" s="117"/>
      <c r="C43" s="200"/>
      <c r="D43" s="232">
        <v>2</v>
      </c>
      <c r="E43" s="346" t="str">
        <f>IF(D43&gt;$R$44,,UPPER(VLOOKUP(D43,'F14 ELO'!$A$7:$Q$134,2)))</f>
        <v>TENISZ MŰHELY</v>
      </c>
      <c r="F43" s="346"/>
      <c r="G43" s="242" t="s">
        <v>4</v>
      </c>
      <c r="H43" s="233"/>
      <c r="I43" s="234"/>
      <c r="J43" s="82"/>
      <c r="K43" s="244"/>
      <c r="L43" s="192"/>
      <c r="M43" s="239"/>
      <c r="O43" s="211"/>
      <c r="P43" s="224"/>
      <c r="Q43" s="225"/>
      <c r="R43" s="224"/>
      <c r="S43" s="211"/>
    </row>
    <row r="44" spans="1:19" x14ac:dyDescent="0.25">
      <c r="A44" s="132"/>
      <c r="B44" s="133"/>
      <c r="C44" s="134"/>
      <c r="D44" s="232"/>
      <c r="E44" s="236"/>
      <c r="F44" s="237"/>
      <c r="G44" s="242" t="s">
        <v>5</v>
      </c>
      <c r="H44" s="233"/>
      <c r="I44" s="234"/>
      <c r="J44" s="82"/>
      <c r="K44" s="194" t="s">
        <v>42</v>
      </c>
      <c r="L44" s="247"/>
      <c r="M44" s="231"/>
      <c r="O44" s="211"/>
      <c r="P44" s="223"/>
      <c r="Q44" s="223"/>
      <c r="R44" s="226">
        <f>MIN(4,'F14 ELO'!Q2)</f>
        <v>4</v>
      </c>
      <c r="S44" s="211"/>
    </row>
    <row r="45" spans="1:19" x14ac:dyDescent="0.25">
      <c r="A45" s="112"/>
      <c r="B45" s="163"/>
      <c r="C45" s="113"/>
      <c r="D45" s="232"/>
      <c r="E45" s="236"/>
      <c r="F45" s="237"/>
      <c r="G45" s="242" t="s">
        <v>6</v>
      </c>
      <c r="H45" s="233"/>
      <c r="I45" s="234"/>
      <c r="J45" s="82"/>
      <c r="K45" s="245"/>
      <c r="L45" s="237"/>
      <c r="M45" s="235"/>
      <c r="O45" s="211"/>
      <c r="P45" s="224"/>
      <c r="Q45" s="225"/>
      <c r="R45" s="224"/>
      <c r="S45" s="211"/>
    </row>
    <row r="46" spans="1:19" x14ac:dyDescent="0.25">
      <c r="A46" s="121"/>
      <c r="B46" s="135"/>
      <c r="C46" s="164"/>
      <c r="D46" s="232"/>
      <c r="E46" s="236"/>
      <c r="F46" s="237"/>
      <c r="G46" s="242" t="s">
        <v>7</v>
      </c>
      <c r="H46" s="233"/>
      <c r="I46" s="234"/>
      <c r="J46" s="82"/>
      <c r="K46" s="199"/>
      <c r="L46" s="192"/>
      <c r="M46" s="239"/>
      <c r="O46" s="211"/>
      <c r="P46" s="224"/>
      <c r="Q46" s="225"/>
      <c r="R46" s="224"/>
      <c r="S46" s="211"/>
    </row>
    <row r="47" spans="1:19" x14ac:dyDescent="0.25">
      <c r="A47" s="122"/>
      <c r="B47" s="138"/>
      <c r="C47" s="113"/>
      <c r="D47" s="232"/>
      <c r="E47" s="236"/>
      <c r="F47" s="237"/>
      <c r="G47" s="242" t="s">
        <v>8</v>
      </c>
      <c r="H47" s="233"/>
      <c r="I47" s="234"/>
      <c r="J47" s="82"/>
      <c r="K47" s="194" t="s">
        <v>31</v>
      </c>
      <c r="L47" s="247"/>
      <c r="M47" s="231"/>
      <c r="O47" s="211"/>
      <c r="P47" s="223"/>
      <c r="Q47" s="223"/>
      <c r="R47" s="224"/>
      <c r="S47" s="211"/>
    </row>
    <row r="48" spans="1:19" x14ac:dyDescent="0.25">
      <c r="A48" s="122"/>
      <c r="B48" s="138"/>
      <c r="C48" s="130"/>
      <c r="D48" s="232"/>
      <c r="E48" s="236"/>
      <c r="F48" s="237"/>
      <c r="G48" s="242" t="s">
        <v>9</v>
      </c>
      <c r="H48" s="233"/>
      <c r="I48" s="234"/>
      <c r="J48" s="82"/>
      <c r="K48" s="245"/>
      <c r="L48" s="237"/>
      <c r="M48" s="235"/>
      <c r="O48" s="211"/>
      <c r="P48" s="224"/>
      <c r="Q48" s="225"/>
      <c r="R48" s="224"/>
      <c r="S48" s="211"/>
    </row>
    <row r="49" spans="1:19" x14ac:dyDescent="0.25">
      <c r="A49" s="123"/>
      <c r="B49" s="120"/>
      <c r="C49" s="131"/>
      <c r="D49" s="238"/>
      <c r="E49" s="114"/>
      <c r="F49" s="192"/>
      <c r="G49" s="243" t="s">
        <v>10</v>
      </c>
      <c r="H49" s="117"/>
      <c r="I49" s="195"/>
      <c r="J49" s="115"/>
      <c r="K49" s="199" t="str">
        <f>L4</f>
        <v>Rákóczi Andrea</v>
      </c>
      <c r="L49" s="192"/>
      <c r="M49" s="239"/>
      <c r="O49" s="211"/>
      <c r="P49" s="224"/>
      <c r="Q49" s="225"/>
      <c r="R49" s="226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9 R44">
    <cfRule type="expression" dxfId="43" priority="2" stopIfTrue="1">
      <formula>$O$1="CU"</formula>
    </cfRule>
  </conditionalFormatting>
  <conditionalFormatting sqref="E7 E9 E11 E13 E15 E17 E19">
    <cfRule type="cellIs" dxfId="42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7">
    <tabColor indexed="11"/>
  </sheetPr>
  <dimension ref="A1:AK54"/>
  <sheetViews>
    <sheetView workbookViewId="0">
      <selection activeCell="S16" sqref="S1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IF(Y5=1,CONCATENATE(VLOOKUP(Y3,AA16:AH30,2)),CONCATENATE(VLOOKUP(Y3,AA2:AK13,2)))</f>
        <v>#N/A</v>
      </c>
      <c r="AC1" s="284" t="e">
        <f>IF(Y5=1,CONCATENATE(VLOOKUP(Y3,AA16:AK30,3)),CONCATENATE(VLOOKUP(Y3,AA2:AK13,3)))</f>
        <v>#N/A</v>
      </c>
      <c r="AD1" s="284" t="e">
        <f>IF(Y5=1,CONCATENATE(VLOOKUP(Y3,AA16:AK30,4)),CONCATENATE(VLOOKUP(Y3,AA2:AK13,4)))</f>
        <v>#N/A</v>
      </c>
      <c r="AE1" s="284" t="e">
        <f>IF(Y5=1,CONCATENATE(VLOOKUP(Y3,AA16:AK30,5)),CONCATENATE(VLOOKUP(Y3,AA2:AK13,5)))</f>
        <v>#N/A</v>
      </c>
      <c r="AF1" s="284" t="e">
        <f>IF(Y5=1,CONCATENATE(VLOOKUP(Y3,AA16:AK30,6)),CONCATENATE(VLOOKUP(Y3,AA2:AK13,6)))</f>
        <v>#N/A</v>
      </c>
      <c r="AG1" s="284" t="e">
        <f>IF(Y5=1,CONCATENATE(VLOOKUP(Y3,AA16:AK30,7)),CONCATENATE(VLOOKUP(Y3,AA2:AK13,7)))</f>
        <v>#N/A</v>
      </c>
      <c r="AH1" s="284" t="e">
        <f>IF(Y5=1,CONCATENATE(VLOOKUP(Y3,AA16:AK30,8)),CONCATENATE(VLOOKUP(Y3,AA2:AK13,8)))</f>
        <v>#N/A</v>
      </c>
      <c r="AI1" s="284" t="e">
        <f>IF(Y5=1,CONCATENATE(VLOOKUP(Y3,AA16:AK30,9)),CONCATENATE(VLOOKUP(Y3,AA2:AK13,9)))</f>
        <v>#N/A</v>
      </c>
      <c r="AJ1" s="284" t="e">
        <f>IF(Y5=1,CONCATENATE(VLOOKUP(Y3,AA16:AK30,10)),CONCATENATE(VLOOKUP(Y3,AA2:AK13,10)))</f>
        <v>#N/A</v>
      </c>
      <c r="AK1" s="284" t="e">
        <f>IF(Y5=1,CONCATENATE(VLOOKUP(Y3,AA16:AK30,11)),CONCATENATE(VLOOKUP(Y3,AA2:AK13,11)))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Altalanos!$B$8</f>
        <v>F14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>
        <v>1</v>
      </c>
      <c r="C7" s="205">
        <f>IF($B7="","",VLOOKUP($B7,'F14 ELO'!$A$7:$O$22,5))</f>
        <v>0</v>
      </c>
      <c r="D7" s="205">
        <f>IF($B7="","",VLOOKUP($B7,'F14 ELO'!$A$7:$O$22,15))</f>
        <v>13</v>
      </c>
      <c r="E7" s="202" t="str">
        <f>UPPER(IF($B7="","",VLOOKUP($B7,'F14 ELO'!$A$7:$O$22,2)))</f>
        <v>DUNAKESZI TK</v>
      </c>
      <c r="F7" s="204"/>
      <c r="G7" s="202">
        <f>IF($B7="","",VLOOKUP($B7,'F14 ELO'!$A$7:$O$22,3))</f>
        <v>0</v>
      </c>
      <c r="H7" s="204"/>
      <c r="I7" s="202">
        <f>IF($B7="","",VLOOKUP($B7,'F14 ELO'!$A$7:$O$22,4))</f>
        <v>0</v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65" t="s">
        <v>72</v>
      </c>
      <c r="R7" s="320" t="s">
        <v>115</v>
      </c>
      <c r="S7" s="320" t="s">
        <v>116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67" t="s">
        <v>79</v>
      </c>
      <c r="R8" s="321" t="s">
        <v>113</v>
      </c>
      <c r="S8" s="321" t="s">
        <v>117</v>
      </c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>
        <v>4</v>
      </c>
      <c r="C9" s="205">
        <f>IF($B9="","",VLOOKUP($B9,'F14 ELO'!$A$7:$O$22,5))</f>
        <v>0</v>
      </c>
      <c r="D9" s="205">
        <f>IF($B9="","",VLOOKUP($B9,'F14 ELO'!$A$7:$O$22,15))</f>
        <v>74</v>
      </c>
      <c r="E9" s="201" t="str">
        <f>UPPER(IF($B9="","",VLOOKUP($B9,'F14 ELO'!$A$7:$O$22,2)))</f>
        <v>PASARÉT TK</v>
      </c>
      <c r="F9" s="206"/>
      <c r="G9" s="201">
        <f>IF($B9="","",VLOOKUP($B9,'F14 ELO'!$A$7:$O$22,3))</f>
        <v>0</v>
      </c>
      <c r="H9" s="206"/>
      <c r="I9" s="201">
        <f>IF($B9="","",VLOOKUP($B9,'F14 ELO'!$A$7:$O$22,4))</f>
        <v>0</v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69" t="s">
        <v>80</v>
      </c>
      <c r="R9" s="322" t="s">
        <v>110</v>
      </c>
      <c r="S9" s="322" t="s">
        <v>118</v>
      </c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>
        <v>8</v>
      </c>
      <c r="C11" s="205">
        <f>IF($B11="","",VLOOKUP($B11,'F14 ELO'!$A$7:$O$22,5))</f>
        <v>0</v>
      </c>
      <c r="D11" s="205">
        <f>IF($B11="","",VLOOKUP($B11,'F14 ELO'!$A$7:$O$22,15))</f>
        <v>171</v>
      </c>
      <c r="E11" s="201" t="str">
        <f>UPPER(IF($B11="","",VLOOKUP($B11,'F14 ELO'!$A$7:$O$22,2)))</f>
        <v>GELLÉRT SE</v>
      </c>
      <c r="F11" s="206"/>
      <c r="G11" s="201">
        <f>IF($B11="","",VLOOKUP($B11,'F14 ELO'!$A$7:$O$22,3))</f>
        <v>0</v>
      </c>
      <c r="H11" s="206"/>
      <c r="I11" s="201">
        <f>IF($B11="","",VLOOKUP($B11,'F14 ELO'!$A$7:$O$22,4))</f>
        <v>0</v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313" t="s">
        <v>65</v>
      </c>
      <c r="B13" s="316">
        <v>5</v>
      </c>
      <c r="C13" s="205">
        <f>IF($B13="","",VLOOKUP($B13,'F14 ELO'!$A$7:$O$22,5))</f>
        <v>0</v>
      </c>
      <c r="D13" s="205">
        <f>IF($B13="","",VLOOKUP($B13,'F14 ELO'!$A$7:$O$22,15))</f>
        <v>90</v>
      </c>
      <c r="E13" s="201" t="str">
        <f>UPPER(IF($B13="","",VLOOKUP($B13,'F14 ELO'!$A$7:$O$22,2)))</f>
        <v>BUSC</v>
      </c>
      <c r="F13" s="206"/>
      <c r="G13" s="201">
        <f>IF($B13="","",VLOOKUP($B13,'F14 ELO'!$A$7:$O$22,3))</f>
        <v>0</v>
      </c>
      <c r="H13" s="206"/>
      <c r="I13" s="201">
        <f>IF($B13="","",VLOOKUP($B13,'F14 ELO'!$A$7:$O$22,4))</f>
        <v>0</v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19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56" t="s">
        <v>66</v>
      </c>
      <c r="B15" s="315">
        <v>2</v>
      </c>
      <c r="C15" s="205">
        <f>IF($B15="","",VLOOKUP($B15,'F14 ELO'!$A$7:$O$22,5))</f>
        <v>0</v>
      </c>
      <c r="D15" s="314">
        <f>IF($B15="","",VLOOKUP($B15,'F14 ELO'!$A$7:$O$22,15))</f>
        <v>39</v>
      </c>
      <c r="E15" s="202" t="str">
        <f>UPPER(IF($B15="","",VLOOKUP($B15,'F14 ELO'!$A$7:$O$22,2)))</f>
        <v>TENISZ MŰHELY</v>
      </c>
      <c r="F15" s="204"/>
      <c r="G15" s="202">
        <f>IF($B15="","",VLOOKUP($B15,'F14 ELO'!$A$7:$O$22,3))</f>
        <v>0</v>
      </c>
      <c r="H15" s="204"/>
      <c r="I15" s="202">
        <f>IF($B15="","",VLOOKUP($B15,'F14 ELO'!$A$7:$O$22,4))</f>
        <v>0</v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19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>
        <v>6</v>
      </c>
      <c r="C17" s="205">
        <f>IF($B17="","",VLOOKUP($B17,'F14 ELO'!$A$7:$O$22,5))</f>
        <v>0</v>
      </c>
      <c r="D17" s="205">
        <f>IF($B17="","",VLOOKUP($B17,'F14 ELO'!$A$7:$O$22,15))</f>
        <v>91</v>
      </c>
      <c r="E17" s="201" t="str">
        <f>UPPER(IF($B17="","",VLOOKUP($B17,'F14 ELO'!$A$7:$O$22,2)))</f>
        <v>VIHARSAROK TA</v>
      </c>
      <c r="F17" s="206"/>
      <c r="G17" s="201">
        <f>IF($B17="","",VLOOKUP($B17,'F14 ELO'!$A$7:$O$22,3))</f>
        <v>0</v>
      </c>
      <c r="H17" s="206"/>
      <c r="I17" s="201">
        <f>IF($B17="","",VLOOKUP($B17,'F14 ELO'!$A$7:$O$22,4))</f>
        <v>0</v>
      </c>
      <c r="J17" s="193"/>
      <c r="K17" s="285"/>
      <c r="L17" s="279" t="str">
        <f>IF(K17="","",CONCATENATE(VLOOKUP($Y$3,$AB$1:$AK$1,K17)," pont"))</f>
        <v/>
      </c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219"/>
      <c r="B18" s="272"/>
      <c r="C18" s="220"/>
      <c r="D18" s="220"/>
      <c r="E18" s="220"/>
      <c r="F18" s="220"/>
      <c r="G18" s="220"/>
      <c r="H18" s="220"/>
      <c r="I18" s="220"/>
      <c r="J18" s="193"/>
      <c r="K18" s="219"/>
      <c r="L18" s="219"/>
      <c r="M18" s="287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313" t="s">
        <v>71</v>
      </c>
      <c r="B19" s="273">
        <v>3</v>
      </c>
      <c r="C19" s="205">
        <f>IF($B19="","",VLOOKUP($B19,'F14 ELO'!$A$7:$O$22,5))</f>
        <v>0</v>
      </c>
      <c r="D19" s="205">
        <f>IF($B19="","",VLOOKUP($B19,'F14 ELO'!$A$7:$O$22,15))</f>
        <v>63</v>
      </c>
      <c r="E19" s="201" t="str">
        <f>UPPER(IF($B19="","",VLOOKUP($B19,'F14 ELO'!$A$7:$O$22,2)))</f>
        <v>SVSE</v>
      </c>
      <c r="F19" s="206"/>
      <c r="G19" s="201">
        <f>IF($B19="","",VLOOKUP($B19,'F14 ELO'!$A$7:$O$22,3))</f>
        <v>0</v>
      </c>
      <c r="H19" s="206"/>
      <c r="I19" s="201">
        <f>IF($B19="","",VLOOKUP($B19,'F14 ELO'!$A$7:$O$22,4))</f>
        <v>0</v>
      </c>
      <c r="J19" s="193"/>
      <c r="K19" s="285"/>
      <c r="L19" s="279" t="str">
        <f>IF(K19="","",CONCATENATE(VLOOKUP($Y$3,$AB$1:$AK$1,K19)," pont"))</f>
        <v/>
      </c>
      <c r="M19" s="286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219"/>
      <c r="B20" s="272"/>
      <c r="C20" s="220"/>
      <c r="D20" s="220"/>
      <c r="E20" s="220"/>
      <c r="F20" s="220"/>
      <c r="G20" s="220"/>
      <c r="H20" s="220"/>
      <c r="I20" s="220"/>
      <c r="J20" s="193"/>
      <c r="K20" s="219"/>
      <c r="L20" s="219"/>
      <c r="M20" s="287"/>
      <c r="Y20" s="277"/>
      <c r="Z20" s="277"/>
      <c r="AA20" s="277" t="s">
        <v>89</v>
      </c>
      <c r="AB20" s="277">
        <v>200</v>
      </c>
      <c r="AC20" s="277">
        <v>150</v>
      </c>
      <c r="AD20" s="277">
        <v>130</v>
      </c>
      <c r="AE20" s="277">
        <v>110</v>
      </c>
      <c r="AF20" s="277">
        <v>95</v>
      </c>
      <c r="AG20" s="277">
        <v>80</v>
      </c>
      <c r="AH20" s="277">
        <v>70</v>
      </c>
      <c r="AI20" s="277">
        <v>60</v>
      </c>
      <c r="AJ20" s="277">
        <v>55</v>
      </c>
      <c r="AK20" s="277">
        <v>50</v>
      </c>
    </row>
    <row r="21" spans="1:37" x14ac:dyDescent="0.25">
      <c r="A21" s="313" t="s">
        <v>108</v>
      </c>
      <c r="B21" s="273">
        <v>7</v>
      </c>
      <c r="C21" s="205">
        <f>IF($B21="","",VLOOKUP($B21,'F14 ELO'!$A$7:$O$22,5))</f>
        <v>0</v>
      </c>
      <c r="D21" s="205">
        <f>IF($B21="","",VLOOKUP($B21,'F14 ELO'!$A$7:$O$22,15))</f>
        <v>107</v>
      </c>
      <c r="E21" s="201" t="str">
        <f>UPPER(IF($B21="","",VLOOKUP($B21,'F14 ELO'!$A$7:$O$22,2)))</f>
        <v>PG TENISZ</v>
      </c>
      <c r="F21" s="206"/>
      <c r="G21" s="201">
        <f>IF($B21="","",VLOOKUP($B21,'F14 ELO'!$A$7:$O$22,3))</f>
        <v>0</v>
      </c>
      <c r="H21" s="206"/>
      <c r="I21" s="201">
        <f>IF($B21="","",VLOOKUP($B21,'F14 ELO'!$A$7:$O$22,4))</f>
        <v>0</v>
      </c>
      <c r="J21" s="193"/>
      <c r="K21" s="285"/>
      <c r="L21" s="279" t="str">
        <f>IF(K21="","",CONCATENATE(VLOOKUP($Y$3,$AB$1:$AK$1,K21)," pont"))</f>
        <v/>
      </c>
      <c r="M21" s="286"/>
      <c r="Y21" s="277"/>
      <c r="Z21" s="277"/>
      <c r="AA21" s="277" t="s">
        <v>90</v>
      </c>
      <c r="AB21" s="277">
        <v>150</v>
      </c>
      <c r="AC21" s="277">
        <v>120</v>
      </c>
      <c r="AD21" s="277">
        <v>100</v>
      </c>
      <c r="AE21" s="277">
        <v>80</v>
      </c>
      <c r="AF21" s="277">
        <v>70</v>
      </c>
      <c r="AG21" s="277">
        <v>60</v>
      </c>
      <c r="AH21" s="277">
        <v>55</v>
      </c>
      <c r="AI21" s="277">
        <v>50</v>
      </c>
      <c r="AJ21" s="277">
        <v>45</v>
      </c>
      <c r="AK21" s="277">
        <v>40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77"/>
      <c r="Z22" s="277"/>
      <c r="AA22" s="277" t="s">
        <v>91</v>
      </c>
      <c r="AB22" s="277">
        <v>120</v>
      </c>
      <c r="AC22" s="277">
        <v>90</v>
      </c>
      <c r="AD22" s="277">
        <v>65</v>
      </c>
      <c r="AE22" s="277">
        <v>55</v>
      </c>
      <c r="AF22" s="277">
        <v>50</v>
      </c>
      <c r="AG22" s="277">
        <v>45</v>
      </c>
      <c r="AH22" s="277">
        <v>40</v>
      </c>
      <c r="AI22" s="277">
        <v>35</v>
      </c>
      <c r="AJ22" s="277">
        <v>25</v>
      </c>
      <c r="AK22" s="277">
        <v>20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7"/>
      <c r="Z23" s="277"/>
      <c r="AA23" s="277" t="s">
        <v>92</v>
      </c>
      <c r="AB23" s="277">
        <v>90</v>
      </c>
      <c r="AC23" s="277">
        <v>60</v>
      </c>
      <c r="AD23" s="277">
        <v>45</v>
      </c>
      <c r="AE23" s="277">
        <v>34</v>
      </c>
      <c r="AF23" s="277">
        <v>27</v>
      </c>
      <c r="AG23" s="277">
        <v>22</v>
      </c>
      <c r="AH23" s="277">
        <v>18</v>
      </c>
      <c r="AI23" s="277">
        <v>15</v>
      </c>
      <c r="AJ23" s="277">
        <v>12</v>
      </c>
      <c r="AK23" s="277">
        <v>9</v>
      </c>
    </row>
    <row r="24" spans="1:37" ht="18.75" customHeight="1" x14ac:dyDescent="0.25">
      <c r="A24" s="193"/>
      <c r="B24" s="345"/>
      <c r="C24" s="345"/>
      <c r="D24" s="344" t="str">
        <f>E7</f>
        <v>DUNAKESZI TK</v>
      </c>
      <c r="E24" s="344"/>
      <c r="F24" s="344" t="str">
        <f>E9</f>
        <v>PASARÉT TK</v>
      </c>
      <c r="G24" s="344"/>
      <c r="H24" s="344" t="str">
        <f>E11</f>
        <v>GELLÉRT SE</v>
      </c>
      <c r="I24" s="344"/>
      <c r="J24" s="344" t="str">
        <f>E13</f>
        <v>BUSC</v>
      </c>
      <c r="K24" s="344"/>
      <c r="L24" s="193"/>
      <c r="M24" s="257" t="s">
        <v>62</v>
      </c>
      <c r="Y24" s="277"/>
      <c r="Z24" s="277"/>
      <c r="AA24" s="277" t="s">
        <v>93</v>
      </c>
      <c r="AB24" s="277">
        <v>60</v>
      </c>
      <c r="AC24" s="277">
        <v>40</v>
      </c>
      <c r="AD24" s="277">
        <v>30</v>
      </c>
      <c r="AE24" s="277">
        <v>20</v>
      </c>
      <c r="AF24" s="277">
        <v>18</v>
      </c>
      <c r="AG24" s="277">
        <v>15</v>
      </c>
      <c r="AH24" s="277">
        <v>12</v>
      </c>
      <c r="AI24" s="277">
        <v>10</v>
      </c>
      <c r="AJ24" s="277">
        <v>8</v>
      </c>
      <c r="AK24" s="277">
        <v>6</v>
      </c>
    </row>
    <row r="25" spans="1:37" ht="18.75" customHeight="1" x14ac:dyDescent="0.25">
      <c r="A25" s="255" t="s">
        <v>58</v>
      </c>
      <c r="B25" s="349" t="str">
        <f>E7</f>
        <v>DUNAKESZI TK</v>
      </c>
      <c r="C25" s="349"/>
      <c r="D25" s="342"/>
      <c r="E25" s="342"/>
      <c r="F25" s="341"/>
      <c r="G25" s="341"/>
      <c r="H25" s="341"/>
      <c r="I25" s="341"/>
      <c r="J25" s="344"/>
      <c r="K25" s="344"/>
      <c r="L25" s="193"/>
      <c r="M25" s="259"/>
      <c r="Y25" s="277"/>
      <c r="Z25" s="277"/>
      <c r="AA25" s="277" t="s">
        <v>94</v>
      </c>
      <c r="AB25" s="277">
        <v>40</v>
      </c>
      <c r="AC25" s="277">
        <v>25</v>
      </c>
      <c r="AD25" s="277">
        <v>18</v>
      </c>
      <c r="AE25" s="277">
        <v>13</v>
      </c>
      <c r="AF25" s="277">
        <v>8</v>
      </c>
      <c r="AG25" s="277">
        <v>7</v>
      </c>
      <c r="AH25" s="277">
        <v>6</v>
      </c>
      <c r="AI25" s="277">
        <v>5</v>
      </c>
      <c r="AJ25" s="277">
        <v>4</v>
      </c>
      <c r="AK25" s="277">
        <v>3</v>
      </c>
    </row>
    <row r="26" spans="1:37" ht="18.75" customHeight="1" x14ac:dyDescent="0.25">
      <c r="A26" s="255" t="s">
        <v>59</v>
      </c>
      <c r="B26" s="349" t="str">
        <f>E9</f>
        <v>PASARÉT TK</v>
      </c>
      <c r="C26" s="349"/>
      <c r="D26" s="341"/>
      <c r="E26" s="341"/>
      <c r="F26" s="342"/>
      <c r="G26" s="342"/>
      <c r="H26" s="341"/>
      <c r="I26" s="341"/>
      <c r="J26" s="341"/>
      <c r="K26" s="341"/>
      <c r="L26" s="193"/>
      <c r="M26" s="259"/>
      <c r="Y26" s="277"/>
      <c r="Z26" s="277"/>
      <c r="AA26" s="277" t="s">
        <v>95</v>
      </c>
      <c r="AB26" s="277">
        <v>25</v>
      </c>
      <c r="AC26" s="277">
        <v>15</v>
      </c>
      <c r="AD26" s="277">
        <v>13</v>
      </c>
      <c r="AE26" s="277">
        <v>7</v>
      </c>
      <c r="AF26" s="277">
        <v>6</v>
      </c>
      <c r="AG26" s="277">
        <v>5</v>
      </c>
      <c r="AH26" s="277">
        <v>4</v>
      </c>
      <c r="AI26" s="277">
        <v>3</v>
      </c>
      <c r="AJ26" s="277">
        <v>2</v>
      </c>
      <c r="AK26" s="277">
        <v>1</v>
      </c>
    </row>
    <row r="27" spans="1:37" ht="18.75" customHeight="1" x14ac:dyDescent="0.25">
      <c r="A27" s="255" t="s">
        <v>60</v>
      </c>
      <c r="B27" s="349" t="str">
        <f>E11</f>
        <v>GELLÉRT SE</v>
      </c>
      <c r="C27" s="349"/>
      <c r="D27" s="341"/>
      <c r="E27" s="341"/>
      <c r="F27" s="341"/>
      <c r="G27" s="341"/>
      <c r="H27" s="342"/>
      <c r="I27" s="342"/>
      <c r="J27" s="341"/>
      <c r="K27" s="341"/>
      <c r="L27" s="193"/>
      <c r="M27" s="259"/>
      <c r="Y27" s="277"/>
      <c r="Z27" s="277"/>
      <c r="AA27" s="277" t="s">
        <v>100</v>
      </c>
      <c r="AB27" s="277">
        <v>15</v>
      </c>
      <c r="AC27" s="277">
        <v>10</v>
      </c>
      <c r="AD27" s="277">
        <v>8</v>
      </c>
      <c r="AE27" s="277">
        <v>4</v>
      </c>
      <c r="AF27" s="277">
        <v>3</v>
      </c>
      <c r="AG27" s="277">
        <v>2</v>
      </c>
      <c r="AH27" s="277">
        <v>1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312" t="s">
        <v>65</v>
      </c>
      <c r="B28" s="349" t="str">
        <f>E13</f>
        <v>BUSC</v>
      </c>
      <c r="C28" s="349"/>
      <c r="D28" s="341"/>
      <c r="E28" s="341"/>
      <c r="F28" s="341"/>
      <c r="G28" s="341"/>
      <c r="H28" s="344"/>
      <c r="I28" s="344"/>
      <c r="J28" s="342"/>
      <c r="K28" s="342"/>
      <c r="L28" s="193"/>
      <c r="M28" s="259"/>
      <c r="Y28" s="277"/>
      <c r="Z28" s="277"/>
      <c r="AA28" s="277" t="s">
        <v>100</v>
      </c>
      <c r="AB28" s="277">
        <v>15</v>
      </c>
      <c r="AC28" s="277">
        <v>10</v>
      </c>
      <c r="AD28" s="277">
        <v>8</v>
      </c>
      <c r="AE28" s="277">
        <v>4</v>
      </c>
      <c r="AF28" s="277">
        <v>3</v>
      </c>
      <c r="AG28" s="277">
        <v>2</v>
      </c>
      <c r="AH28" s="277">
        <v>1</v>
      </c>
      <c r="AI28" s="277">
        <v>0</v>
      </c>
      <c r="AJ28" s="277">
        <v>0</v>
      </c>
      <c r="AK28" s="277">
        <v>0</v>
      </c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260"/>
      <c r="Y29" s="277"/>
      <c r="Z29" s="277"/>
      <c r="AA29" s="277" t="s">
        <v>96</v>
      </c>
      <c r="AB29" s="277">
        <v>10</v>
      </c>
      <c r="AC29" s="277">
        <v>6</v>
      </c>
      <c r="AD29" s="277">
        <v>4</v>
      </c>
      <c r="AE29" s="277">
        <v>2</v>
      </c>
      <c r="AF29" s="277">
        <v>1</v>
      </c>
      <c r="AG29" s="277">
        <v>0</v>
      </c>
      <c r="AH29" s="277">
        <v>0</v>
      </c>
      <c r="AI29" s="277">
        <v>0</v>
      </c>
      <c r="AJ29" s="277">
        <v>0</v>
      </c>
      <c r="AK29" s="277">
        <v>0</v>
      </c>
    </row>
    <row r="30" spans="1:37" ht="18.75" customHeight="1" x14ac:dyDescent="0.25">
      <c r="A30" s="193"/>
      <c r="B30" s="345"/>
      <c r="C30" s="345"/>
      <c r="D30" s="344" t="str">
        <f>E15</f>
        <v>TENISZ MŰHELY</v>
      </c>
      <c r="E30" s="344"/>
      <c r="F30" s="344" t="str">
        <f>E17</f>
        <v>VIHARSAROK TA</v>
      </c>
      <c r="G30" s="344"/>
      <c r="H30" s="352" t="str">
        <f>E19</f>
        <v>SVSE</v>
      </c>
      <c r="I30" s="353"/>
      <c r="J30" s="344" t="str">
        <f>E21</f>
        <v>PG TENISZ</v>
      </c>
      <c r="K30" s="344"/>
      <c r="L30" s="193"/>
      <c r="M30" s="260"/>
      <c r="Y30" s="277"/>
      <c r="Z30" s="277"/>
      <c r="AA30" s="277" t="s">
        <v>97</v>
      </c>
      <c r="AB30" s="277">
        <v>3</v>
      </c>
      <c r="AC30" s="277">
        <v>2</v>
      </c>
      <c r="AD30" s="277">
        <v>1</v>
      </c>
      <c r="AE30" s="277">
        <v>0</v>
      </c>
      <c r="AF30" s="277">
        <v>0</v>
      </c>
      <c r="AG30" s="277">
        <v>0</v>
      </c>
      <c r="AH30" s="277">
        <v>0</v>
      </c>
      <c r="AI30" s="277">
        <v>0</v>
      </c>
      <c r="AJ30" s="277">
        <v>0</v>
      </c>
      <c r="AK30" s="277">
        <v>0</v>
      </c>
    </row>
    <row r="31" spans="1:37" ht="18.75" customHeight="1" x14ac:dyDescent="0.25">
      <c r="A31" s="312" t="s">
        <v>66</v>
      </c>
      <c r="B31" s="354" t="str">
        <f>E15</f>
        <v>TENISZ MŰHELY</v>
      </c>
      <c r="C31" s="355"/>
      <c r="D31" s="342"/>
      <c r="E31" s="342"/>
      <c r="F31" s="341"/>
      <c r="G31" s="341"/>
      <c r="H31" s="341"/>
      <c r="I31" s="341"/>
      <c r="J31" s="344"/>
      <c r="K31" s="344"/>
      <c r="L31" s="193"/>
      <c r="M31" s="259"/>
    </row>
    <row r="32" spans="1:37" ht="18.75" customHeight="1" x14ac:dyDescent="0.25">
      <c r="A32" s="312" t="s">
        <v>67</v>
      </c>
      <c r="B32" s="349" t="str">
        <f>E17</f>
        <v>VIHARSAROK TA</v>
      </c>
      <c r="C32" s="349"/>
      <c r="D32" s="341"/>
      <c r="E32" s="341"/>
      <c r="F32" s="342"/>
      <c r="G32" s="342"/>
      <c r="H32" s="341"/>
      <c r="I32" s="341"/>
      <c r="J32" s="341"/>
      <c r="K32" s="341"/>
      <c r="L32" s="193"/>
      <c r="M32" s="259"/>
    </row>
    <row r="33" spans="1:19" ht="18.75" customHeight="1" x14ac:dyDescent="0.25">
      <c r="A33" s="312" t="s">
        <v>71</v>
      </c>
      <c r="B33" s="349" t="str">
        <f>E19</f>
        <v>SVSE</v>
      </c>
      <c r="C33" s="349"/>
      <c r="D33" s="341"/>
      <c r="E33" s="341"/>
      <c r="F33" s="341"/>
      <c r="G33" s="341"/>
      <c r="H33" s="342"/>
      <c r="I33" s="342"/>
      <c r="J33" s="341"/>
      <c r="K33" s="341"/>
      <c r="L33" s="193"/>
      <c r="M33" s="259"/>
    </row>
    <row r="34" spans="1:19" ht="18.75" customHeight="1" x14ac:dyDescent="0.25">
      <c r="A34" s="312" t="s">
        <v>108</v>
      </c>
      <c r="B34" s="349" t="str">
        <f>E21</f>
        <v>PG TENISZ</v>
      </c>
      <c r="C34" s="349"/>
      <c r="D34" s="341"/>
      <c r="E34" s="341"/>
      <c r="F34" s="341"/>
      <c r="G34" s="341"/>
      <c r="H34" s="344"/>
      <c r="I34" s="344"/>
      <c r="J34" s="342"/>
      <c r="K34" s="342"/>
      <c r="L34" s="193"/>
      <c r="M34" s="259"/>
    </row>
    <row r="35" spans="1:19" ht="18.75" customHeight="1" x14ac:dyDescent="0.25">
      <c r="A35" s="261"/>
      <c r="B35" s="262"/>
      <c r="C35" s="262"/>
      <c r="D35" s="261"/>
      <c r="E35" s="261"/>
      <c r="F35" s="261"/>
      <c r="G35" s="261"/>
      <c r="H35" s="261"/>
      <c r="I35" s="261"/>
      <c r="J35" s="193"/>
      <c r="K35" s="193"/>
      <c r="L35" s="193"/>
      <c r="M35" s="263"/>
    </row>
    <row r="36" spans="1:19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</row>
    <row r="37" spans="1:19" x14ac:dyDescent="0.25">
      <c r="A37" s="193" t="s">
        <v>52</v>
      </c>
      <c r="B37" s="193"/>
      <c r="C37" s="351" t="str">
        <f>IF(M25=1,B25,IF(M26=1,B26,IF(M27=1,B27,IF(M28=1,B28,""))))</f>
        <v/>
      </c>
      <c r="D37" s="351"/>
      <c r="E37" s="219" t="s">
        <v>69</v>
      </c>
      <c r="F37" s="351" t="str">
        <f>IF(M31=1,B31,IF(M32=1,B32,IF(M33=1,B33,IF(M34=1,B34,""))))</f>
        <v/>
      </c>
      <c r="G37" s="351"/>
      <c r="H37" s="193"/>
      <c r="I37" s="192"/>
      <c r="J37" s="193"/>
      <c r="K37" s="193"/>
      <c r="L37" s="193"/>
      <c r="M37" s="193"/>
    </row>
    <row r="38" spans="1:19" x14ac:dyDescent="0.25">
      <c r="A38" s="193"/>
      <c r="B38" s="193"/>
      <c r="C38" s="193"/>
      <c r="D38" s="193"/>
      <c r="E38" s="193"/>
      <c r="F38" s="219"/>
      <c r="G38" s="219"/>
      <c r="H38" s="193"/>
      <c r="I38" s="193"/>
      <c r="J38" s="193"/>
      <c r="K38" s="193"/>
      <c r="L38" s="193"/>
      <c r="M38" s="193"/>
    </row>
    <row r="39" spans="1:19" x14ac:dyDescent="0.25">
      <c r="A39" s="193" t="s">
        <v>68</v>
      </c>
      <c r="B39" s="193"/>
      <c r="C39" s="351" t="str">
        <f>IF(M25=2,B25,IF(M26=2,B26,IF(M27=2,B27,IF(M28=2,B28,""))))</f>
        <v/>
      </c>
      <c r="D39" s="351"/>
      <c r="E39" s="219" t="s">
        <v>69</v>
      </c>
      <c r="F39" s="351" t="str">
        <f>IF(M31=2,B31,IF(M32=2,B32,IF(M33=2,B33,IF(M34=2,B34,""))))</f>
        <v/>
      </c>
      <c r="G39" s="351"/>
      <c r="H39" s="193"/>
      <c r="I39" s="192"/>
      <c r="J39" s="193"/>
      <c r="K39" s="193"/>
      <c r="L39" s="193"/>
      <c r="M39" s="193"/>
    </row>
    <row r="40" spans="1:19" x14ac:dyDescent="0.25">
      <c r="A40" s="193"/>
      <c r="B40" s="193"/>
      <c r="C40" s="258"/>
      <c r="D40" s="258"/>
      <c r="E40" s="219"/>
      <c r="F40" s="258"/>
      <c r="G40" s="258"/>
      <c r="H40" s="193"/>
      <c r="I40" s="193"/>
      <c r="J40" s="193"/>
      <c r="K40" s="193"/>
      <c r="L40" s="193"/>
      <c r="M40" s="193"/>
    </row>
    <row r="41" spans="1:19" x14ac:dyDescent="0.25">
      <c r="A41" s="193" t="s">
        <v>70</v>
      </c>
      <c r="B41" s="193"/>
      <c r="C41" s="351" t="str">
        <f>IF(M25=3,B25,IF(M26=3,B26,IF(M27=3,B27,IF(M28=3,B28,""))))</f>
        <v/>
      </c>
      <c r="D41" s="351"/>
      <c r="E41" s="219" t="s">
        <v>69</v>
      </c>
      <c r="F41" s="351" t="str">
        <f>IF(M31=3,B31,IF(M32=3,B32,IF(M33=3,B33,IF(M34=3,B34,""))))</f>
        <v/>
      </c>
      <c r="G41" s="351"/>
      <c r="H41" s="193"/>
      <c r="I41" s="192"/>
      <c r="J41" s="193"/>
      <c r="K41" s="193"/>
      <c r="L41" s="193"/>
      <c r="M41" s="193"/>
    </row>
    <row r="42" spans="1:19" x14ac:dyDescent="0.25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</row>
    <row r="43" spans="1:19" x14ac:dyDescent="0.25">
      <c r="A43" s="220" t="s">
        <v>109</v>
      </c>
      <c r="B43" s="193"/>
      <c r="C43" s="351">
        <f>IF(M25=4,B25,IF(M26=4,B26,IF(M27=4,B27,IF(M28=4,B28,))))</f>
        <v>0</v>
      </c>
      <c r="D43" s="351"/>
      <c r="E43" s="219" t="s">
        <v>69</v>
      </c>
      <c r="F43" s="351" t="str">
        <f>IF(M31=3,B31,IF(M32=3,B32,IF(M33=4,B33,IF(M34=4,B34,""))))</f>
        <v/>
      </c>
      <c r="G43" s="351"/>
      <c r="H43" s="193"/>
      <c r="I43" s="192"/>
      <c r="J43" s="193"/>
      <c r="K43" s="193"/>
      <c r="L43" s="193"/>
      <c r="M43" s="193"/>
      <c r="O43" s="211"/>
      <c r="P43" s="211"/>
      <c r="Q43" s="211"/>
      <c r="R43" s="211"/>
      <c r="S43" s="211"/>
    </row>
    <row r="44" spans="1:19" x14ac:dyDescent="0.2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2"/>
      <c r="M44" s="193"/>
      <c r="O44" s="211"/>
      <c r="P44" s="221"/>
      <c r="Q44" s="221"/>
      <c r="R44" s="222"/>
      <c r="S44" s="211"/>
    </row>
    <row r="45" spans="1:19" x14ac:dyDescent="0.25">
      <c r="A45" s="110" t="s">
        <v>38</v>
      </c>
      <c r="B45" s="111"/>
      <c r="C45" s="165"/>
      <c r="D45" s="227" t="s">
        <v>2</v>
      </c>
      <c r="E45" s="228" t="s">
        <v>40</v>
      </c>
      <c r="F45" s="246"/>
      <c r="G45" s="227" t="s">
        <v>2</v>
      </c>
      <c r="H45" s="228" t="s">
        <v>49</v>
      </c>
      <c r="I45" s="119"/>
      <c r="J45" s="228" t="s">
        <v>50</v>
      </c>
      <c r="K45" s="118" t="s">
        <v>51</v>
      </c>
      <c r="L45" s="31"/>
      <c r="M45" s="246"/>
      <c r="O45" s="211"/>
      <c r="P45" s="223"/>
      <c r="Q45" s="223"/>
      <c r="R45" s="224"/>
      <c r="S45" s="211"/>
    </row>
    <row r="46" spans="1:19" x14ac:dyDescent="0.25">
      <c r="A46" s="196" t="s">
        <v>39</v>
      </c>
      <c r="B46" s="197"/>
      <c r="C46" s="198"/>
      <c r="D46" s="229">
        <v>1</v>
      </c>
      <c r="E46" s="348" t="str">
        <f>IF(D46&gt;$R$47,,UPPER(VLOOKUP(D46,'F14 ELO'!$A$7:$Q$134,2)))</f>
        <v>DUNAKESZI TK</v>
      </c>
      <c r="F46" s="348"/>
      <c r="G46" s="240" t="s">
        <v>3</v>
      </c>
      <c r="H46" s="197"/>
      <c r="I46" s="230"/>
      <c r="J46" s="241"/>
      <c r="K46" s="194" t="s">
        <v>41</v>
      </c>
      <c r="L46" s="247"/>
      <c r="M46" s="231"/>
      <c r="O46" s="211"/>
      <c r="P46" s="224"/>
      <c r="Q46" s="225"/>
      <c r="R46" s="224"/>
      <c r="S46" s="211"/>
    </row>
    <row r="47" spans="1:19" x14ac:dyDescent="0.25">
      <c r="A47" s="199" t="s">
        <v>48</v>
      </c>
      <c r="B47" s="117"/>
      <c r="C47" s="200"/>
      <c r="D47" s="232">
        <v>2</v>
      </c>
      <c r="E47" s="346" t="str">
        <f>IF(D47&gt;$R$47,,UPPER(VLOOKUP(D47,'F14 ELO'!$A$7:$Q$134,2)))</f>
        <v>TENISZ MŰHELY</v>
      </c>
      <c r="F47" s="346"/>
      <c r="G47" s="242" t="s">
        <v>4</v>
      </c>
      <c r="H47" s="233"/>
      <c r="I47" s="234"/>
      <c r="J47" s="82"/>
      <c r="K47" s="244"/>
      <c r="L47" s="192"/>
      <c r="M47" s="239"/>
      <c r="O47" s="211"/>
      <c r="P47" s="223"/>
      <c r="Q47" s="223"/>
      <c r="R47" s="226">
        <f>MIN(4,'F14 ELO'!Q2)</f>
        <v>4</v>
      </c>
      <c r="S47" s="211"/>
    </row>
    <row r="48" spans="1:19" x14ac:dyDescent="0.25">
      <c r="A48" s="132"/>
      <c r="B48" s="133"/>
      <c r="C48" s="134"/>
      <c r="D48" s="232"/>
      <c r="E48" s="236"/>
      <c r="F48" s="237"/>
      <c r="G48" s="242" t="s">
        <v>5</v>
      </c>
      <c r="H48" s="233"/>
      <c r="I48" s="234"/>
      <c r="J48" s="82"/>
      <c r="K48" s="194" t="s">
        <v>42</v>
      </c>
      <c r="L48" s="247"/>
      <c r="M48" s="231"/>
      <c r="O48" s="211"/>
      <c r="P48" s="224"/>
      <c r="Q48" s="225"/>
      <c r="R48" s="224"/>
      <c r="S48" s="211"/>
    </row>
    <row r="49" spans="1:19" x14ac:dyDescent="0.25">
      <c r="A49" s="112"/>
      <c r="B49" s="163"/>
      <c r="C49" s="113"/>
      <c r="D49" s="232"/>
      <c r="E49" s="236"/>
      <c r="F49" s="237"/>
      <c r="G49" s="242" t="s">
        <v>6</v>
      </c>
      <c r="H49" s="233"/>
      <c r="I49" s="234"/>
      <c r="J49" s="82"/>
      <c r="K49" s="245"/>
      <c r="L49" s="237"/>
      <c r="M49" s="235"/>
      <c r="O49" s="211"/>
      <c r="P49" s="224"/>
      <c r="Q49" s="225"/>
      <c r="R49" s="224"/>
      <c r="S49" s="211"/>
    </row>
    <row r="50" spans="1:19" x14ac:dyDescent="0.25">
      <c r="A50" s="121"/>
      <c r="B50" s="135"/>
      <c r="C50" s="164"/>
      <c r="D50" s="232"/>
      <c r="E50" s="236"/>
      <c r="F50" s="237"/>
      <c r="G50" s="242" t="s">
        <v>7</v>
      </c>
      <c r="H50" s="233"/>
      <c r="I50" s="234"/>
      <c r="J50" s="82"/>
      <c r="K50" s="199"/>
      <c r="L50" s="192"/>
      <c r="M50" s="239"/>
      <c r="O50" s="211"/>
      <c r="P50" s="223"/>
      <c r="Q50" s="223"/>
      <c r="R50" s="224"/>
      <c r="S50" s="211"/>
    </row>
    <row r="51" spans="1:19" x14ac:dyDescent="0.25">
      <c r="A51" s="122"/>
      <c r="B51" s="138"/>
      <c r="C51" s="113"/>
      <c r="D51" s="232"/>
      <c r="E51" s="236"/>
      <c r="F51" s="237"/>
      <c r="G51" s="242" t="s">
        <v>8</v>
      </c>
      <c r="H51" s="233"/>
      <c r="I51" s="234"/>
      <c r="J51" s="82"/>
      <c r="K51" s="194" t="s">
        <v>31</v>
      </c>
      <c r="L51" s="247"/>
      <c r="M51" s="231"/>
      <c r="O51" s="211"/>
      <c r="P51" s="224"/>
      <c r="Q51" s="225"/>
      <c r="R51" s="224"/>
      <c r="S51" s="211"/>
    </row>
    <row r="52" spans="1:19" x14ac:dyDescent="0.25">
      <c r="A52" s="122"/>
      <c r="B52" s="138"/>
      <c r="C52" s="130"/>
      <c r="D52" s="232"/>
      <c r="E52" s="236"/>
      <c r="F52" s="237"/>
      <c r="G52" s="242" t="s">
        <v>9</v>
      </c>
      <c r="H52" s="233"/>
      <c r="I52" s="234"/>
      <c r="J52" s="82"/>
      <c r="K52" s="245"/>
      <c r="L52" s="237"/>
      <c r="M52" s="235"/>
      <c r="O52" s="211"/>
      <c r="P52" s="224"/>
      <c r="Q52" s="225"/>
      <c r="R52" s="226"/>
      <c r="S52" s="211"/>
    </row>
    <row r="53" spans="1:19" x14ac:dyDescent="0.25">
      <c r="A53" s="123"/>
      <c r="B53" s="120"/>
      <c r="C53" s="131"/>
      <c r="D53" s="238"/>
      <c r="E53" s="114"/>
      <c r="F53" s="192"/>
      <c r="G53" s="243" t="s">
        <v>10</v>
      </c>
      <c r="H53" s="117"/>
      <c r="I53" s="195"/>
      <c r="J53" s="115"/>
      <c r="K53" s="199" t="str">
        <f>L4</f>
        <v>Rákóczi Andrea</v>
      </c>
      <c r="L53" s="192"/>
      <c r="M53" s="239"/>
      <c r="O53" s="211"/>
      <c r="P53" s="211"/>
      <c r="Q53" s="211"/>
      <c r="R53" s="211"/>
      <c r="S53" s="211"/>
    </row>
    <row r="54" spans="1:19" x14ac:dyDescent="0.25">
      <c r="O54" s="211"/>
      <c r="P54" s="211"/>
      <c r="Q54" s="211"/>
      <c r="R54" s="211"/>
      <c r="S54" s="211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41" priority="2" stopIfTrue="1">
      <formula>$O$1="CU"</formula>
    </cfRule>
  </conditionalFormatting>
  <conditionalFormatting sqref="E7 E9 E11 E13 E15 E17 E19:E21">
    <cfRule type="cellIs" dxfId="4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V15" sqref="V15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39" customWidth="1"/>
    <col min="5" max="5" width="12.109375" style="306" customWidth="1"/>
    <col min="6" max="6" width="6.109375" style="88" hidden="1" customWidth="1"/>
    <col min="7" max="7" width="29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Csapat 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7" t="str">
        <f>Altalanos!$C$8</f>
        <v>F16</v>
      </c>
      <c r="D2" s="99"/>
      <c r="E2" s="159" t="s">
        <v>32</v>
      </c>
      <c r="F2" s="89"/>
      <c r="G2" s="89"/>
      <c r="H2" s="298"/>
      <c r="I2" s="298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91" t="s">
        <v>45</v>
      </c>
      <c r="B3" s="296"/>
      <c r="C3" s="296"/>
      <c r="D3" s="296"/>
      <c r="E3" s="296"/>
      <c r="F3" s="296"/>
      <c r="G3" s="296"/>
      <c r="H3" s="296"/>
      <c r="I3" s="297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8" t="s">
        <v>28</v>
      </c>
      <c r="I4" s="303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2023.08.24-26.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9"/>
      <c r="J5" s="106"/>
      <c r="K5" s="81"/>
      <c r="L5" s="81"/>
      <c r="M5" s="81"/>
      <c r="N5" s="106"/>
      <c r="O5" s="87"/>
      <c r="P5" s="87"/>
      <c r="Q5" s="317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9" t="s">
        <v>35</v>
      </c>
      <c r="I6" s="300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130</v>
      </c>
      <c r="C7" s="90"/>
      <c r="D7" s="91"/>
      <c r="E7" s="162"/>
      <c r="F7" s="292"/>
      <c r="G7" s="293"/>
      <c r="H7" s="91"/>
      <c r="I7" s="91"/>
      <c r="J7" s="144"/>
      <c r="K7" s="142"/>
      <c r="L7" s="146"/>
      <c r="M7" s="142"/>
      <c r="N7" s="137"/>
      <c r="O7" s="324">
        <v>6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140</v>
      </c>
      <c r="C8" s="90"/>
      <c r="D8" s="91"/>
      <c r="E8" s="162"/>
      <c r="F8" s="294"/>
      <c r="G8" s="295"/>
      <c r="H8" s="91"/>
      <c r="I8" s="91"/>
      <c r="J8" s="144"/>
      <c r="K8" s="142"/>
      <c r="L8" s="146"/>
      <c r="M8" s="142"/>
      <c r="N8" s="137"/>
      <c r="O8" s="91">
        <v>9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132</v>
      </c>
      <c r="C9" s="90"/>
      <c r="D9" s="91"/>
      <c r="E9" s="162"/>
      <c r="F9" s="294"/>
      <c r="G9" s="295"/>
      <c r="H9" s="91"/>
      <c r="I9" s="91"/>
      <c r="J9" s="144"/>
      <c r="K9" s="142"/>
      <c r="L9" s="146"/>
      <c r="M9" s="142"/>
      <c r="N9" s="137"/>
      <c r="O9" s="91">
        <v>16</v>
      </c>
      <c r="P9" s="305"/>
      <c r="Q9" s="167"/>
    </row>
    <row r="10" spans="1:17" s="11" customFormat="1" ht="18.899999999999999" customHeight="1" x14ac:dyDescent="0.25">
      <c r="A10" s="147">
        <v>4</v>
      </c>
      <c r="B10" s="90" t="s">
        <v>141</v>
      </c>
      <c r="C10" s="90"/>
      <c r="D10" s="91"/>
      <c r="E10" s="162"/>
      <c r="F10" s="294"/>
      <c r="G10" s="295"/>
      <c r="H10" s="91"/>
      <c r="I10" s="91"/>
      <c r="J10" s="144"/>
      <c r="K10" s="142"/>
      <c r="L10" s="146"/>
      <c r="M10" s="142"/>
      <c r="N10" s="137"/>
      <c r="O10" s="91">
        <v>32</v>
      </c>
      <c r="P10" s="304"/>
      <c r="Q10" s="301"/>
    </row>
    <row r="11" spans="1:17" s="11" customFormat="1" ht="18.899999999999999" customHeight="1" x14ac:dyDescent="0.25">
      <c r="A11" s="147">
        <v>5</v>
      </c>
      <c r="B11" s="90" t="s">
        <v>142</v>
      </c>
      <c r="C11" s="90"/>
      <c r="D11" s="91"/>
      <c r="E11" s="162"/>
      <c r="F11" s="294"/>
      <c r="G11" s="295"/>
      <c r="H11" s="91"/>
      <c r="I11" s="91"/>
      <c r="J11" s="144"/>
      <c r="K11" s="142"/>
      <c r="L11" s="146"/>
      <c r="M11" s="142"/>
      <c r="N11" s="137"/>
      <c r="O11" s="91">
        <v>36</v>
      </c>
      <c r="P11" s="304"/>
      <c r="Q11" s="301"/>
    </row>
    <row r="12" spans="1:17" s="11" customFormat="1" ht="18.899999999999999" customHeight="1" x14ac:dyDescent="0.25">
      <c r="A12" s="147">
        <v>6</v>
      </c>
      <c r="B12" s="90" t="s">
        <v>143</v>
      </c>
      <c r="C12" s="90"/>
      <c r="D12" s="91"/>
      <c r="E12" s="162"/>
      <c r="F12" s="294"/>
      <c r="G12" s="295"/>
      <c r="H12" s="91"/>
      <c r="I12" s="91"/>
      <c r="J12" s="144"/>
      <c r="K12" s="142"/>
      <c r="L12" s="146"/>
      <c r="M12" s="142"/>
      <c r="N12" s="137"/>
      <c r="O12" s="91">
        <v>36</v>
      </c>
      <c r="P12" s="304"/>
      <c r="Q12" s="301"/>
    </row>
    <row r="13" spans="1:17" s="11" customFormat="1" ht="18.899999999999999" customHeight="1" x14ac:dyDescent="0.25">
      <c r="A13" s="147">
        <v>7</v>
      </c>
      <c r="B13" s="90" t="s">
        <v>144</v>
      </c>
      <c r="C13" s="90"/>
      <c r="D13" s="91"/>
      <c r="E13" s="162"/>
      <c r="F13" s="294"/>
      <c r="G13" s="295"/>
      <c r="H13" s="91"/>
      <c r="I13" s="91"/>
      <c r="J13" s="144"/>
      <c r="K13" s="142"/>
      <c r="L13" s="146"/>
      <c r="M13" s="142"/>
      <c r="N13" s="137"/>
      <c r="O13" s="91">
        <v>37</v>
      </c>
      <c r="P13" s="304"/>
      <c r="Q13" s="301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4"/>
      <c r="G14" s="295"/>
      <c r="H14" s="91"/>
      <c r="I14" s="91"/>
      <c r="J14" s="144"/>
      <c r="K14" s="142"/>
      <c r="L14" s="146"/>
      <c r="M14" s="142"/>
      <c r="N14" s="137"/>
      <c r="O14" s="91"/>
      <c r="P14" s="304"/>
      <c r="Q14" s="301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23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25"/>
      <c r="F28" s="310"/>
      <c r="G28" s="311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26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7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2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2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2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2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2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2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2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2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2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2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2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2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2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2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2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2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2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2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2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2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2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2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2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2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2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2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2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2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2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2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2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2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2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2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2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2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2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2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2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2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2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2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2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2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2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2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2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2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2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2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2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2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2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2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2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2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2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2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2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2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2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2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2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2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2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2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2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2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2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2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2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2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2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2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2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2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2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2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2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2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2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2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2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2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2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2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2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2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2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2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2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2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2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2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2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2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2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2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2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2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2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2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2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2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2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2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2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2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2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2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2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2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2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2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2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2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2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2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2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39" priority="16" stopIfTrue="1">
      <formula>AND(ROUNDDOWN(($A$4-E7)/365.25,0)&lt;=13,G7&lt;&gt;"OK")</formula>
    </cfRule>
    <cfRule type="expression" dxfId="38" priority="17" stopIfTrue="1">
      <formula>AND(ROUNDDOWN(($A$4-E7)/365.25,0)&lt;=14,G7&lt;&gt;"OK")</formula>
    </cfRule>
    <cfRule type="expression" dxfId="37" priority="18" stopIfTrue="1">
      <formula>AND(ROUNDDOWN(($A$4-E7)/365.25,0)&lt;=17,G7&lt;&gt;"OK")</formula>
    </cfRule>
  </conditionalFormatting>
  <conditionalFormatting sqref="J7:J156">
    <cfRule type="cellIs" dxfId="36" priority="15" stopIfTrue="1" operator="equal">
      <formula>"Z"</formula>
    </cfRule>
  </conditionalFormatting>
  <conditionalFormatting sqref="A7:D156">
    <cfRule type="expression" dxfId="35" priority="14" stopIfTrue="1">
      <formula>$Q7&gt;=1</formula>
    </cfRule>
  </conditionalFormatting>
  <conditionalFormatting sqref="E7:E14">
    <cfRule type="expression" dxfId="34" priority="11" stopIfTrue="1">
      <formula>AND(ROUNDDOWN(($A$4-E7)/365.25,0)&lt;=13,G7&lt;&gt;"OK")</formula>
    </cfRule>
    <cfRule type="expression" dxfId="33" priority="12" stopIfTrue="1">
      <formula>AND(ROUNDDOWN(($A$4-E7)/365.25,0)&lt;=14,G7&lt;&gt;"OK")</formula>
    </cfRule>
    <cfRule type="expression" dxfId="32" priority="13" stopIfTrue="1">
      <formula>AND(ROUNDDOWN(($A$4-E7)/365.25,0)&lt;=17,G7&lt;&gt;"OK")</formula>
    </cfRule>
  </conditionalFormatting>
  <conditionalFormatting sqref="J7:J14">
    <cfRule type="cellIs" dxfId="31" priority="10" stopIfTrue="1" operator="equal">
      <formula>"Z"</formula>
    </cfRule>
  </conditionalFormatting>
  <conditionalFormatting sqref="B7:D14">
    <cfRule type="expression" dxfId="30" priority="9" stopIfTrue="1">
      <formula>$Q7&gt;=1</formula>
    </cfRule>
  </conditionalFormatting>
  <conditionalFormatting sqref="E7:E14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</conditionalFormatting>
  <conditionalFormatting sqref="B7:D14">
    <cfRule type="expression" dxfId="26" priority="5" stopIfTrue="1">
      <formula>$Q7&gt;=1</formula>
    </cfRule>
  </conditionalFormatting>
  <conditionalFormatting sqref="E29:E37 E7:E2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B7:D37">
    <cfRule type="expression" dxfId="2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indexed="11"/>
  </sheetPr>
  <dimension ref="A1:AK51"/>
  <sheetViews>
    <sheetView tabSelected="1" topLeftCell="A23" workbookViewId="0">
      <selection activeCell="Q36" sqref="Q3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Altalanos!$C$8</f>
        <v>F16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>
        <v>1</v>
      </c>
      <c r="C7" s="205">
        <f>IF($B7="","",VLOOKUP($B7,'F16 ELO'!$A$7:$O$22,5))</f>
        <v>0</v>
      </c>
      <c r="D7" s="205">
        <f>IF($B7="","",VLOOKUP($B7,'F16 ELO'!$A$7:$O$22,15))</f>
        <v>6</v>
      </c>
      <c r="E7" s="202" t="str">
        <f>UPPER(IF($B7="","",VLOOKUP($B7,'F16 ELO'!$A$7:$O$22,2)))</f>
        <v>MTK</v>
      </c>
      <c r="F7" s="204"/>
      <c r="G7" s="202">
        <f>IF($B7="","",VLOOKUP($B7,'F16 ELO'!$A$7:$O$22,3))</f>
        <v>0</v>
      </c>
      <c r="H7" s="204"/>
      <c r="I7" s="202">
        <f>IF($B7="","",VLOOKUP($B7,'F16 ELO'!$A$7:$O$22,4))</f>
        <v>0</v>
      </c>
      <c r="J7" s="193"/>
      <c r="K7" s="335"/>
      <c r="L7" s="279"/>
      <c r="M7" s="286"/>
      <c r="N7" s="211"/>
      <c r="O7" s="211"/>
      <c r="P7" s="211"/>
      <c r="Q7" s="265" t="s">
        <v>72</v>
      </c>
      <c r="R7" s="320" t="s">
        <v>110</v>
      </c>
      <c r="S7" s="320" t="s">
        <v>112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56"/>
      <c r="L8" s="219"/>
      <c r="M8" s="287"/>
      <c r="N8" s="211"/>
      <c r="O8" s="211"/>
      <c r="P8" s="211"/>
      <c r="Q8" s="267" t="s">
        <v>79</v>
      </c>
      <c r="R8" s="321" t="s">
        <v>111</v>
      </c>
      <c r="S8" s="321" t="s">
        <v>113</v>
      </c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>
        <v>4</v>
      </c>
      <c r="C9" s="205">
        <f>IF($B9="","",VLOOKUP($B9,'F16 ELO'!$A$7:$O$22,5))</f>
        <v>0</v>
      </c>
      <c r="D9" s="205">
        <f>IF($B9="","",VLOOKUP($B9,'F16 ELO'!$A$7:$O$22,15))</f>
        <v>32</v>
      </c>
      <c r="E9" s="201" t="str">
        <f>UPPER(IF($B9="","",VLOOKUP($B9,'F16 ELO'!$A$7:$O$22,2)))</f>
        <v>VASAS SC</v>
      </c>
      <c r="F9" s="206"/>
      <c r="G9" s="201">
        <f>IF($B9="","",VLOOKUP($B9,'F16 ELO'!$A$7:$O$22,3))</f>
        <v>0</v>
      </c>
      <c r="H9" s="206"/>
      <c r="I9" s="201">
        <f>IF($B9="","",VLOOKUP($B9,'F16 ELO'!$A$7:$O$22,4))</f>
        <v>0</v>
      </c>
      <c r="J9" s="193"/>
      <c r="K9" s="335"/>
      <c r="L9" s="279"/>
      <c r="M9" s="286"/>
      <c r="N9" s="211"/>
      <c r="O9" s="211"/>
      <c r="P9" s="211"/>
      <c r="Q9" s="269" t="s">
        <v>80</v>
      </c>
      <c r="R9" s="322" t="s">
        <v>84</v>
      </c>
      <c r="S9" s="322" t="s">
        <v>114</v>
      </c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56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>
        <v>6</v>
      </c>
      <c r="C11" s="205">
        <f>IF($B11="","",VLOOKUP($B11,'F16 ELO'!$A$7:$O$22,5))</f>
        <v>0</v>
      </c>
      <c r="D11" s="205">
        <f>IF($B11="","",VLOOKUP($B11,'F16 ELO'!$A$7:$O$22,15))</f>
        <v>36</v>
      </c>
      <c r="E11" s="201" t="str">
        <f>UPPER(IF($B11="","",VLOOKUP($B11,'F16 ELO'!$A$7:$O$22,2)))</f>
        <v>BUDAÖRSI SC</v>
      </c>
      <c r="F11" s="206"/>
      <c r="G11" s="201">
        <f>IF($B11="","",VLOOKUP($B11,'F16 ELO'!$A$7:$O$22,3))</f>
        <v>0</v>
      </c>
      <c r="H11" s="206"/>
      <c r="I11" s="201">
        <f>IF($B11="","",VLOOKUP($B11,'F16 ELO'!$A$7:$O$22,4))</f>
        <v>0</v>
      </c>
      <c r="J11" s="193"/>
      <c r="K11" s="335" t="s">
        <v>157</v>
      </c>
      <c r="L11" s="279"/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336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56" t="s">
        <v>65</v>
      </c>
      <c r="B13" s="271">
        <v>2</v>
      </c>
      <c r="C13" s="205">
        <f>IF($B13="","",VLOOKUP($B13,'F16 ELO'!$A$7:$O$22,5))</f>
        <v>0</v>
      </c>
      <c r="D13" s="205">
        <f>IF($B13="","",VLOOKUP($B13,'F16 ELO'!$A$7:$O$22,15))</f>
        <v>9</v>
      </c>
      <c r="E13" s="202" t="str">
        <f>UPPER(IF($B13="","",VLOOKUP($B13,'F16 ELO'!$A$7:$O$22,2)))</f>
        <v>ALFA TI</v>
      </c>
      <c r="F13" s="204"/>
      <c r="G13" s="202">
        <f>IF($B13="","",VLOOKUP($B13,'F16 ELO'!$A$7:$O$22,3))</f>
        <v>0</v>
      </c>
      <c r="H13" s="204"/>
      <c r="I13" s="202">
        <f>IF($B13="","",VLOOKUP($B13,'F16 ELO'!$A$7:$O$22,4))</f>
        <v>0</v>
      </c>
      <c r="J13" s="193"/>
      <c r="K13" s="335"/>
      <c r="L13" s="279"/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56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73">
        <v>5</v>
      </c>
      <c r="C15" s="205">
        <f>IF($B15="","",VLOOKUP($B15,'F16 ELO'!$A$7:$O$22,5))</f>
        <v>0</v>
      </c>
      <c r="D15" s="205">
        <f>IF($B15="","",VLOOKUP($B15,'F16 ELO'!$A$7:$O$22,15))</f>
        <v>36</v>
      </c>
      <c r="E15" s="201" t="str">
        <f>UPPER(IF($B15="","",VLOOKUP($B15,'F16 ELO'!$A$7:$O$22,2)))</f>
        <v>CSOPAK TK</v>
      </c>
      <c r="F15" s="206"/>
      <c r="G15" s="201">
        <f>IF($B15="","",VLOOKUP($B15,'F16 ELO'!$A$7:$O$22,3))</f>
        <v>0</v>
      </c>
      <c r="H15" s="206"/>
      <c r="I15" s="201">
        <f>IF($B15="","",VLOOKUP($B15,'F16 ELO'!$A$7:$O$22,4))</f>
        <v>0</v>
      </c>
      <c r="J15" s="193"/>
      <c r="K15" s="335" t="s">
        <v>155</v>
      </c>
      <c r="L15" s="279"/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56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>
        <v>3</v>
      </c>
      <c r="C17" s="205">
        <f>IF($B17="","",VLOOKUP($B17,'F16 ELO'!$A$7:$O$22,5))</f>
        <v>0</v>
      </c>
      <c r="D17" s="205">
        <f>IF($B17="","",VLOOKUP($B17,'F16 ELO'!$A$7:$O$22,15))</f>
        <v>16</v>
      </c>
      <c r="E17" s="201" t="str">
        <f>UPPER(IF($B17="","",VLOOKUP($B17,'F16 ELO'!$A$7:$O$22,2)))</f>
        <v>PASARÉT TK</v>
      </c>
      <c r="F17" s="206"/>
      <c r="G17" s="201">
        <f>IF($B17="","",VLOOKUP($B17,'F16 ELO'!$A$7:$O$22,3))</f>
        <v>0</v>
      </c>
      <c r="H17" s="206"/>
      <c r="I17" s="201">
        <f>IF($B17="","",VLOOKUP($B17,'F16 ELO'!$A$7:$O$22,4))</f>
        <v>0</v>
      </c>
      <c r="J17" s="193"/>
      <c r="K17" s="335"/>
      <c r="L17" s="279"/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219"/>
      <c r="B18" s="272"/>
      <c r="C18" s="220"/>
      <c r="D18" s="220"/>
      <c r="E18" s="220"/>
      <c r="F18" s="220"/>
      <c r="G18" s="220"/>
      <c r="H18" s="220"/>
      <c r="I18" s="220"/>
      <c r="J18" s="193"/>
      <c r="K18" s="256"/>
      <c r="L18" s="219"/>
      <c r="M18" s="287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219" t="s">
        <v>67</v>
      </c>
      <c r="B19" s="273">
        <v>7</v>
      </c>
      <c r="C19" s="205">
        <f>IF($B19="","",VLOOKUP($B19,'F16 ELO'!$A$7:$O$22,5))</f>
        <v>0</v>
      </c>
      <c r="D19" s="205">
        <f>IF($B19="","",VLOOKUP($B19,'F16 ELO'!$A$7:$O$22,15))</f>
        <v>37</v>
      </c>
      <c r="E19" s="201" t="str">
        <f>UPPER(IF($B19="","",VLOOKUP($B19,'F16 ELO'!$A$7:$O$22,2)))</f>
        <v>MARSO TC</v>
      </c>
      <c r="F19" s="206"/>
      <c r="G19" s="201">
        <f>IF($B19="","",VLOOKUP($B19,'F16 ELO'!$A$7:$O$22,3))</f>
        <v>0</v>
      </c>
      <c r="H19" s="206"/>
      <c r="I19" s="201">
        <f>IF($B19="","",VLOOKUP($B19,'F16 ELO'!$A$7:$O$22,4))</f>
        <v>0</v>
      </c>
      <c r="J19" s="193"/>
      <c r="K19" s="335" t="s">
        <v>156</v>
      </c>
      <c r="L19" s="279"/>
      <c r="M19" s="286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193"/>
      <c r="B22" s="345"/>
      <c r="C22" s="345"/>
      <c r="D22" s="344" t="str">
        <f>E7</f>
        <v>MTK</v>
      </c>
      <c r="E22" s="344"/>
      <c r="F22" s="344" t="str">
        <f>E9</f>
        <v>VASAS SC</v>
      </c>
      <c r="G22" s="344"/>
      <c r="H22" s="344" t="str">
        <f>E11</f>
        <v>BUDAÖRSI SC</v>
      </c>
      <c r="I22" s="344"/>
      <c r="J22" s="193"/>
      <c r="K22" s="193"/>
      <c r="L22" s="193"/>
      <c r="M22" s="257" t="s">
        <v>62</v>
      </c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58</v>
      </c>
      <c r="B23" s="358" t="str">
        <f>E7</f>
        <v>MTK</v>
      </c>
      <c r="C23" s="358"/>
      <c r="D23" s="363"/>
      <c r="E23" s="363"/>
      <c r="F23" s="359" t="s">
        <v>150</v>
      </c>
      <c r="G23" s="360"/>
      <c r="H23" s="359" t="s">
        <v>151</v>
      </c>
      <c r="I23" s="360"/>
      <c r="J23" s="330"/>
      <c r="K23" s="330"/>
      <c r="L23" s="193"/>
      <c r="M23" s="259">
        <v>2</v>
      </c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ht="18.75" customHeight="1" x14ac:dyDescent="0.25">
      <c r="A24" s="255" t="s">
        <v>59</v>
      </c>
      <c r="B24" s="358" t="str">
        <f>E9</f>
        <v>VASAS SC</v>
      </c>
      <c r="C24" s="358"/>
      <c r="D24" s="359" t="s">
        <v>149</v>
      </c>
      <c r="E24" s="360"/>
      <c r="F24" s="363"/>
      <c r="G24" s="363"/>
      <c r="H24" s="359" t="s">
        <v>151</v>
      </c>
      <c r="I24" s="360"/>
      <c r="J24" s="330"/>
      <c r="K24" s="330"/>
      <c r="L24" s="193"/>
      <c r="M24" s="259">
        <v>1</v>
      </c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ht="18.75" customHeight="1" x14ac:dyDescent="0.25">
      <c r="A25" s="255" t="s">
        <v>60</v>
      </c>
      <c r="B25" s="358" t="str">
        <f>E11</f>
        <v>BUDAÖRSI SC</v>
      </c>
      <c r="C25" s="358"/>
      <c r="D25" s="359" t="s">
        <v>152</v>
      </c>
      <c r="E25" s="360"/>
      <c r="F25" s="359" t="s">
        <v>152</v>
      </c>
      <c r="G25" s="360"/>
      <c r="H25" s="363"/>
      <c r="I25" s="363"/>
      <c r="J25" s="330"/>
      <c r="K25" s="330"/>
      <c r="L25" s="193"/>
      <c r="M25" s="259">
        <v>3</v>
      </c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193"/>
      <c r="M26" s="260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ht="18.75" customHeight="1" x14ac:dyDescent="0.25">
      <c r="A27" s="193"/>
      <c r="B27" s="364"/>
      <c r="C27" s="364"/>
      <c r="D27" s="362" t="str">
        <f>E13</f>
        <v>ALFA TI</v>
      </c>
      <c r="E27" s="362"/>
      <c r="F27" s="362" t="str">
        <f>E15</f>
        <v>CSOPAK TK</v>
      </c>
      <c r="G27" s="362"/>
      <c r="H27" s="362" t="str">
        <f>E17</f>
        <v>PASARÉT TK</v>
      </c>
      <c r="I27" s="362"/>
      <c r="J27" s="362" t="str">
        <f>E19</f>
        <v>MARSO TC</v>
      </c>
      <c r="K27" s="362"/>
      <c r="L27" s="193"/>
      <c r="M27" s="260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255" t="s">
        <v>65</v>
      </c>
      <c r="B28" s="358" t="str">
        <f>E13</f>
        <v>ALFA TI</v>
      </c>
      <c r="C28" s="358"/>
      <c r="D28" s="363"/>
      <c r="E28" s="363"/>
      <c r="F28" s="359" t="s">
        <v>153</v>
      </c>
      <c r="G28" s="360"/>
      <c r="H28" s="359" t="s">
        <v>151</v>
      </c>
      <c r="I28" s="360"/>
      <c r="J28" s="361" t="s">
        <v>149</v>
      </c>
      <c r="K28" s="362"/>
      <c r="L28" s="193"/>
      <c r="M28" s="259">
        <v>1</v>
      </c>
    </row>
    <row r="29" spans="1:37" ht="18.75" customHeight="1" x14ac:dyDescent="0.25">
      <c r="A29" s="255" t="s">
        <v>66</v>
      </c>
      <c r="B29" s="358" t="str">
        <f>E15</f>
        <v>CSOPAK TK</v>
      </c>
      <c r="C29" s="358"/>
      <c r="D29" s="359" t="s">
        <v>154</v>
      </c>
      <c r="E29" s="360"/>
      <c r="F29" s="363"/>
      <c r="G29" s="363"/>
      <c r="H29" s="359" t="s">
        <v>150</v>
      </c>
      <c r="I29" s="360"/>
      <c r="J29" s="359" t="s">
        <v>150</v>
      </c>
      <c r="K29" s="360"/>
      <c r="L29" s="193"/>
      <c r="M29" s="259">
        <v>4</v>
      </c>
    </row>
    <row r="30" spans="1:37" ht="18.75" customHeight="1" x14ac:dyDescent="0.25">
      <c r="A30" s="255" t="s">
        <v>67</v>
      </c>
      <c r="B30" s="358" t="str">
        <f>E17</f>
        <v>PASARÉT TK</v>
      </c>
      <c r="C30" s="358"/>
      <c r="D30" s="359" t="s">
        <v>152</v>
      </c>
      <c r="E30" s="360"/>
      <c r="F30" s="359" t="s">
        <v>149</v>
      </c>
      <c r="G30" s="360"/>
      <c r="H30" s="363"/>
      <c r="I30" s="363"/>
      <c r="J30" s="359" t="s">
        <v>151</v>
      </c>
      <c r="K30" s="360"/>
      <c r="L30" s="193"/>
      <c r="M30" s="259">
        <v>2</v>
      </c>
    </row>
    <row r="31" spans="1:37" ht="18.75" customHeight="1" x14ac:dyDescent="0.25">
      <c r="A31" s="255" t="s">
        <v>71</v>
      </c>
      <c r="B31" s="358" t="str">
        <f>E19</f>
        <v>MARSO TC</v>
      </c>
      <c r="C31" s="358"/>
      <c r="D31" s="359" t="s">
        <v>150</v>
      </c>
      <c r="E31" s="360"/>
      <c r="F31" s="359" t="s">
        <v>149</v>
      </c>
      <c r="G31" s="360"/>
      <c r="H31" s="361" t="s">
        <v>152</v>
      </c>
      <c r="I31" s="362"/>
      <c r="J31" s="363"/>
      <c r="K31" s="363"/>
      <c r="L31" s="193"/>
      <c r="M31" s="259">
        <v>3</v>
      </c>
    </row>
    <row r="32" spans="1:37" ht="18.75" customHeight="1" x14ac:dyDescent="0.25">
      <c r="A32" s="261"/>
      <c r="B32" s="331"/>
      <c r="C32" s="331"/>
      <c r="D32" s="332"/>
      <c r="E32" s="332"/>
      <c r="F32" s="332"/>
      <c r="G32" s="332"/>
      <c r="H32" s="332"/>
      <c r="I32" s="332"/>
      <c r="J32" s="330"/>
      <c r="K32" s="330"/>
      <c r="L32" s="193"/>
      <c r="M32" s="263"/>
    </row>
    <row r="33" spans="1:19" x14ac:dyDescent="0.25">
      <c r="A33" s="193"/>
      <c r="B33" s="330"/>
      <c r="C33" s="330"/>
      <c r="D33" s="330"/>
      <c r="E33" s="330"/>
      <c r="F33" s="330"/>
      <c r="G33" s="330"/>
      <c r="H33" s="330"/>
      <c r="I33" s="330"/>
      <c r="J33" s="330"/>
      <c r="K33" s="330"/>
      <c r="L33" s="193"/>
      <c r="M33" s="193"/>
    </row>
    <row r="34" spans="1:19" x14ac:dyDescent="0.25">
      <c r="A34" s="193" t="s">
        <v>52</v>
      </c>
      <c r="B34" s="330"/>
      <c r="C34" s="357" t="str">
        <f>IF(M23=1,B23,IF(M24=1,B24,IF(M25=1,B25,"")))</f>
        <v>VASAS SC</v>
      </c>
      <c r="D34" s="357"/>
      <c r="E34" s="333" t="s">
        <v>69</v>
      </c>
      <c r="F34" s="356" t="str">
        <f>IF(M28=1,B28,IF(M29=1,B29,IF(M30=1,B30,IF(M31=1,B31,""))))</f>
        <v>ALFA TI</v>
      </c>
      <c r="G34" s="356"/>
      <c r="H34" s="330"/>
      <c r="I34" s="337" t="s">
        <v>151</v>
      </c>
      <c r="J34" s="330"/>
      <c r="K34" s="330"/>
      <c r="L34" s="193"/>
      <c r="M34" s="193"/>
    </row>
    <row r="35" spans="1:19" x14ac:dyDescent="0.25">
      <c r="A35" s="193"/>
      <c r="B35" s="330"/>
      <c r="C35" s="330"/>
      <c r="D35" s="330"/>
      <c r="E35" s="330"/>
      <c r="F35" s="333"/>
      <c r="G35" s="333"/>
      <c r="H35" s="330"/>
      <c r="I35" s="338"/>
      <c r="J35" s="330"/>
      <c r="K35" s="330"/>
      <c r="L35" s="193"/>
      <c r="M35" s="193"/>
    </row>
    <row r="36" spans="1:19" x14ac:dyDescent="0.25">
      <c r="A36" s="193" t="s">
        <v>68</v>
      </c>
      <c r="B36" s="330"/>
      <c r="C36" s="356" t="str">
        <f>IF(M23=2,B23,IF(M24=2,B24,IF(M25=2,B25,"")))</f>
        <v>MTK</v>
      </c>
      <c r="D36" s="356"/>
      <c r="E36" s="333" t="s">
        <v>69</v>
      </c>
      <c r="F36" s="357" t="str">
        <f>IF(M28=2,B28,IF(M29=2,B29,IF(M30=2,B30,IF(M31=2,B31,""))))</f>
        <v>PASARÉT TK</v>
      </c>
      <c r="G36" s="357"/>
      <c r="H36" s="330"/>
      <c r="I36" s="337" t="s">
        <v>151</v>
      </c>
      <c r="J36" s="330"/>
      <c r="K36" s="330"/>
      <c r="L36" s="193"/>
      <c r="M36" s="193"/>
    </row>
    <row r="37" spans="1:19" x14ac:dyDescent="0.25">
      <c r="A37" s="193"/>
      <c r="B37" s="330"/>
      <c r="C37" s="334"/>
      <c r="D37" s="334"/>
      <c r="E37" s="333"/>
      <c r="F37" s="334"/>
      <c r="G37" s="334"/>
      <c r="H37" s="330"/>
      <c r="I37" s="338"/>
      <c r="J37" s="330"/>
      <c r="K37" s="330"/>
      <c r="L37" s="193"/>
      <c r="M37" s="193"/>
    </row>
    <row r="38" spans="1:19" x14ac:dyDescent="0.25">
      <c r="A38" s="193" t="s">
        <v>70</v>
      </c>
      <c r="B38" s="330"/>
      <c r="C38" s="356" t="str">
        <f>IF(M23=3,B23,IF(M24=3,B24,IF(M25=3,B25,"")))</f>
        <v>BUDAÖRSI SC</v>
      </c>
      <c r="D38" s="356"/>
      <c r="E38" s="333" t="s">
        <v>69</v>
      </c>
      <c r="F38" s="357" t="str">
        <f>IF(M28=3,B28,IF(M29=3,B29,IF(M30=3,B30,IF(M31=3,B31,""))))</f>
        <v>MARSO TC</v>
      </c>
      <c r="G38" s="357"/>
      <c r="H38" s="330"/>
      <c r="I38" s="337" t="s">
        <v>151</v>
      </c>
      <c r="J38" s="330"/>
      <c r="K38" s="330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7" t="s">
        <v>2</v>
      </c>
      <c r="E41" s="228" t="s">
        <v>40</v>
      </c>
      <c r="F41" s="246"/>
      <c r="G41" s="227" t="s">
        <v>2</v>
      </c>
      <c r="H41" s="228" t="s">
        <v>49</v>
      </c>
      <c r="I41" s="119"/>
      <c r="J41" s="228" t="s">
        <v>50</v>
      </c>
      <c r="K41" s="118" t="s">
        <v>51</v>
      </c>
      <c r="L41" s="31"/>
      <c r="M41" s="246"/>
      <c r="O41" s="211"/>
      <c r="P41" s="221"/>
      <c r="Q41" s="221"/>
      <c r="R41" s="222"/>
      <c r="S41" s="211"/>
    </row>
    <row r="42" spans="1:19" x14ac:dyDescent="0.25">
      <c r="A42" s="196" t="s">
        <v>39</v>
      </c>
      <c r="B42" s="197"/>
      <c r="C42" s="198"/>
      <c r="D42" s="229">
        <v>1</v>
      </c>
      <c r="E42" s="348" t="str">
        <f>IF(D42&gt;$R$44,,UPPER(VLOOKUP(D42,'F16 ELO'!$A$7:$Q$134,2)))</f>
        <v>MTK</v>
      </c>
      <c r="F42" s="348"/>
      <c r="G42" s="240" t="s">
        <v>3</v>
      </c>
      <c r="H42" s="197"/>
      <c r="I42" s="230"/>
      <c r="J42" s="241"/>
      <c r="K42" s="194" t="s">
        <v>41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99" t="s">
        <v>48</v>
      </c>
      <c r="B43" s="117"/>
      <c r="C43" s="200"/>
      <c r="D43" s="232">
        <v>2</v>
      </c>
      <c r="E43" s="346" t="str">
        <f>IF(D43&gt;$R$44,,UPPER(VLOOKUP(D43,'F16 ELO'!$A$7:$Q$134,2)))</f>
        <v>ALFA TI</v>
      </c>
      <c r="F43" s="346"/>
      <c r="G43" s="242" t="s">
        <v>4</v>
      </c>
      <c r="H43" s="233"/>
      <c r="I43" s="234"/>
      <c r="J43" s="82"/>
      <c r="K43" s="244"/>
      <c r="L43" s="192"/>
      <c r="M43" s="239"/>
      <c r="O43" s="211"/>
      <c r="P43" s="224"/>
      <c r="Q43" s="225"/>
      <c r="R43" s="224"/>
      <c r="S43" s="211"/>
    </row>
    <row r="44" spans="1:19" x14ac:dyDescent="0.25">
      <c r="A44" s="132"/>
      <c r="B44" s="133"/>
      <c r="C44" s="134"/>
      <c r="D44" s="232"/>
      <c r="E44" s="236"/>
      <c r="F44" s="237"/>
      <c r="G44" s="242" t="s">
        <v>5</v>
      </c>
      <c r="H44" s="233"/>
      <c r="I44" s="234"/>
      <c r="J44" s="82"/>
      <c r="K44" s="194" t="s">
        <v>42</v>
      </c>
      <c r="L44" s="247"/>
      <c r="M44" s="231"/>
      <c r="O44" s="211"/>
      <c r="P44" s="223"/>
      <c r="Q44" s="223"/>
      <c r="R44" s="226">
        <f>MIN(4,'F16 ELO'!Q2)</f>
        <v>4</v>
      </c>
      <c r="S44" s="211"/>
    </row>
    <row r="45" spans="1:19" x14ac:dyDescent="0.25">
      <c r="A45" s="112"/>
      <c r="B45" s="163"/>
      <c r="C45" s="113"/>
      <c r="D45" s="232"/>
      <c r="E45" s="236"/>
      <c r="F45" s="237"/>
      <c r="G45" s="242" t="s">
        <v>6</v>
      </c>
      <c r="H45" s="233"/>
      <c r="I45" s="234"/>
      <c r="J45" s="82"/>
      <c r="K45" s="245"/>
      <c r="L45" s="237"/>
      <c r="M45" s="235"/>
      <c r="O45" s="211"/>
      <c r="P45" s="224"/>
      <c r="Q45" s="225"/>
      <c r="R45" s="224"/>
      <c r="S45" s="211"/>
    </row>
    <row r="46" spans="1:19" x14ac:dyDescent="0.25">
      <c r="A46" s="121"/>
      <c r="B46" s="135"/>
      <c r="C46" s="164"/>
      <c r="D46" s="232"/>
      <c r="E46" s="236"/>
      <c r="F46" s="237"/>
      <c r="G46" s="242" t="s">
        <v>7</v>
      </c>
      <c r="H46" s="233"/>
      <c r="I46" s="234"/>
      <c r="J46" s="82"/>
      <c r="K46" s="199"/>
      <c r="L46" s="192"/>
      <c r="M46" s="239"/>
      <c r="O46" s="211"/>
      <c r="P46" s="224"/>
      <c r="Q46" s="225"/>
      <c r="R46" s="224"/>
      <c r="S46" s="211"/>
    </row>
    <row r="47" spans="1:19" x14ac:dyDescent="0.25">
      <c r="A47" s="122"/>
      <c r="B47" s="138"/>
      <c r="C47" s="113"/>
      <c r="D47" s="232"/>
      <c r="E47" s="236"/>
      <c r="F47" s="237"/>
      <c r="G47" s="242" t="s">
        <v>8</v>
      </c>
      <c r="H47" s="233"/>
      <c r="I47" s="234"/>
      <c r="J47" s="82"/>
      <c r="K47" s="194" t="s">
        <v>31</v>
      </c>
      <c r="L47" s="247"/>
      <c r="M47" s="231"/>
      <c r="O47" s="211"/>
      <c r="P47" s="223"/>
      <c r="Q47" s="223"/>
      <c r="R47" s="224"/>
      <c r="S47" s="211"/>
    </row>
    <row r="48" spans="1:19" x14ac:dyDescent="0.25">
      <c r="A48" s="122"/>
      <c r="B48" s="138"/>
      <c r="C48" s="130"/>
      <c r="D48" s="232"/>
      <c r="E48" s="236"/>
      <c r="F48" s="237"/>
      <c r="G48" s="242" t="s">
        <v>9</v>
      </c>
      <c r="H48" s="233"/>
      <c r="I48" s="234"/>
      <c r="J48" s="82"/>
      <c r="K48" s="245"/>
      <c r="L48" s="237"/>
      <c r="M48" s="235"/>
      <c r="O48" s="211"/>
      <c r="P48" s="224"/>
      <c r="Q48" s="225"/>
      <c r="R48" s="224"/>
      <c r="S48" s="211"/>
    </row>
    <row r="49" spans="1:19" x14ac:dyDescent="0.25">
      <c r="A49" s="123"/>
      <c r="B49" s="120"/>
      <c r="C49" s="131"/>
      <c r="D49" s="238"/>
      <c r="E49" s="114"/>
      <c r="F49" s="192"/>
      <c r="G49" s="243" t="s">
        <v>10</v>
      </c>
      <c r="H49" s="117"/>
      <c r="I49" s="195"/>
      <c r="J49" s="115"/>
      <c r="K49" s="199" t="str">
        <f>L4</f>
        <v>Rákóczi Andrea</v>
      </c>
      <c r="L49" s="192"/>
      <c r="M49" s="239"/>
      <c r="O49" s="211"/>
      <c r="P49" s="224"/>
      <c r="Q49" s="225"/>
      <c r="R49" s="226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C34:D34"/>
    <mergeCell ref="F34:G34"/>
    <mergeCell ref="C36:D36"/>
    <mergeCell ref="F36:G36"/>
    <mergeCell ref="C38:D38"/>
    <mergeCell ref="F38:G38"/>
    <mergeCell ref="E42:F42"/>
    <mergeCell ref="E43:F43"/>
  </mergeCells>
  <conditionalFormatting sqref="R49 R44">
    <cfRule type="expression" dxfId="21" priority="2" stopIfTrue="1">
      <formula>$O$1="CU"</formula>
    </cfRule>
  </conditionalFormatting>
  <conditionalFormatting sqref="E7 E9 E11 E13 E15 E17 E19">
    <cfRule type="cellIs" dxfId="2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10" sqref="B10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39" customWidth="1"/>
    <col min="5" max="5" width="12.109375" style="306" customWidth="1"/>
    <col min="6" max="6" width="6.109375" style="88" hidden="1" customWidth="1"/>
    <col min="7" max="7" width="31.441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Csapat 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7" t="str">
        <f>Altalanos!$D$8</f>
        <v>F18</v>
      </c>
      <c r="D2" s="99"/>
      <c r="E2" s="159" t="s">
        <v>32</v>
      </c>
      <c r="F2" s="89"/>
      <c r="G2" s="89"/>
      <c r="H2" s="298"/>
      <c r="I2" s="298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91" t="s">
        <v>45</v>
      </c>
      <c r="B3" s="296"/>
      <c r="C3" s="296"/>
      <c r="D3" s="296"/>
      <c r="E3" s="296"/>
      <c r="F3" s="296"/>
      <c r="G3" s="296"/>
      <c r="H3" s="296"/>
      <c r="I3" s="297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8" t="s">
        <v>28</v>
      </c>
      <c r="I4" s="303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2023.08.24-26.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9"/>
      <c r="J5" s="106"/>
      <c r="K5" s="81"/>
      <c r="L5" s="81"/>
      <c r="M5" s="81"/>
      <c r="N5" s="106"/>
      <c r="O5" s="87"/>
      <c r="P5" s="87"/>
      <c r="Q5" s="317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9" t="s">
        <v>35</v>
      </c>
      <c r="I6" s="300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132</v>
      </c>
      <c r="C7" s="90"/>
      <c r="D7" s="91"/>
      <c r="E7" s="162"/>
      <c r="F7" s="292"/>
      <c r="G7" s="293"/>
      <c r="H7" s="91"/>
      <c r="I7" s="91"/>
      <c r="J7" s="144"/>
      <c r="K7" s="142"/>
      <c r="L7" s="146"/>
      <c r="M7" s="142"/>
      <c r="N7" s="137"/>
      <c r="O7" s="324">
        <v>24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142</v>
      </c>
      <c r="C8" s="90"/>
      <c r="D8" s="91"/>
      <c r="E8" s="162"/>
      <c r="F8" s="294"/>
      <c r="G8" s="295"/>
      <c r="H8" s="91"/>
      <c r="I8" s="91"/>
      <c r="J8" s="144"/>
      <c r="K8" s="142"/>
      <c r="L8" s="146"/>
      <c r="M8" s="142"/>
      <c r="N8" s="137"/>
      <c r="O8" s="91">
        <v>28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141</v>
      </c>
      <c r="C9" s="90"/>
      <c r="D9" s="91"/>
      <c r="E9" s="162"/>
      <c r="F9" s="294"/>
      <c r="G9" s="295"/>
      <c r="H9" s="91"/>
      <c r="I9" s="91"/>
      <c r="J9" s="144"/>
      <c r="K9" s="142"/>
      <c r="L9" s="146"/>
      <c r="M9" s="142"/>
      <c r="N9" s="137"/>
      <c r="O9" s="91">
        <v>29</v>
      </c>
      <c r="P9" s="305"/>
      <c r="Q9" s="167"/>
    </row>
    <row r="10" spans="1:17" s="11" customFormat="1" ht="18.899999999999999" customHeight="1" x14ac:dyDescent="0.25">
      <c r="A10" s="147">
        <v>4</v>
      </c>
      <c r="B10" s="90" t="s">
        <v>138</v>
      </c>
      <c r="C10" s="90"/>
      <c r="D10" s="91"/>
      <c r="E10" s="162"/>
      <c r="F10" s="294"/>
      <c r="G10" s="295"/>
      <c r="H10" s="91"/>
      <c r="I10" s="91"/>
      <c r="J10" s="144"/>
      <c r="K10" s="142"/>
      <c r="L10" s="146"/>
      <c r="M10" s="142"/>
      <c r="N10" s="137"/>
      <c r="O10" s="91">
        <v>46</v>
      </c>
      <c r="P10" s="304"/>
      <c r="Q10" s="301"/>
    </row>
    <row r="11" spans="1:17" s="11" customFormat="1" ht="18.899999999999999" customHeight="1" x14ac:dyDescent="0.25">
      <c r="A11" s="147">
        <v>5</v>
      </c>
      <c r="B11" s="90" t="s">
        <v>145</v>
      </c>
      <c r="C11" s="90"/>
      <c r="D11" s="91"/>
      <c r="E11" s="162"/>
      <c r="F11" s="294"/>
      <c r="G11" s="295"/>
      <c r="H11" s="91"/>
      <c r="I11" s="91"/>
      <c r="J11" s="144"/>
      <c r="K11" s="142"/>
      <c r="L11" s="146"/>
      <c r="M11" s="142"/>
      <c r="N11" s="137"/>
      <c r="O11" s="91">
        <v>62</v>
      </c>
      <c r="P11" s="304"/>
      <c r="Q11" s="301"/>
    </row>
    <row r="12" spans="1:17" s="11" customFormat="1" ht="18.899999999999999" customHeight="1" x14ac:dyDescent="0.25">
      <c r="A12" s="147">
        <v>6</v>
      </c>
      <c r="B12" s="90" t="s">
        <v>146</v>
      </c>
      <c r="C12" s="90"/>
      <c r="D12" s="91"/>
      <c r="E12" s="162"/>
      <c r="F12" s="294"/>
      <c r="G12" s="295"/>
      <c r="H12" s="91"/>
      <c r="I12" s="91"/>
      <c r="J12" s="144"/>
      <c r="K12" s="142"/>
      <c r="L12" s="146"/>
      <c r="M12" s="142"/>
      <c r="N12" s="137"/>
      <c r="O12" s="91">
        <v>103</v>
      </c>
      <c r="P12" s="304"/>
      <c r="Q12" s="301"/>
    </row>
    <row r="13" spans="1:17" s="11" customFormat="1" ht="18.899999999999999" customHeight="1" x14ac:dyDescent="0.25">
      <c r="A13" s="147">
        <v>7</v>
      </c>
      <c r="B13" s="90" t="s">
        <v>147</v>
      </c>
      <c r="C13" s="90"/>
      <c r="D13" s="91"/>
      <c r="E13" s="162"/>
      <c r="F13" s="294"/>
      <c r="G13" s="295"/>
      <c r="H13" s="91"/>
      <c r="I13" s="91"/>
      <c r="J13" s="144"/>
      <c r="K13" s="142"/>
      <c r="L13" s="146"/>
      <c r="M13" s="142"/>
      <c r="N13" s="137"/>
      <c r="O13" s="91">
        <v>109</v>
      </c>
      <c r="P13" s="304"/>
      <c r="Q13" s="301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4"/>
      <c r="G14" s="295"/>
      <c r="H14" s="91"/>
      <c r="I14" s="91"/>
      <c r="J14" s="144"/>
      <c r="K14" s="142"/>
      <c r="L14" s="146"/>
      <c r="M14" s="142"/>
      <c r="N14" s="137"/>
      <c r="O14" s="91"/>
      <c r="P14" s="304"/>
      <c r="Q14" s="301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23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25"/>
      <c r="F28" s="310"/>
      <c r="G28" s="311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26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7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2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2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2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2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2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2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2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2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2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2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2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2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2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2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2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2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2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2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2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2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2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2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2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2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2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2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2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2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2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2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2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2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2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2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2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2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2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2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2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2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2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2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2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2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2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2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2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2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2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2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2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2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2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2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2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2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2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2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2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2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2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2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2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2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2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2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2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2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2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2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2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2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2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2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2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2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2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2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2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2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2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2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2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2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2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2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2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2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2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2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2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2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2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2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2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2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2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2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2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2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2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2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2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2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2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2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2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2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2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2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2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2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2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2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2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2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2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2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2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7:E27 E29:E3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indexed="11"/>
  </sheetPr>
  <dimension ref="A1:AK51"/>
  <sheetViews>
    <sheetView workbookViewId="0">
      <selection activeCell="Q18" sqref="Q1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8" t="str">
        <f>Altalanos!$D$8</f>
        <v>F18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>
        <v>1</v>
      </c>
      <c r="C7" s="205">
        <f>IF($B7="","",VLOOKUP($B7,'F18 ELO'!$A$7:$O$22,5))</f>
        <v>0</v>
      </c>
      <c r="D7" s="205">
        <f>IF($B7="","",VLOOKUP($B7,'F18 ELO'!$A$7:$O$22,15))</f>
        <v>24</v>
      </c>
      <c r="E7" s="202" t="str">
        <f>UPPER(IF($B7="","",VLOOKUP($B7,'F18 ELO'!$A$7:$O$22,2)))</f>
        <v>PASARÉT TK</v>
      </c>
      <c r="F7" s="204"/>
      <c r="G7" s="202">
        <f>IF($B7="","",VLOOKUP($B7,'F18 ELO'!$A$7:$O$22,3))</f>
        <v>0</v>
      </c>
      <c r="H7" s="204"/>
      <c r="I7" s="202">
        <f>IF($B7="","",VLOOKUP($B7,'F18 ELO'!$A$7:$O$22,4))</f>
        <v>0</v>
      </c>
      <c r="J7" s="193"/>
      <c r="K7" s="335" t="s">
        <v>158</v>
      </c>
      <c r="L7" s="279"/>
      <c r="M7" s="286"/>
      <c r="O7" s="211"/>
      <c r="P7" s="211"/>
      <c r="Q7" s="265" t="s">
        <v>72</v>
      </c>
      <c r="R7" s="320" t="s">
        <v>110</v>
      </c>
      <c r="S7" s="320" t="s">
        <v>112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56"/>
      <c r="L8" s="219"/>
      <c r="M8" s="287"/>
      <c r="N8" s="211"/>
      <c r="O8" s="211"/>
      <c r="P8" s="211"/>
      <c r="Q8" s="267" t="s">
        <v>79</v>
      </c>
      <c r="R8" s="321" t="s">
        <v>111</v>
      </c>
      <c r="S8" s="321" t="s">
        <v>113</v>
      </c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>
        <v>4</v>
      </c>
      <c r="C9" s="205">
        <f>IF($B9="","",VLOOKUP($B9,'F18 ELO'!$A$7:$O$22,5))</f>
        <v>0</v>
      </c>
      <c r="D9" s="205">
        <f>IF($B9="","",VLOOKUP($B9,'F18 ELO'!$A$7:$O$22,15))</f>
        <v>46</v>
      </c>
      <c r="E9" s="201" t="str">
        <f>UPPER(IF($B9="","",VLOOKUP($B9,'F18 ELO'!$A$7:$O$22,2)))</f>
        <v>PG TENISZ</v>
      </c>
      <c r="F9" s="206"/>
      <c r="G9" s="201">
        <f>IF($B9="","",VLOOKUP($B9,'F18 ELO'!$A$7:$O$22,3))</f>
        <v>0</v>
      </c>
      <c r="H9" s="206"/>
      <c r="I9" s="201">
        <f>IF($B9="","",VLOOKUP($B9,'F18 ELO'!$A$7:$O$22,4))</f>
        <v>0</v>
      </c>
      <c r="J9" s="193"/>
      <c r="K9" s="335" t="s">
        <v>159</v>
      </c>
      <c r="L9" s="279"/>
      <c r="M9" s="286"/>
      <c r="N9" s="211"/>
      <c r="O9" s="211"/>
      <c r="P9" s="211"/>
      <c r="Q9" s="269" t="s">
        <v>80</v>
      </c>
      <c r="R9" s="322" t="s">
        <v>84</v>
      </c>
      <c r="S9" s="322" t="s">
        <v>114</v>
      </c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56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>
        <v>6</v>
      </c>
      <c r="C11" s="205">
        <f>IF($B11="","",VLOOKUP($B11,'F18 ELO'!$A$7:$O$22,5))</f>
        <v>0</v>
      </c>
      <c r="D11" s="205">
        <f>IF($B11="","",VLOOKUP($B11,'F18 ELO'!$A$7:$O$22,15))</f>
        <v>103</v>
      </c>
      <c r="E11" s="201" t="str">
        <f>UPPER(IF($B11="","",VLOOKUP($B11,'F18 ELO'!$A$7:$O$22,2)))</f>
        <v>GELLÉRT SE 1.</v>
      </c>
      <c r="F11" s="206"/>
      <c r="G11" s="201">
        <f>IF($B11="","",VLOOKUP($B11,'F18 ELO'!$A$7:$O$22,3))</f>
        <v>0</v>
      </c>
      <c r="H11" s="206"/>
      <c r="I11" s="201">
        <f>IF($B11="","",VLOOKUP($B11,'F18 ELO'!$A$7:$O$22,4))</f>
        <v>0</v>
      </c>
      <c r="J11" s="193"/>
      <c r="K11" s="335" t="s">
        <v>156</v>
      </c>
      <c r="L11" s="279"/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336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56" t="s">
        <v>65</v>
      </c>
      <c r="B13" s="271">
        <v>2</v>
      </c>
      <c r="C13" s="205">
        <f>IF($B13="","",VLOOKUP($B13,'F18 ELO'!$A$7:$O$22,5))</f>
        <v>0</v>
      </c>
      <c r="D13" s="205">
        <f>IF($B13="","",VLOOKUP($B13,'F18 ELO'!$A$7:$O$22,15))</f>
        <v>28</v>
      </c>
      <c r="E13" s="202" t="str">
        <f>UPPER(IF($B13="","",VLOOKUP($B13,'F18 ELO'!$A$7:$O$22,2)))</f>
        <v>CSOPAK TK</v>
      </c>
      <c r="F13" s="204"/>
      <c r="G13" s="202">
        <f>IF($B13="","",VLOOKUP($B13,'F18 ELO'!$A$7:$O$22,3))</f>
        <v>0</v>
      </c>
      <c r="H13" s="204"/>
      <c r="I13" s="202">
        <f>IF($B13="","",VLOOKUP($B13,'F18 ELO'!$A$7:$O$22,4))</f>
        <v>0</v>
      </c>
      <c r="J13" s="193"/>
      <c r="K13" s="335" t="s">
        <v>160</v>
      </c>
      <c r="L13" s="279"/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56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73">
        <v>3</v>
      </c>
      <c r="C15" s="205">
        <f>IF($B15="","",VLOOKUP($B15,'F18 ELO'!$A$7:$O$22,5))</f>
        <v>0</v>
      </c>
      <c r="D15" s="205">
        <f>IF($B15="","",VLOOKUP($B15,'F18 ELO'!$A$7:$O$22,15))</f>
        <v>29</v>
      </c>
      <c r="E15" s="201" t="str">
        <f>UPPER(IF($B15="","",VLOOKUP($B15,'F18 ELO'!$A$7:$O$22,2)))</f>
        <v>VASAS SC</v>
      </c>
      <c r="F15" s="206"/>
      <c r="G15" s="201">
        <f>IF($B15="","",VLOOKUP($B15,'F18 ELO'!$A$7:$O$22,3))</f>
        <v>0</v>
      </c>
      <c r="H15" s="206"/>
      <c r="I15" s="201">
        <f>IF($B15="","",VLOOKUP($B15,'F18 ELO'!$A$7:$O$22,4))</f>
        <v>0</v>
      </c>
      <c r="J15" s="193"/>
      <c r="K15" s="335" t="s">
        <v>161</v>
      </c>
      <c r="L15" s="279"/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56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>
        <v>7</v>
      </c>
      <c r="C17" s="205">
        <f>IF($B17="","",VLOOKUP($B17,'F18 ELO'!$A$7:$O$22,5))</f>
        <v>0</v>
      </c>
      <c r="D17" s="205">
        <f>IF($B17="","",VLOOKUP($B17,'F18 ELO'!$A$7:$O$22,15))</f>
        <v>109</v>
      </c>
      <c r="E17" s="201" t="str">
        <f>UPPER(IF($B17="","",VLOOKUP($B17,'F18 ELO'!$A$7:$O$22,2)))</f>
        <v>GYAC</v>
      </c>
      <c r="F17" s="206"/>
      <c r="G17" s="201">
        <f>IF($B17="","",VLOOKUP($B17,'F18 ELO'!$A$7:$O$22,3))</f>
        <v>0</v>
      </c>
      <c r="H17" s="206"/>
      <c r="I17" s="201">
        <f>IF($B17="","",VLOOKUP($B17,'F18 ELO'!$A$7:$O$22,4))</f>
        <v>0</v>
      </c>
      <c r="J17" s="193"/>
      <c r="K17" s="335" t="s">
        <v>157</v>
      </c>
      <c r="L17" s="279"/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219"/>
      <c r="B18" s="272"/>
      <c r="C18" s="220"/>
      <c r="D18" s="220"/>
      <c r="E18" s="220"/>
      <c r="F18" s="220"/>
      <c r="G18" s="220"/>
      <c r="H18" s="220"/>
      <c r="I18" s="220"/>
      <c r="J18" s="193"/>
      <c r="K18" s="256"/>
      <c r="L18" s="219"/>
      <c r="M18" s="287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219" t="s">
        <v>67</v>
      </c>
      <c r="B19" s="273">
        <v>5</v>
      </c>
      <c r="C19" s="205">
        <f>IF($B19="","",VLOOKUP($B19,'F18 ELO'!$A$7:$O$22,5))</f>
        <v>0</v>
      </c>
      <c r="D19" s="205">
        <f>IF($B19="","",VLOOKUP($B19,'F18 ELO'!$A$7:$O$22,15))</f>
        <v>62</v>
      </c>
      <c r="E19" s="201" t="str">
        <f>UPPER(IF($B19="","",VLOOKUP($B19,'F18 ELO'!$A$7:$O$22,2)))</f>
        <v>GELLÉRT SE 2</v>
      </c>
      <c r="F19" s="206"/>
      <c r="G19" s="201">
        <f>IF($B19="","",VLOOKUP($B19,'F18 ELO'!$A$7:$O$22,3))</f>
        <v>0</v>
      </c>
      <c r="H19" s="206"/>
      <c r="I19" s="201">
        <f>IF($B19="","",VLOOKUP($B19,'F18 ELO'!$A$7:$O$22,4))</f>
        <v>0</v>
      </c>
      <c r="J19" s="193"/>
      <c r="K19" s="335" t="s">
        <v>155</v>
      </c>
      <c r="L19" s="279"/>
      <c r="M19" s="286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193"/>
      <c r="B22" s="345"/>
      <c r="C22" s="345"/>
      <c r="D22" s="344" t="str">
        <f>E7</f>
        <v>PASARÉT TK</v>
      </c>
      <c r="E22" s="344"/>
      <c r="F22" s="344" t="str">
        <f>E9</f>
        <v>PG TENISZ</v>
      </c>
      <c r="G22" s="344"/>
      <c r="H22" s="344" t="str">
        <f>E11</f>
        <v>GELLÉRT SE 1.</v>
      </c>
      <c r="I22" s="344"/>
      <c r="J22" s="193"/>
      <c r="K22" s="193"/>
      <c r="L22" s="193"/>
      <c r="M22" s="257" t="s">
        <v>62</v>
      </c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58</v>
      </c>
      <c r="B23" s="349" t="str">
        <f>E7</f>
        <v>PASARÉT TK</v>
      </c>
      <c r="C23" s="349"/>
      <c r="D23" s="342"/>
      <c r="E23" s="342"/>
      <c r="F23" s="365" t="s">
        <v>153</v>
      </c>
      <c r="G23" s="341"/>
      <c r="H23" s="365" t="s">
        <v>149</v>
      </c>
      <c r="I23" s="341"/>
      <c r="J23" s="193"/>
      <c r="K23" s="193"/>
      <c r="L23" s="193"/>
      <c r="M23" s="259">
        <v>1</v>
      </c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ht="18.75" customHeight="1" x14ac:dyDescent="0.25">
      <c r="A24" s="255" t="s">
        <v>59</v>
      </c>
      <c r="B24" s="349" t="str">
        <f>E9</f>
        <v>PG TENISZ</v>
      </c>
      <c r="C24" s="349"/>
      <c r="D24" s="365" t="s">
        <v>154</v>
      </c>
      <c r="E24" s="341"/>
      <c r="F24" s="342"/>
      <c r="G24" s="342"/>
      <c r="H24" s="365" t="s">
        <v>149</v>
      </c>
      <c r="I24" s="341"/>
      <c r="J24" s="193"/>
      <c r="K24" s="193"/>
      <c r="L24" s="193"/>
      <c r="M24" s="259">
        <v>2</v>
      </c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ht="18.75" customHeight="1" x14ac:dyDescent="0.25">
      <c r="A25" s="255" t="s">
        <v>60</v>
      </c>
      <c r="B25" s="349" t="str">
        <f>E11</f>
        <v>GELLÉRT SE 1.</v>
      </c>
      <c r="C25" s="349"/>
      <c r="D25" s="365" t="s">
        <v>150</v>
      </c>
      <c r="E25" s="341"/>
      <c r="F25" s="365" t="s">
        <v>150</v>
      </c>
      <c r="G25" s="341"/>
      <c r="H25" s="342"/>
      <c r="I25" s="342"/>
      <c r="J25" s="193"/>
      <c r="K25" s="193"/>
      <c r="L25" s="193"/>
      <c r="M25" s="259">
        <v>3</v>
      </c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260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ht="18.75" customHeight="1" x14ac:dyDescent="0.25">
      <c r="A27" s="193"/>
      <c r="B27" s="364"/>
      <c r="C27" s="364"/>
      <c r="D27" s="362" t="str">
        <f>E13</f>
        <v>CSOPAK TK</v>
      </c>
      <c r="E27" s="362"/>
      <c r="F27" s="362" t="str">
        <f>E15</f>
        <v>VASAS SC</v>
      </c>
      <c r="G27" s="362"/>
      <c r="H27" s="362" t="str">
        <f>E17</f>
        <v>GYAC</v>
      </c>
      <c r="I27" s="362"/>
      <c r="J27" s="362" t="str">
        <f>E19</f>
        <v>GELLÉRT SE 2</v>
      </c>
      <c r="K27" s="362"/>
      <c r="L27" s="193"/>
      <c r="M27" s="260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255" t="s">
        <v>65</v>
      </c>
      <c r="B28" s="358" t="str">
        <f>E13</f>
        <v>CSOPAK TK</v>
      </c>
      <c r="C28" s="358"/>
      <c r="D28" s="363"/>
      <c r="E28" s="363"/>
      <c r="F28" s="359" t="s">
        <v>150</v>
      </c>
      <c r="G28" s="360"/>
      <c r="H28" s="359" t="s">
        <v>151</v>
      </c>
      <c r="I28" s="360"/>
      <c r="J28" s="361" t="s">
        <v>151</v>
      </c>
      <c r="K28" s="362"/>
      <c r="L28" s="193"/>
      <c r="M28" s="259">
        <v>2</v>
      </c>
    </row>
    <row r="29" spans="1:37" ht="18.75" customHeight="1" x14ac:dyDescent="0.25">
      <c r="A29" s="255" t="s">
        <v>66</v>
      </c>
      <c r="B29" s="358" t="str">
        <f>E15</f>
        <v>VASAS SC</v>
      </c>
      <c r="C29" s="358"/>
      <c r="D29" s="359" t="s">
        <v>149</v>
      </c>
      <c r="E29" s="360"/>
      <c r="F29" s="363"/>
      <c r="G29" s="363"/>
      <c r="H29" s="359" t="s">
        <v>149</v>
      </c>
      <c r="I29" s="360"/>
      <c r="J29" s="359" t="s">
        <v>149</v>
      </c>
      <c r="K29" s="360"/>
      <c r="L29" s="193"/>
      <c r="M29" s="259">
        <v>1</v>
      </c>
    </row>
    <row r="30" spans="1:37" ht="18.75" customHeight="1" x14ac:dyDescent="0.25">
      <c r="A30" s="255" t="s">
        <v>67</v>
      </c>
      <c r="B30" s="358" t="str">
        <f>E17</f>
        <v>GYAC</v>
      </c>
      <c r="C30" s="358"/>
      <c r="D30" s="359" t="s">
        <v>152</v>
      </c>
      <c r="E30" s="360"/>
      <c r="F30" s="359" t="s">
        <v>150</v>
      </c>
      <c r="G30" s="360"/>
      <c r="H30" s="363"/>
      <c r="I30" s="363"/>
      <c r="J30" s="359" t="s">
        <v>153</v>
      </c>
      <c r="K30" s="360"/>
      <c r="L30" s="193"/>
      <c r="M30" s="259">
        <v>3</v>
      </c>
    </row>
    <row r="31" spans="1:37" ht="18.75" customHeight="1" x14ac:dyDescent="0.25">
      <c r="A31" s="255" t="s">
        <v>71</v>
      </c>
      <c r="B31" s="358" t="str">
        <f>E19</f>
        <v>GELLÉRT SE 2</v>
      </c>
      <c r="C31" s="358"/>
      <c r="D31" s="359" t="s">
        <v>152</v>
      </c>
      <c r="E31" s="360"/>
      <c r="F31" s="359" t="s">
        <v>150</v>
      </c>
      <c r="G31" s="360"/>
      <c r="H31" s="361" t="s">
        <v>154</v>
      </c>
      <c r="I31" s="362"/>
      <c r="J31" s="363"/>
      <c r="K31" s="363"/>
      <c r="L31" s="193"/>
      <c r="M31" s="259">
        <v>4</v>
      </c>
    </row>
    <row r="32" spans="1:37" ht="18.75" customHeight="1" x14ac:dyDescent="0.25">
      <c r="A32" s="261"/>
      <c r="B32" s="331"/>
      <c r="C32" s="331"/>
      <c r="D32" s="332"/>
      <c r="E32" s="332"/>
      <c r="F32" s="332"/>
      <c r="G32" s="332"/>
      <c r="H32" s="332"/>
      <c r="I32" s="332"/>
      <c r="J32" s="330"/>
      <c r="K32" s="330"/>
      <c r="L32" s="193"/>
      <c r="M32" s="263"/>
    </row>
    <row r="33" spans="1:19" x14ac:dyDescent="0.25">
      <c r="A33" s="193"/>
      <c r="B33" s="330"/>
      <c r="C33" s="330"/>
      <c r="D33" s="330"/>
      <c r="E33" s="330"/>
      <c r="F33" s="330"/>
      <c r="G33" s="330"/>
      <c r="H33" s="330"/>
      <c r="I33" s="330"/>
      <c r="J33" s="330"/>
      <c r="K33" s="330"/>
      <c r="L33" s="193"/>
      <c r="M33" s="193"/>
    </row>
    <row r="34" spans="1:19" x14ac:dyDescent="0.25">
      <c r="A34" s="193" t="s">
        <v>52</v>
      </c>
      <c r="B34" s="330"/>
      <c r="C34" s="357" t="str">
        <f>IF(M23=1,B23,IF(M24=1,B24,IF(M25=1,B25,"")))</f>
        <v>PASARÉT TK</v>
      </c>
      <c r="D34" s="357"/>
      <c r="E34" s="333" t="s">
        <v>69</v>
      </c>
      <c r="F34" s="356" t="str">
        <f>IF(M28=1,B28,IF(M29=1,B29,IF(M30=1,B30,IF(M31=1,B31,""))))</f>
        <v>VASAS SC</v>
      </c>
      <c r="G34" s="356"/>
      <c r="H34" s="330"/>
      <c r="I34" s="337" t="s">
        <v>149</v>
      </c>
      <c r="J34" s="330"/>
      <c r="K34" s="330"/>
      <c r="L34" s="193"/>
      <c r="M34" s="193"/>
    </row>
    <row r="35" spans="1:19" x14ac:dyDescent="0.25">
      <c r="A35" s="193"/>
      <c r="B35" s="330"/>
      <c r="C35" s="339"/>
      <c r="D35" s="339"/>
      <c r="E35" s="330"/>
      <c r="F35" s="333"/>
      <c r="G35" s="333"/>
      <c r="H35" s="330"/>
      <c r="I35" s="338"/>
      <c r="J35" s="330"/>
      <c r="K35" s="330"/>
      <c r="L35" s="193"/>
      <c r="M35" s="193"/>
    </row>
    <row r="36" spans="1:19" x14ac:dyDescent="0.25">
      <c r="A36" s="193" t="s">
        <v>68</v>
      </c>
      <c r="B36" s="330"/>
      <c r="C36" s="357" t="str">
        <f>IF(M23=2,B23,IF(M24=2,B24,IF(M25=2,B25,"")))</f>
        <v>PG TENISZ</v>
      </c>
      <c r="D36" s="357"/>
      <c r="E36" s="333" t="s">
        <v>69</v>
      </c>
      <c r="F36" s="356" t="str">
        <f>IF(M28=2,B28,IF(M29=2,B29,IF(M30=2,B30,IF(M31=2,B31,""))))</f>
        <v>CSOPAK TK</v>
      </c>
      <c r="G36" s="356"/>
      <c r="H36" s="330"/>
      <c r="I36" s="337" t="s">
        <v>153</v>
      </c>
      <c r="J36" s="330"/>
      <c r="K36" s="330"/>
      <c r="L36" s="193"/>
      <c r="M36" s="193"/>
    </row>
    <row r="37" spans="1:19" x14ac:dyDescent="0.25">
      <c r="A37" s="193"/>
      <c r="B37" s="330"/>
      <c r="C37" s="334"/>
      <c r="D37" s="334"/>
      <c r="E37" s="333"/>
      <c r="F37" s="334"/>
      <c r="G37" s="334"/>
      <c r="H37" s="330"/>
      <c r="I37" s="338"/>
      <c r="J37" s="330"/>
      <c r="K37" s="330"/>
      <c r="L37" s="193"/>
      <c r="M37" s="193"/>
    </row>
    <row r="38" spans="1:19" x14ac:dyDescent="0.25">
      <c r="A38" s="193" t="s">
        <v>70</v>
      </c>
      <c r="B38" s="330"/>
      <c r="C38" s="357" t="str">
        <f>IF(M23=3,B23,IF(M24=3,B24,IF(M25=3,B25,"")))</f>
        <v>GELLÉRT SE 1.</v>
      </c>
      <c r="D38" s="357"/>
      <c r="E38" s="333" t="s">
        <v>69</v>
      </c>
      <c r="F38" s="356" t="str">
        <f>IF(M28=3,B28,IF(M29=3,B29,IF(M30=3,B30,IF(M31=3,B31,""))))</f>
        <v>GYAC</v>
      </c>
      <c r="G38" s="356"/>
      <c r="H38" s="330"/>
      <c r="I38" s="337" t="s">
        <v>153</v>
      </c>
      <c r="J38" s="330"/>
      <c r="K38" s="330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7" t="s">
        <v>2</v>
      </c>
      <c r="E41" s="228" t="s">
        <v>40</v>
      </c>
      <c r="F41" s="246"/>
      <c r="G41" s="227" t="s">
        <v>2</v>
      </c>
      <c r="H41" s="228" t="s">
        <v>49</v>
      </c>
      <c r="I41" s="119"/>
      <c r="J41" s="228" t="s">
        <v>50</v>
      </c>
      <c r="K41" s="118" t="s">
        <v>51</v>
      </c>
      <c r="L41" s="31"/>
      <c r="M41" s="246"/>
      <c r="O41" s="211"/>
      <c r="P41" s="221"/>
      <c r="Q41" s="221"/>
      <c r="R41" s="222"/>
      <c r="S41" s="211"/>
    </row>
    <row r="42" spans="1:19" x14ac:dyDescent="0.25">
      <c r="A42" s="196" t="s">
        <v>39</v>
      </c>
      <c r="B42" s="197"/>
      <c r="C42" s="198"/>
      <c r="D42" s="229">
        <v>1</v>
      </c>
      <c r="E42" s="348" t="str">
        <f>IF(D42&gt;$R$44,,UPPER(VLOOKUP(D42,'F18 ELO'!$A$7:$Q$134,2)))</f>
        <v>PASARÉT TK</v>
      </c>
      <c r="F42" s="348"/>
      <c r="G42" s="240" t="s">
        <v>3</v>
      </c>
      <c r="H42" s="197"/>
      <c r="I42" s="230"/>
      <c r="J42" s="241"/>
      <c r="K42" s="194" t="s">
        <v>41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99" t="s">
        <v>48</v>
      </c>
      <c r="B43" s="117"/>
      <c r="C43" s="200"/>
      <c r="D43" s="232">
        <v>2</v>
      </c>
      <c r="E43" s="346" t="str">
        <f>IF(D43&gt;$R$44,,UPPER(VLOOKUP(D43,'F18 ELO'!$A$7:$Q$134,2)))</f>
        <v>CSOPAK TK</v>
      </c>
      <c r="F43" s="346"/>
      <c r="G43" s="242" t="s">
        <v>4</v>
      </c>
      <c r="H43" s="233"/>
      <c r="I43" s="234"/>
      <c r="J43" s="82"/>
      <c r="K43" s="244"/>
      <c r="L43" s="192"/>
      <c r="M43" s="239"/>
      <c r="O43" s="211"/>
      <c r="P43" s="224"/>
      <c r="Q43" s="225"/>
      <c r="R43" s="224"/>
      <c r="S43" s="211"/>
    </row>
    <row r="44" spans="1:19" x14ac:dyDescent="0.25">
      <c r="A44" s="132"/>
      <c r="B44" s="133"/>
      <c r="C44" s="134"/>
      <c r="D44" s="232"/>
      <c r="E44" s="236"/>
      <c r="F44" s="237"/>
      <c r="G44" s="242" t="s">
        <v>5</v>
      </c>
      <c r="H44" s="233"/>
      <c r="I44" s="234"/>
      <c r="J44" s="82"/>
      <c r="K44" s="194" t="s">
        <v>42</v>
      </c>
      <c r="L44" s="247"/>
      <c r="M44" s="231"/>
      <c r="O44" s="211"/>
      <c r="P44" s="223"/>
      <c r="Q44" s="223"/>
      <c r="R44" s="226">
        <f>MIN(4,'F18 ELO'!Q2)</f>
        <v>4</v>
      </c>
      <c r="S44" s="211"/>
    </row>
    <row r="45" spans="1:19" x14ac:dyDescent="0.25">
      <c r="A45" s="112"/>
      <c r="B45" s="163"/>
      <c r="C45" s="113"/>
      <c r="D45" s="232"/>
      <c r="E45" s="236"/>
      <c r="F45" s="237"/>
      <c r="G45" s="242" t="s">
        <v>6</v>
      </c>
      <c r="H45" s="233"/>
      <c r="I45" s="234"/>
      <c r="J45" s="82"/>
      <c r="K45" s="245"/>
      <c r="L45" s="237"/>
      <c r="M45" s="235"/>
      <c r="O45" s="211"/>
      <c r="P45" s="224"/>
      <c r="Q45" s="225"/>
      <c r="R45" s="224"/>
      <c r="S45" s="211"/>
    </row>
    <row r="46" spans="1:19" x14ac:dyDescent="0.25">
      <c r="A46" s="121"/>
      <c r="B46" s="135"/>
      <c r="C46" s="164"/>
      <c r="D46" s="232"/>
      <c r="E46" s="236"/>
      <c r="F46" s="237"/>
      <c r="G46" s="242" t="s">
        <v>7</v>
      </c>
      <c r="H46" s="233"/>
      <c r="I46" s="234"/>
      <c r="J46" s="82"/>
      <c r="K46" s="199"/>
      <c r="L46" s="192"/>
      <c r="M46" s="239"/>
      <c r="O46" s="211"/>
      <c r="P46" s="224"/>
      <c r="Q46" s="225"/>
      <c r="R46" s="224"/>
      <c r="S46" s="211"/>
    </row>
    <row r="47" spans="1:19" x14ac:dyDescent="0.25">
      <c r="A47" s="122"/>
      <c r="B47" s="138"/>
      <c r="C47" s="113"/>
      <c r="D47" s="232"/>
      <c r="E47" s="236"/>
      <c r="F47" s="237"/>
      <c r="G47" s="242" t="s">
        <v>8</v>
      </c>
      <c r="H47" s="233"/>
      <c r="I47" s="234"/>
      <c r="J47" s="82"/>
      <c r="K47" s="194" t="s">
        <v>31</v>
      </c>
      <c r="L47" s="247"/>
      <c r="M47" s="231"/>
      <c r="O47" s="211"/>
      <c r="P47" s="223"/>
      <c r="Q47" s="223"/>
      <c r="R47" s="224"/>
      <c r="S47" s="211"/>
    </row>
    <row r="48" spans="1:19" x14ac:dyDescent="0.25">
      <c r="A48" s="122"/>
      <c r="B48" s="138"/>
      <c r="C48" s="130"/>
      <c r="D48" s="232"/>
      <c r="E48" s="236"/>
      <c r="F48" s="237"/>
      <c r="G48" s="242" t="s">
        <v>9</v>
      </c>
      <c r="H48" s="233"/>
      <c r="I48" s="234"/>
      <c r="J48" s="82"/>
      <c r="K48" s="245"/>
      <c r="L48" s="237"/>
      <c r="M48" s="235"/>
      <c r="O48" s="211"/>
      <c r="P48" s="224"/>
      <c r="Q48" s="225"/>
      <c r="R48" s="224"/>
      <c r="S48" s="211"/>
    </row>
    <row r="49" spans="1:19" x14ac:dyDescent="0.25">
      <c r="A49" s="123"/>
      <c r="B49" s="120"/>
      <c r="C49" s="131"/>
      <c r="D49" s="238"/>
      <c r="E49" s="114"/>
      <c r="F49" s="192"/>
      <c r="G49" s="243" t="s">
        <v>10</v>
      </c>
      <c r="H49" s="117"/>
      <c r="I49" s="195"/>
      <c r="J49" s="115"/>
      <c r="K49" s="199" t="str">
        <f>L4</f>
        <v>Rákóczi Andrea</v>
      </c>
      <c r="L49" s="192"/>
      <c r="M49" s="239"/>
      <c r="O49" s="211"/>
      <c r="P49" s="224"/>
      <c r="Q49" s="225"/>
      <c r="R49" s="226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C34:D34"/>
    <mergeCell ref="F34:G34"/>
    <mergeCell ref="C36:D36"/>
    <mergeCell ref="F36:G36"/>
    <mergeCell ref="C38:D38"/>
    <mergeCell ref="F38:G38"/>
    <mergeCell ref="E42:F42"/>
    <mergeCell ref="E43:F43"/>
  </mergeCells>
  <conditionalFormatting sqref="R49 R44">
    <cfRule type="expression" dxfId="1" priority="2" stopIfTrue="1">
      <formula>$O$1="CU"</formula>
    </cfRule>
  </conditionalFormatting>
  <conditionalFormatting sqref="E7 E9 E11 E13 E15 E17 E19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Csapat OB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 t="str">
        <f>Altalanos!$A$10</f>
        <v>2023.08.24-26.</v>
      </c>
      <c r="B5" s="53" t="str">
        <f>Altalanos!$C$10</f>
        <v>Budapest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40" t="s">
        <v>23</v>
      </c>
      <c r="B6" s="340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T11" sqref="T11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39" customWidth="1"/>
    <col min="5" max="5" width="10.5546875" style="306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Csapat 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85" t="str">
        <f>Altalanos!$A$8</f>
        <v>F12</v>
      </c>
      <c r="D2" s="99"/>
      <c r="E2" s="159" t="s">
        <v>32</v>
      </c>
      <c r="F2" s="89"/>
      <c r="G2" s="89"/>
      <c r="H2" s="298"/>
      <c r="I2" s="298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91" t="s">
        <v>45</v>
      </c>
      <c r="B3" s="296"/>
      <c r="C3" s="296"/>
      <c r="D3" s="296"/>
      <c r="E3" s="296"/>
      <c r="F3" s="296"/>
      <c r="G3" s="296"/>
      <c r="H3" s="296"/>
      <c r="I3" s="297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8" t="s">
        <v>28</v>
      </c>
      <c r="I4" s="303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2023.08.24-26.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9"/>
      <c r="J5" s="106"/>
      <c r="K5" s="81"/>
      <c r="L5" s="81"/>
      <c r="M5" s="81"/>
      <c r="N5" s="106"/>
      <c r="O5" s="87"/>
      <c r="P5" s="87"/>
      <c r="Q5" s="317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9" t="s">
        <v>35</v>
      </c>
      <c r="I6" s="300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148</v>
      </c>
      <c r="C7" s="90"/>
      <c r="D7" s="91"/>
      <c r="E7" s="162"/>
      <c r="F7" s="292"/>
      <c r="G7" s="293"/>
      <c r="H7" s="91"/>
      <c r="I7" s="91"/>
      <c r="J7" s="144"/>
      <c r="K7" s="142"/>
      <c r="L7" s="146"/>
      <c r="M7" s="142"/>
      <c r="N7" s="137"/>
      <c r="O7" s="324">
        <v>16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129</v>
      </c>
      <c r="C8" s="90"/>
      <c r="D8" s="91"/>
      <c r="E8" s="162"/>
      <c r="F8" s="294"/>
      <c r="G8" s="295"/>
      <c r="H8" s="91"/>
      <c r="I8" s="91"/>
      <c r="J8" s="144"/>
      <c r="K8" s="142"/>
      <c r="L8" s="146"/>
      <c r="M8" s="142"/>
      <c r="N8" s="137"/>
      <c r="O8" s="91">
        <v>18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130</v>
      </c>
      <c r="C9" s="90"/>
      <c r="D9" s="91"/>
      <c r="E9" s="162"/>
      <c r="F9" s="294"/>
      <c r="G9" s="295"/>
      <c r="H9" s="91"/>
      <c r="I9" s="91"/>
      <c r="J9" s="144"/>
      <c r="K9" s="142"/>
      <c r="L9" s="146"/>
      <c r="M9" s="142"/>
      <c r="N9" s="137"/>
      <c r="O9" s="91">
        <v>55</v>
      </c>
      <c r="P9" s="305"/>
      <c r="Q9" s="167"/>
    </row>
    <row r="10" spans="1:17" s="11" customFormat="1" ht="18.899999999999999" customHeight="1" x14ac:dyDescent="0.25">
      <c r="A10" s="147">
        <v>4</v>
      </c>
      <c r="B10" s="90" t="s">
        <v>131</v>
      </c>
      <c r="C10" s="90"/>
      <c r="D10" s="91"/>
      <c r="E10" s="162"/>
      <c r="F10" s="294"/>
      <c r="G10" s="295"/>
      <c r="H10" s="91"/>
      <c r="I10" s="91"/>
      <c r="J10" s="144"/>
      <c r="K10" s="142"/>
      <c r="L10" s="146"/>
      <c r="M10" s="142"/>
      <c r="N10" s="137"/>
      <c r="O10" s="91">
        <v>59</v>
      </c>
      <c r="P10" s="304"/>
      <c r="Q10" s="301"/>
    </row>
    <row r="11" spans="1:17" s="11" customFormat="1" ht="18.899999999999999" customHeight="1" x14ac:dyDescent="0.25">
      <c r="A11" s="147">
        <v>5</v>
      </c>
      <c r="B11" s="90" t="s">
        <v>132</v>
      </c>
      <c r="C11" s="90"/>
      <c r="D11" s="91"/>
      <c r="E11" s="162"/>
      <c r="F11" s="294"/>
      <c r="G11" s="295"/>
      <c r="H11" s="91"/>
      <c r="I11" s="91"/>
      <c r="J11" s="144"/>
      <c r="K11" s="142"/>
      <c r="L11" s="146"/>
      <c r="M11" s="142"/>
      <c r="N11" s="137"/>
      <c r="O11" s="91">
        <v>66</v>
      </c>
      <c r="P11" s="304"/>
      <c r="Q11" s="301"/>
    </row>
    <row r="12" spans="1:17" s="11" customFormat="1" ht="18.899999999999999" customHeight="1" x14ac:dyDescent="0.25">
      <c r="A12" s="147">
        <v>6</v>
      </c>
      <c r="B12" s="90" t="s">
        <v>133</v>
      </c>
      <c r="C12" s="90"/>
      <c r="D12" s="91"/>
      <c r="E12" s="162"/>
      <c r="F12" s="294"/>
      <c r="G12" s="295"/>
      <c r="H12" s="91"/>
      <c r="I12" s="91"/>
      <c r="J12" s="144"/>
      <c r="K12" s="142"/>
      <c r="L12" s="146"/>
      <c r="M12" s="142"/>
      <c r="N12" s="137"/>
      <c r="O12" s="91">
        <v>178</v>
      </c>
      <c r="P12" s="304"/>
      <c r="Q12" s="301"/>
    </row>
    <row r="13" spans="1:17" s="11" customFormat="1" ht="18.899999999999999" customHeight="1" x14ac:dyDescent="0.25">
      <c r="A13" s="147">
        <v>7</v>
      </c>
      <c r="B13" s="90" t="s">
        <v>134</v>
      </c>
      <c r="C13" s="90"/>
      <c r="D13" s="91"/>
      <c r="E13" s="162"/>
      <c r="F13" s="294"/>
      <c r="G13" s="295"/>
      <c r="H13" s="91"/>
      <c r="I13" s="91"/>
      <c r="J13" s="144"/>
      <c r="K13" s="142"/>
      <c r="L13" s="146"/>
      <c r="M13" s="142"/>
      <c r="N13" s="137"/>
      <c r="O13" s="91">
        <v>188</v>
      </c>
      <c r="P13" s="304"/>
      <c r="Q13" s="301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4"/>
      <c r="G14" s="295"/>
      <c r="H14" s="91"/>
      <c r="I14" s="91"/>
      <c r="J14" s="144"/>
      <c r="K14" s="142"/>
      <c r="L14" s="146"/>
      <c r="M14" s="142"/>
      <c r="N14" s="137"/>
      <c r="O14" s="91"/>
      <c r="P14" s="304"/>
      <c r="Q14" s="301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23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25"/>
      <c r="F28" s="310"/>
      <c r="G28" s="311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26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7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2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2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2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69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2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2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2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2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2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2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2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2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2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2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2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2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2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2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2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2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2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2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2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2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2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2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2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2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2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2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2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2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2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2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2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2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69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2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69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2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69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2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69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2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69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2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69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2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69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2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69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2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69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2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69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2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69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2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69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2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69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2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69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2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69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2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69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2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69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2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69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2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69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2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69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2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69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2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69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2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69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2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69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2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69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2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69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2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69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2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69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2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69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2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69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2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69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2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69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2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69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2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69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2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69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2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69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2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69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2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69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2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69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2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69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2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69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2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69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2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69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2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69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2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69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2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69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2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69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2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69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2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69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2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69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2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69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2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69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2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69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2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69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2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69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2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69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2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69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2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69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2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69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2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69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2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69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2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69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2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69">
        <f t="shared" si="7"/>
        <v>999</v>
      </c>
      <c r="N134" s="167"/>
      <c r="O134" s="170"/>
      <c r="P134" s="171">
        <f t="shared" si="8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2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69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2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69">
        <f t="shared" si="10"/>
        <v>999</v>
      </c>
      <c r="N136" s="167"/>
      <c r="O136" s="140"/>
      <c r="P136" s="108">
        <f t="shared" si="11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2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69">
        <f t="shared" si="10"/>
        <v>999</v>
      </c>
      <c r="N137" s="167"/>
      <c r="O137" s="140"/>
      <c r="P137" s="108">
        <f t="shared" si="11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2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69">
        <f t="shared" si="10"/>
        <v>999</v>
      </c>
      <c r="N138" s="167"/>
      <c r="O138" s="140"/>
      <c r="P138" s="108">
        <f t="shared" si="11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2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69">
        <f t="shared" si="10"/>
        <v>999</v>
      </c>
      <c r="N139" s="167"/>
      <c r="O139" s="140"/>
      <c r="P139" s="108">
        <f t="shared" si="11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2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69">
        <f t="shared" si="10"/>
        <v>999</v>
      </c>
      <c r="N140" s="167"/>
      <c r="O140" s="140"/>
      <c r="P140" s="108">
        <f t="shared" si="11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2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69">
        <f t="shared" si="10"/>
        <v>999</v>
      </c>
      <c r="N141" s="167"/>
      <c r="O141" s="170"/>
      <c r="P141" s="171">
        <f t="shared" si="11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2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69">
        <f t="shared" si="10"/>
        <v>999</v>
      </c>
      <c r="N142" s="167"/>
      <c r="O142" s="140"/>
      <c r="P142" s="108">
        <f t="shared" si="11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2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69">
        <f t="shared" si="10"/>
        <v>999</v>
      </c>
      <c r="N143" s="167"/>
      <c r="O143" s="140"/>
      <c r="P143" s="108">
        <f t="shared" si="11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2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69">
        <f t="shared" si="10"/>
        <v>999</v>
      </c>
      <c r="N144" s="167"/>
      <c r="O144" s="140"/>
      <c r="P144" s="108">
        <f t="shared" si="11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2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69">
        <f t="shared" si="10"/>
        <v>999</v>
      </c>
      <c r="N145" s="167"/>
      <c r="O145" s="140"/>
      <c r="P145" s="108">
        <f t="shared" si="11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2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69">
        <f t="shared" si="10"/>
        <v>999</v>
      </c>
      <c r="N146" s="167"/>
      <c r="O146" s="140"/>
      <c r="P146" s="108">
        <f t="shared" si="11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2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69">
        <f t="shared" si="10"/>
        <v>999</v>
      </c>
      <c r="N147" s="167"/>
      <c r="O147" s="140"/>
      <c r="P147" s="108">
        <f t="shared" si="11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2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69">
        <f t="shared" si="10"/>
        <v>999</v>
      </c>
      <c r="N148" s="167"/>
      <c r="O148" s="170"/>
      <c r="P148" s="171">
        <f t="shared" si="11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2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69">
        <f t="shared" si="10"/>
        <v>999</v>
      </c>
      <c r="N149" s="167"/>
      <c r="O149" s="140"/>
      <c r="P149" s="108">
        <f t="shared" si="11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2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69">
        <f t="shared" si="10"/>
        <v>999</v>
      </c>
      <c r="N150" s="167"/>
      <c r="O150" s="140"/>
      <c r="P150" s="108">
        <f t="shared" si="11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2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69">
        <f t="shared" si="10"/>
        <v>999</v>
      </c>
      <c r="N151" s="167"/>
      <c r="O151" s="140"/>
      <c r="P151" s="108">
        <f t="shared" si="11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2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69">
        <f t="shared" si="10"/>
        <v>999</v>
      </c>
      <c r="N152" s="167"/>
      <c r="O152" s="140"/>
      <c r="P152" s="108">
        <f t="shared" si="11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2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69">
        <f t="shared" si="10"/>
        <v>999</v>
      </c>
      <c r="N153" s="167"/>
      <c r="O153" s="140"/>
      <c r="P153" s="108">
        <f t="shared" si="11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2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69">
        <f t="shared" si="10"/>
        <v>999</v>
      </c>
      <c r="N154" s="167"/>
      <c r="O154" s="140"/>
      <c r="P154" s="108">
        <f t="shared" si="11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2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69">
        <f t="shared" si="10"/>
        <v>999</v>
      </c>
      <c r="N155" s="167"/>
      <c r="O155" s="140"/>
      <c r="P155" s="108">
        <f t="shared" si="11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2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69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56">
    <cfRule type="expression" dxfId="97" priority="14" stopIfTrue="1">
      <formula>AND(ROUNDDOWN(($A$4-E7)/365.25,0)&lt;=13,G7&lt;&gt;"OK")</formula>
    </cfRule>
    <cfRule type="expression" dxfId="96" priority="15" stopIfTrue="1">
      <formula>AND(ROUNDDOWN(($A$4-E7)/365.25,0)&lt;=14,G7&lt;&gt;"OK")</formula>
    </cfRule>
    <cfRule type="expression" dxfId="95" priority="16" stopIfTrue="1">
      <formula>AND(ROUNDDOWN(($A$4-E7)/365.25,0)&lt;=17,G7&lt;&gt;"OK")</formula>
    </cfRule>
  </conditionalFormatting>
  <conditionalFormatting sqref="J7:J156">
    <cfRule type="cellIs" dxfId="94" priority="17" stopIfTrue="1" operator="equal">
      <formula>"Z"</formula>
    </cfRule>
  </conditionalFormatting>
  <conditionalFormatting sqref="A7:D156">
    <cfRule type="expression" dxfId="93" priority="18" stopIfTrue="1">
      <formula>$Q7&gt;=1</formula>
    </cfRule>
  </conditionalFormatting>
  <conditionalFormatting sqref="E7:E14">
    <cfRule type="expression" dxfId="92" priority="11" stopIfTrue="1">
      <formula>AND(ROUNDDOWN(($A$4-E7)/365.25,0)&lt;=13,G7&lt;&gt;"OK")</formula>
    </cfRule>
    <cfRule type="expression" dxfId="91" priority="12" stopIfTrue="1">
      <formula>AND(ROUNDDOWN(($A$4-E7)/365.25,0)&lt;=14,G7&lt;&gt;"OK")</formula>
    </cfRule>
    <cfRule type="expression" dxfId="90" priority="13" stopIfTrue="1">
      <formula>AND(ROUNDDOWN(($A$4-E7)/365.25,0)&lt;=17,G7&lt;&gt;"OK")</formula>
    </cfRule>
  </conditionalFormatting>
  <conditionalFormatting sqref="J7:J14">
    <cfRule type="cellIs" dxfId="89" priority="10" stopIfTrue="1" operator="equal">
      <formula>"Z"</formula>
    </cfRule>
  </conditionalFormatting>
  <conditionalFormatting sqref="B7:D14">
    <cfRule type="expression" dxfId="88" priority="9" stopIfTrue="1">
      <formula>$Q7&gt;=1</formula>
    </cfRule>
  </conditionalFormatting>
  <conditionalFormatting sqref="E7:E14">
    <cfRule type="expression" dxfId="87" priority="6" stopIfTrue="1">
      <formula>AND(ROUNDDOWN(($A$4-E7)/365.25,0)&lt;=13,G7&lt;&gt;"OK")</formula>
    </cfRule>
    <cfRule type="expression" dxfId="86" priority="7" stopIfTrue="1">
      <formula>AND(ROUNDDOWN(($A$4-E7)/365.25,0)&lt;=14,G7&lt;&gt;"OK")</formula>
    </cfRule>
    <cfRule type="expression" dxfId="85" priority="8" stopIfTrue="1">
      <formula>AND(ROUNDDOWN(($A$4-E7)/365.25,0)&lt;=17,G7&lt;&gt;"OK")</formula>
    </cfRule>
  </conditionalFormatting>
  <conditionalFormatting sqref="B7:D14">
    <cfRule type="expression" dxfId="84" priority="5" stopIfTrue="1">
      <formula>$Q7&gt;=1</formula>
    </cfRule>
  </conditionalFormatting>
  <conditionalFormatting sqref="E7:E27 E29:E37">
    <cfRule type="expression" dxfId="83" priority="2" stopIfTrue="1">
      <formula>AND(ROUNDDOWN(($A$4-E7)/365.25,0)&lt;=13,G7&lt;&gt;"OK")</formula>
    </cfRule>
    <cfRule type="expression" dxfId="82" priority="3" stopIfTrue="1">
      <formula>AND(ROUNDDOWN(($A$4-E7)/365.25,0)&lt;=14,G7&lt;&gt;"OK")</formula>
    </cfRule>
    <cfRule type="expression" dxfId="81" priority="4" stopIfTrue="1">
      <formula>AND(ROUNDDOWN(($A$4-E7)/365.25,0)&lt;=17,G7&lt;&gt;"OK")</formula>
    </cfRule>
  </conditionalFormatting>
  <conditionalFormatting sqref="B7:D37">
    <cfRule type="expression" dxfId="8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11"/>
  </sheetPr>
  <dimension ref="A1:AK43"/>
  <sheetViews>
    <sheetView workbookViewId="0">
      <selection activeCell="B7" sqref="B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76" hidden="1" customWidth="1"/>
    <col min="26" max="37" width="0" style="276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Y1"/>
      <c r="Z1"/>
      <c r="AA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F12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11"/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11"/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11"/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19" t="s">
        <v>58</v>
      </c>
      <c r="B7" s="250"/>
      <c r="C7" s="205" t="str">
        <f>IF($B7="","",VLOOKUP($B7,'F12 ELO'!$A$7:$O$22,5))</f>
        <v/>
      </c>
      <c r="D7" s="205" t="str">
        <f>IF($B7="","",VLOOKUP($B7,'F12 ELO'!$A$7:$O$22,15))</f>
        <v/>
      </c>
      <c r="E7" s="201" t="str">
        <f>UPPER(IF($B7="","",VLOOKUP($B7,'F12 ELO'!$A$7:$O$22,2)))</f>
        <v/>
      </c>
      <c r="F7" s="206"/>
      <c r="G7" s="201" t="str">
        <f>IF($B7="","",VLOOKUP($B7,'F12 ELO'!$A$7:$O$22,3))</f>
        <v/>
      </c>
      <c r="H7" s="206"/>
      <c r="I7" s="201" t="str">
        <f>IF($B7="","",VLOOKUP($B7,'F12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11"/>
      <c r="R7" s="211"/>
      <c r="S7" s="211"/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51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11"/>
      <c r="R8" s="211"/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50"/>
      <c r="C9" s="205" t="str">
        <f>IF($B9="","",VLOOKUP($B9,'F12 ELO'!$A$7:$O$22,5))</f>
        <v/>
      </c>
      <c r="D9" s="205" t="str">
        <f>IF($B9="","",VLOOKUP($B9,'F12 ELO'!$A$7:$O$22,15))</f>
        <v/>
      </c>
      <c r="E9" s="201" t="str">
        <f>UPPER(IF($B9="","",VLOOKUP($B9,'F12 ELO'!$A$7:$O$22,2)))</f>
        <v/>
      </c>
      <c r="F9" s="206"/>
      <c r="G9" s="201" t="str">
        <f>IF($B9="","",VLOOKUP($B9,'F12 ELO'!$A$7:$O$22,3))</f>
        <v/>
      </c>
      <c r="H9" s="206"/>
      <c r="I9" s="201" t="str">
        <f>IF($B9="","",VLOOKUP($B9,'F12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51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50"/>
      <c r="C11" s="205" t="str">
        <f>IF($B11="","",VLOOKUP($B11,'F12 ELO'!$A$7:$O$22,5))</f>
        <v/>
      </c>
      <c r="D11" s="205" t="str">
        <f>IF($B11="","",VLOOKUP($B11,'F12 ELO'!$A$7:$O$22,15))</f>
        <v/>
      </c>
      <c r="E11" s="201" t="str">
        <f>UPPER(IF($B11="","",VLOOKUP($B11,'F12 ELO'!$A$7:$O$22,2)))</f>
        <v/>
      </c>
      <c r="F11" s="206"/>
      <c r="G11" s="201" t="str">
        <f>IF($B11="","",VLOOKUP($B11,'F12 ELO'!$A$7:$O$22,3))</f>
        <v/>
      </c>
      <c r="H11" s="206"/>
      <c r="I11" s="201" t="str">
        <f>IF($B11="","",VLOOKUP($B11,'F12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ht="18.75" customHeight="1" x14ac:dyDescent="0.25">
      <c r="A18" s="193"/>
      <c r="B18" s="345"/>
      <c r="C18" s="345"/>
      <c r="D18" s="344" t="str">
        <f>E7</f>
        <v/>
      </c>
      <c r="E18" s="344"/>
      <c r="F18" s="344" t="str">
        <f>E9</f>
        <v/>
      </c>
      <c r="G18" s="344"/>
      <c r="H18" s="344" t="str">
        <f>E11</f>
        <v/>
      </c>
      <c r="I18" s="344"/>
      <c r="J18" s="193"/>
      <c r="K18" s="193"/>
      <c r="L18" s="193"/>
      <c r="M18" s="193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ht="18.75" customHeight="1" x14ac:dyDescent="0.25">
      <c r="A19" s="255" t="s">
        <v>58</v>
      </c>
      <c r="B19" s="349" t="str">
        <f>E7</f>
        <v/>
      </c>
      <c r="C19" s="349"/>
      <c r="D19" s="342"/>
      <c r="E19" s="342"/>
      <c r="F19" s="341"/>
      <c r="G19" s="341"/>
      <c r="H19" s="341"/>
      <c r="I19" s="341"/>
      <c r="J19" s="193"/>
      <c r="K19" s="193"/>
      <c r="L19" s="193"/>
      <c r="M19" s="193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ht="18.75" customHeight="1" x14ac:dyDescent="0.25">
      <c r="A20" s="255" t="s">
        <v>59</v>
      </c>
      <c r="B20" s="349" t="str">
        <f>E9</f>
        <v/>
      </c>
      <c r="C20" s="349"/>
      <c r="D20" s="341"/>
      <c r="E20" s="341"/>
      <c r="F20" s="342"/>
      <c r="G20" s="342"/>
      <c r="H20" s="341"/>
      <c r="I20" s="341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ht="18.75" customHeight="1" x14ac:dyDescent="0.25">
      <c r="A21" s="255" t="s">
        <v>60</v>
      </c>
      <c r="B21" s="349" t="str">
        <f>E11</f>
        <v/>
      </c>
      <c r="C21" s="349"/>
      <c r="D21" s="341"/>
      <c r="E21" s="341"/>
      <c r="F21" s="341"/>
      <c r="G21" s="341"/>
      <c r="H21" s="342"/>
      <c r="I21" s="342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2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319"/>
      <c r="N33" s="318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8"/>
      <c r="F34" s="348"/>
      <c r="G34" s="240" t="s">
        <v>3</v>
      </c>
      <c r="H34" s="197"/>
      <c r="I34" s="230"/>
      <c r="J34" s="241"/>
      <c r="K34" s="194" t="s">
        <v>41</v>
      </c>
      <c r="L34" s="247"/>
      <c r="M34" s="235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6"/>
      <c r="F35" s="346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L4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20"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  <mergeCell ref="F19:G19"/>
    <mergeCell ref="H19:I19"/>
    <mergeCell ref="D20:E20"/>
    <mergeCell ref="F20:G20"/>
    <mergeCell ref="H20:I20"/>
    <mergeCell ref="A4:C4"/>
    <mergeCell ref="D18:E18"/>
    <mergeCell ref="F18:G18"/>
    <mergeCell ref="H18:I18"/>
    <mergeCell ref="B18:C18"/>
  </mergeCells>
  <phoneticPr fontId="45" type="noConversion"/>
  <conditionalFormatting sqref="E7 E9 E11">
    <cfRule type="cellIs" dxfId="79" priority="1" stopIfTrue="1" operator="equal">
      <formula>"Bye"</formula>
    </cfRule>
  </conditionalFormatting>
  <conditionalFormatting sqref="R41">
    <cfRule type="expression" dxfId="7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AK43"/>
  <sheetViews>
    <sheetView workbookViewId="0">
      <selection activeCell="A4" sqref="A4:C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F12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280"/>
      <c r="M4" s="191" t="str">
        <f>Altalanos!$E$10</f>
        <v>Rákóczi Andrea</v>
      </c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19" t="s">
        <v>58</v>
      </c>
      <c r="B7" s="250"/>
      <c r="C7" s="252" t="str">
        <f>IF($B7="","",VLOOKUP($B7,'F12 ELO'!$A$7:$O$22,5))</f>
        <v/>
      </c>
      <c r="D7" s="252" t="str">
        <f>IF($B7="","",VLOOKUP($B7,'F12 ELO'!$A$7:$O$22,15))</f>
        <v/>
      </c>
      <c r="E7" s="350" t="str">
        <f>UPPER(IF($B7="","",VLOOKUP($B7,'F12 ELO'!$A$7:$O$22,2)))</f>
        <v/>
      </c>
      <c r="F7" s="350"/>
      <c r="G7" s="350" t="str">
        <f>IF($B7="","",VLOOKUP($B7,'F12 ELO'!$A$7:$O$22,3))</f>
        <v/>
      </c>
      <c r="H7" s="350"/>
      <c r="I7" s="253" t="str">
        <f>IF($B7="","",VLOOKUP($B7,'F12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11"/>
      <c r="R7" s="211"/>
      <c r="S7" s="211"/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51"/>
      <c r="C8" s="254"/>
      <c r="D8" s="254"/>
      <c r="E8" s="254"/>
      <c r="F8" s="254"/>
      <c r="G8" s="254"/>
      <c r="H8" s="254"/>
      <c r="I8" s="254"/>
      <c r="J8" s="193"/>
      <c r="K8" s="219"/>
      <c r="L8" s="219"/>
      <c r="M8" s="287"/>
      <c r="N8" s="211"/>
      <c r="O8" s="211"/>
      <c r="P8" s="211"/>
      <c r="Q8" s="211"/>
      <c r="R8" s="211"/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50"/>
      <c r="C9" s="252" t="str">
        <f>IF($B9="","",VLOOKUP($B9,'F12 ELO'!$A$7:$O$22,5))</f>
        <v/>
      </c>
      <c r="D9" s="252" t="str">
        <f>IF($B9="","",VLOOKUP($B9,'F12 ELO'!$A$7:$O$22,15))</f>
        <v/>
      </c>
      <c r="E9" s="350" t="str">
        <f>UPPER(IF($B9="","",VLOOKUP($B9,'F12 ELO'!$A$7:$O$22,2)))</f>
        <v/>
      </c>
      <c r="F9" s="350"/>
      <c r="G9" s="350" t="str">
        <f>IF($B9="","",VLOOKUP($B9,'F12 ELO'!$A$7:$O$22,3))</f>
        <v/>
      </c>
      <c r="H9" s="350"/>
      <c r="I9" s="253" t="str">
        <f>IF($B9="","",VLOOKUP($B9,'F12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51"/>
      <c r="C10" s="254"/>
      <c r="D10" s="254"/>
      <c r="E10" s="254"/>
      <c r="F10" s="254"/>
      <c r="G10" s="254"/>
      <c r="H10" s="254"/>
      <c r="I10" s="254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50"/>
      <c r="C11" s="252" t="str">
        <f>IF($B11="","",VLOOKUP($B11,'F12 ELO'!$A$7:$O$22,5))</f>
        <v/>
      </c>
      <c r="D11" s="252" t="str">
        <f>IF($B11="","",VLOOKUP($B11,'F12 ELO'!$A$7:$O$22,15))</f>
        <v/>
      </c>
      <c r="E11" s="350" t="str">
        <f>UPPER(IF($B11="","",VLOOKUP($B11,'F12 ELO'!$A$7:$O$22,2)))</f>
        <v/>
      </c>
      <c r="F11" s="350"/>
      <c r="G11" s="350" t="str">
        <f>IF($B11="","",VLOOKUP($B11,'F12 ELO'!$A$7:$O$22,3))</f>
        <v/>
      </c>
      <c r="H11" s="350"/>
      <c r="I11" s="253" t="str">
        <f>IF($B11="","",VLOOKUP($B11,'F12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219"/>
      <c r="B12" s="251"/>
      <c r="C12" s="254"/>
      <c r="D12" s="254"/>
      <c r="E12" s="254"/>
      <c r="F12" s="254"/>
      <c r="G12" s="254"/>
      <c r="H12" s="254"/>
      <c r="I12" s="254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19" t="s">
        <v>65</v>
      </c>
      <c r="B13" s="250"/>
      <c r="C13" s="252" t="str">
        <f>IF($B13="","",VLOOKUP($B13,'F12 ELO'!$A$7:$O$22,5))</f>
        <v/>
      </c>
      <c r="D13" s="252" t="str">
        <f>IF($B13="","",VLOOKUP($B13,'F12 ELO'!$A$7:$O$22,15))</f>
        <v/>
      </c>
      <c r="E13" s="350" t="str">
        <f>UPPER(IF($B13="","",VLOOKUP($B13,'F12 ELO'!$A$7:$O$22,2)))</f>
        <v/>
      </c>
      <c r="F13" s="350"/>
      <c r="G13" s="350" t="str">
        <f>IF($B13="","",VLOOKUP($B13,'F12 ELO'!$A$7:$O$22,3))</f>
        <v/>
      </c>
      <c r="H13" s="350"/>
      <c r="I13" s="253" t="str">
        <f>IF($B13="","",VLOOKUP($B13,'F12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ht="18.75" customHeight="1" x14ac:dyDescent="0.25">
      <c r="A18" s="193"/>
      <c r="B18" s="345"/>
      <c r="C18" s="345"/>
      <c r="D18" s="344" t="str">
        <f>E7</f>
        <v/>
      </c>
      <c r="E18" s="344"/>
      <c r="F18" s="344" t="str">
        <f>E9</f>
        <v/>
      </c>
      <c r="G18" s="344"/>
      <c r="H18" s="344" t="str">
        <f>E11</f>
        <v/>
      </c>
      <c r="I18" s="344"/>
      <c r="J18" s="344" t="str">
        <f>E13</f>
        <v/>
      </c>
      <c r="K18" s="344"/>
      <c r="L18" s="193"/>
      <c r="M18" s="193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ht="18.75" customHeight="1" x14ac:dyDescent="0.25">
      <c r="A19" s="255" t="s">
        <v>58</v>
      </c>
      <c r="B19" s="349" t="str">
        <f>E7</f>
        <v/>
      </c>
      <c r="C19" s="349"/>
      <c r="D19" s="342"/>
      <c r="E19" s="342"/>
      <c r="F19" s="341"/>
      <c r="G19" s="341"/>
      <c r="H19" s="341"/>
      <c r="I19" s="341"/>
      <c r="J19" s="344"/>
      <c r="K19" s="344"/>
      <c r="L19" s="193"/>
      <c r="M19" s="193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ht="18.75" customHeight="1" x14ac:dyDescent="0.25">
      <c r="A20" s="255" t="s">
        <v>59</v>
      </c>
      <c r="B20" s="349" t="str">
        <f>E9</f>
        <v/>
      </c>
      <c r="C20" s="349"/>
      <c r="D20" s="341"/>
      <c r="E20" s="341"/>
      <c r="F20" s="342"/>
      <c r="G20" s="342"/>
      <c r="H20" s="341"/>
      <c r="I20" s="341"/>
      <c r="J20" s="341"/>
      <c r="K20" s="341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ht="18.75" customHeight="1" x14ac:dyDescent="0.25">
      <c r="A21" s="255" t="s">
        <v>60</v>
      </c>
      <c r="B21" s="349" t="str">
        <f>E11</f>
        <v/>
      </c>
      <c r="C21" s="349"/>
      <c r="D21" s="341"/>
      <c r="E21" s="341"/>
      <c r="F21" s="341"/>
      <c r="G21" s="341"/>
      <c r="H21" s="342"/>
      <c r="I21" s="342"/>
      <c r="J21" s="341"/>
      <c r="K21" s="341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255" t="s">
        <v>65</v>
      </c>
      <c r="B22" s="349" t="str">
        <f>E13</f>
        <v/>
      </c>
      <c r="C22" s="349"/>
      <c r="D22" s="341"/>
      <c r="E22" s="341"/>
      <c r="F22" s="341"/>
      <c r="G22" s="341"/>
      <c r="H22" s="344"/>
      <c r="I22" s="344"/>
      <c r="J22" s="342"/>
      <c r="K22" s="342"/>
      <c r="L22" s="193"/>
      <c r="M22" s="193"/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8"/>
      <c r="F34" s="348"/>
      <c r="G34" s="240" t="s">
        <v>3</v>
      </c>
      <c r="H34" s="197"/>
      <c r="I34" s="230"/>
      <c r="J34" s="241"/>
      <c r="K34" s="194" t="s">
        <v>41</v>
      </c>
      <c r="L34" s="247"/>
      <c r="M34" s="231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6"/>
      <c r="F35" s="346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M4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37"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  <mergeCell ref="E34:F34"/>
    <mergeCell ref="E35:F35"/>
    <mergeCell ref="E7:F7"/>
    <mergeCell ref="E9:F9"/>
    <mergeCell ref="E11:F11"/>
    <mergeCell ref="E13:F13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45" type="noConversion"/>
  <conditionalFormatting sqref="E7 E9 E11 E13">
    <cfRule type="cellIs" dxfId="77" priority="1" stopIfTrue="1" operator="equal">
      <formula>"Bye"</formula>
    </cfRule>
  </conditionalFormatting>
  <conditionalFormatting sqref="R41">
    <cfRule type="expression" dxfId="7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indexed="11"/>
  </sheetPr>
  <dimension ref="A1:AK43"/>
  <sheetViews>
    <sheetView workbookViewId="0">
      <selection activeCell="B7" sqref="B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F12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14"/>
      <c r="R3" s="216"/>
      <c r="S3" s="211"/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65" t="s">
        <v>72</v>
      </c>
      <c r="Q4" s="266" t="s">
        <v>81</v>
      </c>
      <c r="R4" s="266" t="s">
        <v>77</v>
      </c>
      <c r="S4" s="264"/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67" t="s">
        <v>79</v>
      </c>
      <c r="Q5" s="268" t="s">
        <v>75</v>
      </c>
      <c r="R5" s="268" t="s">
        <v>82</v>
      </c>
      <c r="S5" s="264"/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69" t="s">
        <v>80</v>
      </c>
      <c r="Q6" s="270" t="s">
        <v>83</v>
      </c>
      <c r="R6" s="270" t="s">
        <v>78</v>
      </c>
      <c r="S6" s="264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19" t="s">
        <v>58</v>
      </c>
      <c r="B7" s="250"/>
      <c r="C7" s="252" t="str">
        <f>IF($B7="","",VLOOKUP($B7,'F12 ELO'!$A$7:$O$22,5))</f>
        <v/>
      </c>
      <c r="D7" s="252" t="str">
        <f>IF($B7="","",VLOOKUP($B7,'F12 ELO'!$A$7:$O$22,15))</f>
        <v/>
      </c>
      <c r="E7" s="350" t="str">
        <f>UPPER(IF($B7="","",VLOOKUP($B7,'F12 ELO'!$A$7:$O$22,2)))</f>
        <v/>
      </c>
      <c r="F7" s="350"/>
      <c r="G7" s="350" t="str">
        <f>IF($B7="","",VLOOKUP($B7,'F12 ELO'!$A$7:$O$22,3))</f>
        <v/>
      </c>
      <c r="H7" s="350"/>
      <c r="I7" s="253" t="str">
        <f>IF($B7="","",VLOOKUP($B7,'F12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65" t="s">
        <v>86</v>
      </c>
      <c r="Q7" s="266" t="s">
        <v>74</v>
      </c>
      <c r="R7" s="266" t="s">
        <v>84</v>
      </c>
      <c r="S7" s="211"/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51"/>
      <c r="C8" s="254"/>
      <c r="D8" s="254"/>
      <c r="E8" s="254"/>
      <c r="F8" s="254"/>
      <c r="G8" s="254"/>
      <c r="H8" s="254"/>
      <c r="I8" s="254"/>
      <c r="J8" s="193"/>
      <c r="K8" s="219"/>
      <c r="L8" s="219"/>
      <c r="M8" s="287"/>
      <c r="N8" s="211"/>
      <c r="O8" s="211"/>
      <c r="P8" s="267" t="s">
        <v>87</v>
      </c>
      <c r="Q8" s="268" t="s">
        <v>76</v>
      </c>
      <c r="R8" s="268" t="s">
        <v>85</v>
      </c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50"/>
      <c r="C9" s="252" t="str">
        <f>IF($B9="","",VLOOKUP($B9,'F12 ELO'!$A$7:$O$22,5))</f>
        <v/>
      </c>
      <c r="D9" s="252" t="str">
        <f>IF($B9="","",VLOOKUP($B9,'F12 ELO'!$A$7:$O$22,15))</f>
        <v/>
      </c>
      <c r="E9" s="350" t="str">
        <f>UPPER(IF($B9="","",VLOOKUP($B9,'F12 ELO'!$A$7:$O$22,2)))</f>
        <v/>
      </c>
      <c r="F9" s="350"/>
      <c r="G9" s="350" t="str">
        <f>IF($B9="","",VLOOKUP($B9,'F12 ELO'!$A$7:$O$22,3))</f>
        <v/>
      </c>
      <c r="H9" s="350"/>
      <c r="I9" s="253" t="str">
        <f>IF($B9="","",VLOOKUP($B9,'F12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51"/>
      <c r="C10" s="254"/>
      <c r="D10" s="254"/>
      <c r="E10" s="254"/>
      <c r="F10" s="254"/>
      <c r="G10" s="254"/>
      <c r="H10" s="254"/>
      <c r="I10" s="254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50"/>
      <c r="C11" s="252" t="str">
        <f>IF($B11="","",VLOOKUP($B11,'F12 ELO'!$A$7:$O$22,5))</f>
        <v/>
      </c>
      <c r="D11" s="252" t="str">
        <f>IF($B11="","",VLOOKUP($B11,'F12 ELO'!$A$7:$O$22,15))</f>
        <v/>
      </c>
      <c r="E11" s="350" t="str">
        <f>UPPER(IF($B11="","",VLOOKUP($B11,'F12 ELO'!$A$7:$O$22,2)))</f>
        <v/>
      </c>
      <c r="F11" s="350"/>
      <c r="G11" s="350" t="str">
        <f>IF($B11="","",VLOOKUP($B11,'F12 ELO'!$A$7:$O$22,3))</f>
        <v/>
      </c>
      <c r="H11" s="350"/>
      <c r="I11" s="253" t="str">
        <f>IF($B11="","",VLOOKUP($B11,'F12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219"/>
      <c r="B12" s="251"/>
      <c r="C12" s="254"/>
      <c r="D12" s="254"/>
      <c r="E12" s="254"/>
      <c r="F12" s="254"/>
      <c r="G12" s="254"/>
      <c r="H12" s="254"/>
      <c r="I12" s="254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19" t="s">
        <v>65</v>
      </c>
      <c r="B13" s="250"/>
      <c r="C13" s="252" t="str">
        <f>IF($B13="","",VLOOKUP($B13,'F12 ELO'!$A$7:$O$22,5))</f>
        <v/>
      </c>
      <c r="D13" s="252" t="str">
        <f>IF($B13="","",VLOOKUP($B13,'F12 ELO'!$A$7:$O$22,15))</f>
        <v/>
      </c>
      <c r="E13" s="350" t="str">
        <f>UPPER(IF($B13="","",VLOOKUP($B13,'F12 ELO'!$A$7:$O$22,2)))</f>
        <v/>
      </c>
      <c r="F13" s="350"/>
      <c r="G13" s="350" t="str">
        <f>IF($B13="","",VLOOKUP($B13,'F12 ELO'!$A$7:$O$22,3))</f>
        <v/>
      </c>
      <c r="H13" s="350"/>
      <c r="I13" s="253" t="str">
        <f>IF($B13="","",VLOOKUP($B13,'F12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51"/>
      <c r="C14" s="254"/>
      <c r="D14" s="254"/>
      <c r="E14" s="254"/>
      <c r="F14" s="254"/>
      <c r="G14" s="254"/>
      <c r="H14" s="254"/>
      <c r="I14" s="254"/>
      <c r="J14" s="193"/>
      <c r="K14" s="219"/>
      <c r="L14" s="219"/>
      <c r="M14" s="288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50"/>
      <c r="C15" s="252" t="str">
        <f>IF($B15="","",VLOOKUP($B15,'F12 ELO'!$A$7:$O$22,5))</f>
        <v/>
      </c>
      <c r="D15" s="252" t="str">
        <f>IF($B15="","",VLOOKUP($B15,'F12 ELO'!$A$7:$O$22,15))</f>
        <v/>
      </c>
      <c r="E15" s="350" t="str">
        <f>UPPER(IF($B15="","",VLOOKUP($B15,'F12 ELO'!$A$7:$O$22,2)))</f>
        <v/>
      </c>
      <c r="F15" s="350"/>
      <c r="G15" s="350" t="str">
        <f>IF($B15="","",VLOOKUP($B15,'F12 ELO'!$A$7:$O$22,3))</f>
        <v/>
      </c>
      <c r="H15" s="350"/>
      <c r="I15" s="253" t="str">
        <f>IF($B15="","",VLOOKUP($B15,'F12 ELO'!$A$7:$O$22,4))</f>
        <v/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ht="18.75" customHeight="1" x14ac:dyDescent="0.25">
      <c r="A18" s="193"/>
      <c r="B18" s="345"/>
      <c r="C18" s="345"/>
      <c r="D18" s="344" t="str">
        <f>E7</f>
        <v/>
      </c>
      <c r="E18" s="344"/>
      <c r="F18" s="344" t="str">
        <f>E9</f>
        <v/>
      </c>
      <c r="G18" s="344"/>
      <c r="H18" s="344" t="str">
        <f>E11</f>
        <v/>
      </c>
      <c r="I18" s="344"/>
      <c r="J18" s="344" t="str">
        <f>E13</f>
        <v/>
      </c>
      <c r="K18" s="344"/>
      <c r="L18" s="344" t="str">
        <f>E15</f>
        <v/>
      </c>
      <c r="M18" s="344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ht="18.75" customHeight="1" x14ac:dyDescent="0.25">
      <c r="A19" s="255" t="s">
        <v>58</v>
      </c>
      <c r="B19" s="349" t="str">
        <f>E7</f>
        <v/>
      </c>
      <c r="C19" s="349"/>
      <c r="D19" s="342"/>
      <c r="E19" s="342"/>
      <c r="F19" s="341"/>
      <c r="G19" s="341"/>
      <c r="H19" s="341"/>
      <c r="I19" s="341"/>
      <c r="J19" s="344"/>
      <c r="K19" s="344"/>
      <c r="L19" s="344"/>
      <c r="M19" s="344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ht="18.75" customHeight="1" x14ac:dyDescent="0.25">
      <c r="A20" s="255" t="s">
        <v>59</v>
      </c>
      <c r="B20" s="349" t="str">
        <f>E9</f>
        <v/>
      </c>
      <c r="C20" s="349"/>
      <c r="D20" s="341"/>
      <c r="E20" s="341"/>
      <c r="F20" s="342"/>
      <c r="G20" s="342"/>
      <c r="H20" s="341"/>
      <c r="I20" s="341"/>
      <c r="J20" s="341"/>
      <c r="K20" s="341"/>
      <c r="L20" s="344"/>
      <c r="M20" s="344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ht="18.75" customHeight="1" x14ac:dyDescent="0.25">
      <c r="A21" s="255" t="s">
        <v>60</v>
      </c>
      <c r="B21" s="349" t="str">
        <f>E11</f>
        <v/>
      </c>
      <c r="C21" s="349"/>
      <c r="D21" s="341"/>
      <c r="E21" s="341"/>
      <c r="F21" s="341"/>
      <c r="G21" s="341"/>
      <c r="H21" s="342"/>
      <c r="I21" s="342"/>
      <c r="J21" s="341"/>
      <c r="K21" s="341"/>
      <c r="L21" s="341"/>
      <c r="M21" s="341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255" t="s">
        <v>65</v>
      </c>
      <c r="B22" s="349" t="str">
        <f>E13</f>
        <v/>
      </c>
      <c r="C22" s="349"/>
      <c r="D22" s="341"/>
      <c r="E22" s="341"/>
      <c r="F22" s="341"/>
      <c r="G22" s="341"/>
      <c r="H22" s="344"/>
      <c r="I22" s="344"/>
      <c r="J22" s="342"/>
      <c r="K22" s="342"/>
      <c r="L22" s="341"/>
      <c r="M22" s="341"/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66</v>
      </c>
      <c r="B23" s="349" t="str">
        <f>E15</f>
        <v/>
      </c>
      <c r="C23" s="349"/>
      <c r="D23" s="341"/>
      <c r="E23" s="341"/>
      <c r="F23" s="341"/>
      <c r="G23" s="341"/>
      <c r="H23" s="344"/>
      <c r="I23" s="344"/>
      <c r="J23" s="344"/>
      <c r="K23" s="344"/>
      <c r="L23" s="342"/>
      <c r="M23" s="342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8"/>
      <c r="F34" s="348"/>
      <c r="G34" s="240" t="s">
        <v>3</v>
      </c>
      <c r="H34" s="197"/>
      <c r="I34" s="230"/>
      <c r="J34" s="241"/>
      <c r="K34" s="194" t="s">
        <v>41</v>
      </c>
      <c r="L34" s="247"/>
      <c r="M34" s="231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6"/>
      <c r="F35" s="346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L4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E34:F34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45" type="noConversion"/>
  <conditionalFormatting sqref="E7 E9 E11 E13 E15">
    <cfRule type="cellIs" dxfId="75" priority="1" stopIfTrue="1" operator="equal">
      <formula>"Bye"</formula>
    </cfRule>
  </conditionalFormatting>
  <conditionalFormatting sqref="R41">
    <cfRule type="expression" dxfId="7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</sheetPr>
  <dimension ref="A1:AK49"/>
  <sheetViews>
    <sheetView workbookViewId="0">
      <selection activeCell="B7" sqref="B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F12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65" t="s">
        <v>72</v>
      </c>
      <c r="P5" s="266" t="s">
        <v>78</v>
      </c>
      <c r="Q5" s="211"/>
      <c r="R5" s="265" t="s">
        <v>72</v>
      </c>
      <c r="S5" s="320" t="s">
        <v>110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67" t="s">
        <v>79</v>
      </c>
      <c r="P6" s="268" t="s">
        <v>74</v>
      </c>
      <c r="Q6" s="211"/>
      <c r="R6" s="267" t="s">
        <v>79</v>
      </c>
      <c r="S6" s="321" t="s">
        <v>111</v>
      </c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/>
      <c r="C7" s="205" t="str">
        <f>IF($B7="","",VLOOKUP($B7,'F12 ELO'!$A$7:$O$22,5))</f>
        <v/>
      </c>
      <c r="D7" s="205" t="str">
        <f>IF($B7="","",VLOOKUP($B7,'F12 ELO'!$A$7:$O$22,15))</f>
        <v/>
      </c>
      <c r="E7" s="202" t="str">
        <f>UPPER(IF($B7="","",VLOOKUP($B7,'F12 ELO'!$A$7:$O$22,2)))</f>
        <v/>
      </c>
      <c r="F7" s="204"/>
      <c r="G7" s="202" t="str">
        <f>IF($B7="","",VLOOKUP($B7,'F12 ELO'!$A$7:$O$22,3))</f>
        <v/>
      </c>
      <c r="H7" s="204"/>
      <c r="I7" s="202" t="str">
        <f>IF($B7="","",VLOOKUP($B7,'F12 ELO'!$A$7:$O$22,4))</f>
        <v/>
      </c>
      <c r="J7" s="193"/>
      <c r="K7" s="285"/>
      <c r="L7" s="279" t="str">
        <f>IF(K7="","",CONCATENATE(VLOOKUP($Y$3,$AB$1:$AK$1,K7)," pont"))</f>
        <v/>
      </c>
      <c r="M7" s="286"/>
      <c r="N7" s="211"/>
      <c r="O7" s="269" t="s">
        <v>80</v>
      </c>
      <c r="P7" s="270" t="s">
        <v>76</v>
      </c>
      <c r="Q7" s="211"/>
      <c r="R7" s="269" t="s">
        <v>80</v>
      </c>
      <c r="S7" s="322" t="s">
        <v>84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11"/>
      <c r="R8" s="211"/>
      <c r="S8" s="211"/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/>
      <c r="C9" s="205" t="str">
        <f>IF($B9="","",VLOOKUP($B9,'F12 ELO'!$A$7:$O$22,5))</f>
        <v/>
      </c>
      <c r="D9" s="205" t="str">
        <f>IF($B9="","",VLOOKUP($B9,'F12 ELO'!$A$7:$O$22,15))</f>
        <v/>
      </c>
      <c r="E9" s="201" t="str">
        <f>UPPER(IF($B9="","",VLOOKUP($B9,'F12 ELO'!$A$7:$O$22,2)))</f>
        <v/>
      </c>
      <c r="F9" s="206"/>
      <c r="G9" s="201" t="str">
        <f>IF($B9="","",VLOOKUP($B9,'F12 ELO'!$A$7:$O$22,3))</f>
        <v/>
      </c>
      <c r="H9" s="206"/>
      <c r="I9" s="201" t="str">
        <f>IF($B9="","",VLOOKUP($B9,'F12 ELO'!$A$7:$O$22,4))</f>
        <v/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11"/>
      <c r="R9" s="211"/>
      <c r="S9" s="211"/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/>
      <c r="C11" s="205" t="str">
        <f>IF($B11="","",VLOOKUP($B11,'F12 ELO'!$A$7:$O$22,5))</f>
        <v/>
      </c>
      <c r="D11" s="205" t="str">
        <f>IF($B11="","",VLOOKUP($B11,'F12 ELO'!$A$7:$O$22,15))</f>
        <v/>
      </c>
      <c r="E11" s="201" t="str">
        <f>UPPER(IF($B11="","",VLOOKUP($B11,'F12 ELO'!$A$7:$O$22,2)))</f>
        <v/>
      </c>
      <c r="F11" s="206"/>
      <c r="G11" s="201" t="str">
        <f>IF($B11="","",VLOOKUP($B11,'F12 ELO'!$A$7:$O$22,3))</f>
        <v/>
      </c>
      <c r="H11" s="206"/>
      <c r="I11" s="201" t="str">
        <f>IF($B11="","",VLOOKUP($B11,'F12 ELO'!$A$7:$O$22,4))</f>
        <v/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56" t="s">
        <v>65</v>
      </c>
      <c r="B13" s="271"/>
      <c r="C13" s="205" t="str">
        <f>IF($B13="","",VLOOKUP($B13,'F12 ELO'!$A$7:$O$22,5))</f>
        <v/>
      </c>
      <c r="D13" s="205" t="str">
        <f>IF($B13="","",VLOOKUP($B13,'F12 ELO'!$A$7:$O$22,15))</f>
        <v/>
      </c>
      <c r="E13" s="202" t="str">
        <f>UPPER(IF($B13="","",VLOOKUP($B13,'F12 ELO'!$A$7:$O$22,2)))</f>
        <v/>
      </c>
      <c r="F13" s="204"/>
      <c r="G13" s="202" t="str">
        <f>IF($B13="","",VLOOKUP($B13,'F12 ELO'!$A$7:$O$22,3))</f>
        <v/>
      </c>
      <c r="H13" s="204"/>
      <c r="I13" s="202" t="str">
        <f>IF($B13="","",VLOOKUP($B13,'F12 ELO'!$A$7:$O$22,4))</f>
        <v/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19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73"/>
      <c r="C15" s="205" t="str">
        <f>IF($B15="","",VLOOKUP($B15,'F12 ELO'!$A$7:$O$22,5))</f>
        <v/>
      </c>
      <c r="D15" s="205" t="str">
        <f>IF($B15="","",VLOOKUP($B15,'F12 ELO'!$A$7:$O$22,15))</f>
        <v/>
      </c>
      <c r="E15" s="201" t="str">
        <f>UPPER(IF($B15="","",VLOOKUP($B15,'F12 ELO'!$A$7:$O$22,2)))</f>
        <v/>
      </c>
      <c r="F15" s="206"/>
      <c r="G15" s="201" t="str">
        <f>IF($B15="","",VLOOKUP($B15,'F12 ELO'!$A$7:$O$22,3))</f>
        <v/>
      </c>
      <c r="H15" s="206"/>
      <c r="I15" s="201" t="str">
        <f>IF($B15="","",VLOOKUP($B15,'F12 ELO'!$A$7:$O$22,4))</f>
        <v/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19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/>
      <c r="C17" s="205" t="str">
        <f>IF($B17="","",VLOOKUP($B17,'F12 ELO'!$A$7:$O$22,5))</f>
        <v/>
      </c>
      <c r="D17" s="205" t="str">
        <f>IF($B17="","",VLOOKUP($B17,'F12 ELO'!$A$7:$O$22,15))</f>
        <v/>
      </c>
      <c r="E17" s="201" t="str">
        <f>UPPER(IF($B17="","",VLOOKUP($B17,'F12 ELO'!$A$7:$O$22,2)))</f>
        <v/>
      </c>
      <c r="F17" s="206"/>
      <c r="G17" s="201" t="str">
        <f>IF($B17="","",VLOOKUP($B17,'F12 ELO'!$A$7:$O$22,3))</f>
        <v/>
      </c>
      <c r="H17" s="206"/>
      <c r="I17" s="201" t="str">
        <f>IF($B17="","",VLOOKUP($B17,'F12 ELO'!$A$7:$O$22,4))</f>
        <v/>
      </c>
      <c r="J17" s="193"/>
      <c r="K17" s="285"/>
      <c r="L17" s="279" t="str">
        <f>IF(K17="","",CONCATENATE(VLOOKUP($Y$3,$AB$1:$AK$1,K17)," pont"))</f>
        <v/>
      </c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193"/>
      <c r="B22" s="345"/>
      <c r="C22" s="345"/>
      <c r="D22" s="344" t="str">
        <f>E7</f>
        <v/>
      </c>
      <c r="E22" s="344"/>
      <c r="F22" s="344" t="str">
        <f>E9</f>
        <v/>
      </c>
      <c r="G22" s="344"/>
      <c r="H22" s="344" t="str">
        <f>E11</f>
        <v/>
      </c>
      <c r="I22" s="344"/>
      <c r="J22" s="193"/>
      <c r="K22" s="193"/>
      <c r="L22" s="193"/>
      <c r="M22" s="257" t="s">
        <v>62</v>
      </c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58</v>
      </c>
      <c r="B23" s="349" t="str">
        <f>E7</f>
        <v/>
      </c>
      <c r="C23" s="349"/>
      <c r="D23" s="342"/>
      <c r="E23" s="342"/>
      <c r="F23" s="341"/>
      <c r="G23" s="341"/>
      <c r="H23" s="341"/>
      <c r="I23" s="341"/>
      <c r="J23" s="193"/>
      <c r="K23" s="193"/>
      <c r="L23" s="193"/>
      <c r="M23" s="259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ht="18.75" customHeight="1" x14ac:dyDescent="0.25">
      <c r="A24" s="255" t="s">
        <v>59</v>
      </c>
      <c r="B24" s="349" t="str">
        <f>E9</f>
        <v/>
      </c>
      <c r="C24" s="349"/>
      <c r="D24" s="341"/>
      <c r="E24" s="341"/>
      <c r="F24" s="342"/>
      <c r="G24" s="342"/>
      <c r="H24" s="341"/>
      <c r="I24" s="341"/>
      <c r="J24" s="193"/>
      <c r="K24" s="193"/>
      <c r="L24" s="193"/>
      <c r="M24" s="259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ht="18.75" customHeight="1" x14ac:dyDescent="0.25">
      <c r="A25" s="255" t="s">
        <v>60</v>
      </c>
      <c r="B25" s="349" t="str">
        <f>E11</f>
        <v/>
      </c>
      <c r="C25" s="349"/>
      <c r="D25" s="341"/>
      <c r="E25" s="341"/>
      <c r="F25" s="341"/>
      <c r="G25" s="341"/>
      <c r="H25" s="342"/>
      <c r="I25" s="342"/>
      <c r="J25" s="193"/>
      <c r="K25" s="193"/>
      <c r="L25" s="193"/>
      <c r="M25" s="259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260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ht="18.75" customHeight="1" x14ac:dyDescent="0.25">
      <c r="A27" s="193"/>
      <c r="B27" s="345"/>
      <c r="C27" s="345"/>
      <c r="D27" s="344" t="str">
        <f>E13</f>
        <v/>
      </c>
      <c r="E27" s="344"/>
      <c r="F27" s="344" t="str">
        <f>E15</f>
        <v/>
      </c>
      <c r="G27" s="344"/>
      <c r="H27" s="344" t="str">
        <f>E17</f>
        <v/>
      </c>
      <c r="I27" s="344"/>
      <c r="J27" s="193"/>
      <c r="K27" s="193"/>
      <c r="L27" s="193"/>
      <c r="M27" s="260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255" t="s">
        <v>65</v>
      </c>
      <c r="B28" s="349" t="str">
        <f>E13</f>
        <v/>
      </c>
      <c r="C28" s="349"/>
      <c r="D28" s="342"/>
      <c r="E28" s="342"/>
      <c r="F28" s="341"/>
      <c r="G28" s="341"/>
      <c r="H28" s="341"/>
      <c r="I28" s="341"/>
      <c r="J28" s="193"/>
      <c r="K28" s="193"/>
      <c r="L28" s="193"/>
      <c r="M28" s="259"/>
    </row>
    <row r="29" spans="1:37" ht="18.75" customHeight="1" x14ac:dyDescent="0.25">
      <c r="A29" s="255" t="s">
        <v>66</v>
      </c>
      <c r="B29" s="349" t="str">
        <f>E15</f>
        <v/>
      </c>
      <c r="C29" s="349"/>
      <c r="D29" s="341"/>
      <c r="E29" s="341"/>
      <c r="F29" s="342"/>
      <c r="G29" s="342"/>
      <c r="H29" s="341"/>
      <c r="I29" s="341"/>
      <c r="J29" s="193"/>
      <c r="K29" s="193"/>
      <c r="L29" s="193"/>
      <c r="M29" s="259"/>
    </row>
    <row r="30" spans="1:37" ht="18.75" customHeight="1" x14ac:dyDescent="0.25">
      <c r="A30" s="255" t="s">
        <v>67</v>
      </c>
      <c r="B30" s="349" t="str">
        <f>E17</f>
        <v/>
      </c>
      <c r="C30" s="349"/>
      <c r="D30" s="341"/>
      <c r="E30" s="341"/>
      <c r="F30" s="341"/>
      <c r="G30" s="341"/>
      <c r="H30" s="342"/>
      <c r="I30" s="342"/>
      <c r="J30" s="193"/>
      <c r="K30" s="193"/>
      <c r="L30" s="193"/>
      <c r="M30" s="259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 t="s">
        <v>52</v>
      </c>
      <c r="B32" s="193"/>
      <c r="C32" s="351" t="str">
        <f>IF(M23=1,B23,IF(M24=1,B24,IF(M25=1,B25,"")))</f>
        <v/>
      </c>
      <c r="D32" s="351"/>
      <c r="E32" s="219" t="s">
        <v>69</v>
      </c>
      <c r="F32" s="351" t="str">
        <f>IF(M28=1,B28,IF(M29=1,B29,IF(M30=1,B30,"")))</f>
        <v/>
      </c>
      <c r="G32" s="351"/>
      <c r="H32" s="193"/>
      <c r="I32" s="192"/>
      <c r="J32" s="193"/>
      <c r="K32" s="193"/>
      <c r="L32" s="193"/>
      <c r="M32" s="193"/>
    </row>
    <row r="33" spans="1:19" x14ac:dyDescent="0.25">
      <c r="A33" s="193"/>
      <c r="B33" s="193"/>
      <c r="C33" s="193"/>
      <c r="D33" s="193"/>
      <c r="E33" s="193"/>
      <c r="F33" s="219"/>
      <c r="G33" s="219"/>
      <c r="H33" s="193"/>
      <c r="I33" s="193"/>
      <c r="J33" s="193"/>
      <c r="K33" s="193"/>
      <c r="L33" s="193"/>
      <c r="M33" s="193"/>
    </row>
    <row r="34" spans="1:19" x14ac:dyDescent="0.25">
      <c r="A34" s="193" t="s">
        <v>68</v>
      </c>
      <c r="B34" s="193"/>
      <c r="C34" s="351" t="str">
        <f>IF(M23=2,B23,IF(M24=2,B24,IF(M25=2,B25,"")))</f>
        <v/>
      </c>
      <c r="D34" s="351"/>
      <c r="E34" s="219" t="s">
        <v>69</v>
      </c>
      <c r="F34" s="351" t="str">
        <f>IF(M28=2,B28,IF(M29=2,B29,IF(M30=2,B30,"")))</f>
        <v/>
      </c>
      <c r="G34" s="351"/>
      <c r="H34" s="193"/>
      <c r="I34" s="192"/>
      <c r="J34" s="193"/>
      <c r="K34" s="193"/>
      <c r="L34" s="193"/>
      <c r="M34" s="193"/>
    </row>
    <row r="35" spans="1:19" x14ac:dyDescent="0.25">
      <c r="A35" s="193"/>
      <c r="B35" s="193"/>
      <c r="C35" s="258"/>
      <c r="D35" s="258"/>
      <c r="E35" s="219"/>
      <c r="F35" s="258"/>
      <c r="G35" s="258"/>
      <c r="H35" s="193"/>
      <c r="I35" s="193"/>
      <c r="J35" s="193"/>
      <c r="K35" s="193"/>
      <c r="L35" s="193"/>
      <c r="M35" s="193"/>
    </row>
    <row r="36" spans="1:19" x14ac:dyDescent="0.25">
      <c r="A36" s="193" t="s">
        <v>70</v>
      </c>
      <c r="B36" s="193"/>
      <c r="C36" s="351" t="str">
        <f>IF(M23=3,B23,IF(M24=3,B24,IF(M25=3,B25,"")))</f>
        <v/>
      </c>
      <c r="D36" s="351"/>
      <c r="E36" s="219" t="s">
        <v>69</v>
      </c>
      <c r="F36" s="351" t="str">
        <f>IF(M28=3,B28,IF(M29=3,B29,IF(M30=3,B30,"")))</f>
        <v/>
      </c>
      <c r="G36" s="351"/>
      <c r="H36" s="193"/>
      <c r="I36" s="192"/>
      <c r="J36" s="193"/>
      <c r="K36" s="193"/>
      <c r="L36" s="193"/>
      <c r="M36" s="193"/>
    </row>
    <row r="37" spans="1:19" x14ac:dyDescent="0.25">
      <c r="A37" s="193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</row>
    <row r="38" spans="1:19" x14ac:dyDescent="0.25">
      <c r="A38" s="193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2"/>
      <c r="M38" s="193"/>
      <c r="O38" s="211"/>
      <c r="P38" s="211"/>
      <c r="Q38" s="211"/>
      <c r="R38" s="211"/>
      <c r="S38" s="211"/>
    </row>
    <row r="39" spans="1:19" x14ac:dyDescent="0.25">
      <c r="A39" s="110" t="s">
        <v>38</v>
      </c>
      <c r="B39" s="111"/>
      <c r="C39" s="165"/>
      <c r="D39" s="227" t="s">
        <v>2</v>
      </c>
      <c r="E39" s="228" t="s">
        <v>40</v>
      </c>
      <c r="F39" s="246"/>
      <c r="G39" s="227" t="s">
        <v>2</v>
      </c>
      <c r="H39" s="228" t="s">
        <v>49</v>
      </c>
      <c r="I39" s="119"/>
      <c r="J39" s="228" t="s">
        <v>50</v>
      </c>
      <c r="K39" s="118" t="s">
        <v>51</v>
      </c>
      <c r="L39" s="31"/>
      <c r="M39" s="246"/>
      <c r="O39" s="211"/>
      <c r="P39" s="221"/>
      <c r="Q39" s="221"/>
      <c r="R39" s="222"/>
      <c r="S39" s="211"/>
    </row>
    <row r="40" spans="1:19" x14ac:dyDescent="0.25">
      <c r="A40" s="196" t="s">
        <v>39</v>
      </c>
      <c r="B40" s="197"/>
      <c r="C40" s="198"/>
      <c r="D40" s="229">
        <v>1</v>
      </c>
      <c r="E40" s="348" t="str">
        <f>IF(D40&gt;$R$47,,UPPER(VLOOKUP(D40,'F12 ELO'!$A$7:$Q$134,2)))</f>
        <v>TENISZ MŰHELY</v>
      </c>
      <c r="F40" s="348"/>
      <c r="G40" s="240" t="s">
        <v>3</v>
      </c>
      <c r="H40" s="197"/>
      <c r="I40" s="230"/>
      <c r="J40" s="241"/>
      <c r="K40" s="194" t="s">
        <v>41</v>
      </c>
      <c r="L40" s="247"/>
      <c r="M40" s="231"/>
      <c r="O40" s="211"/>
      <c r="P40" s="223"/>
      <c r="Q40" s="223"/>
      <c r="R40" s="224"/>
      <c r="S40" s="211"/>
    </row>
    <row r="41" spans="1:19" x14ac:dyDescent="0.25">
      <c r="A41" s="199" t="s">
        <v>48</v>
      </c>
      <c r="B41" s="117"/>
      <c r="C41" s="200"/>
      <c r="D41" s="232">
        <v>2</v>
      </c>
      <c r="E41" s="346" t="str">
        <f>IF(D41&gt;$R$47,,UPPER(VLOOKUP(D41,'F12 ELO'!$A$7:$Q$134,2)))</f>
        <v>BUSC</v>
      </c>
      <c r="F41" s="346"/>
      <c r="G41" s="242" t="s">
        <v>4</v>
      </c>
      <c r="H41" s="233"/>
      <c r="I41" s="234"/>
      <c r="J41" s="82"/>
      <c r="K41" s="244"/>
      <c r="L41" s="192"/>
      <c r="M41" s="239"/>
      <c r="O41" s="211"/>
      <c r="P41" s="224"/>
      <c r="Q41" s="225"/>
      <c r="R41" s="224"/>
      <c r="S41" s="211"/>
    </row>
    <row r="42" spans="1:19" x14ac:dyDescent="0.25">
      <c r="A42" s="132"/>
      <c r="B42" s="133"/>
      <c r="C42" s="134"/>
      <c r="D42" s="232"/>
      <c r="E42" s="236"/>
      <c r="F42" s="237"/>
      <c r="G42" s="242" t="s">
        <v>5</v>
      </c>
      <c r="H42" s="233"/>
      <c r="I42" s="234"/>
      <c r="J42" s="82"/>
      <c r="K42" s="194" t="s">
        <v>42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12"/>
      <c r="B43" s="163"/>
      <c r="C43" s="113"/>
      <c r="D43" s="232"/>
      <c r="E43" s="236"/>
      <c r="F43" s="237"/>
      <c r="G43" s="242" t="s">
        <v>6</v>
      </c>
      <c r="H43" s="233"/>
      <c r="I43" s="234"/>
      <c r="J43" s="82"/>
      <c r="K43" s="245"/>
      <c r="L43" s="237"/>
      <c r="M43" s="235"/>
      <c r="O43" s="211"/>
      <c r="P43" s="224"/>
      <c r="Q43" s="225"/>
      <c r="R43" s="224"/>
      <c r="S43" s="211"/>
    </row>
    <row r="44" spans="1:19" x14ac:dyDescent="0.25">
      <c r="A44" s="121"/>
      <c r="B44" s="135"/>
      <c r="C44" s="164"/>
      <c r="D44" s="232"/>
      <c r="E44" s="236"/>
      <c r="F44" s="237"/>
      <c r="G44" s="242" t="s">
        <v>7</v>
      </c>
      <c r="H44" s="233"/>
      <c r="I44" s="234"/>
      <c r="J44" s="82"/>
      <c r="K44" s="199"/>
      <c r="L44" s="192"/>
      <c r="M44" s="239"/>
      <c r="O44" s="211"/>
      <c r="P44" s="224"/>
      <c r="Q44" s="225"/>
      <c r="R44" s="224"/>
      <c r="S44" s="211"/>
    </row>
    <row r="45" spans="1:19" x14ac:dyDescent="0.25">
      <c r="A45" s="122"/>
      <c r="B45" s="138"/>
      <c r="C45" s="113"/>
      <c r="D45" s="232"/>
      <c r="E45" s="236"/>
      <c r="F45" s="237"/>
      <c r="G45" s="242" t="s">
        <v>8</v>
      </c>
      <c r="H45" s="233"/>
      <c r="I45" s="234"/>
      <c r="J45" s="82"/>
      <c r="K45" s="194" t="s">
        <v>31</v>
      </c>
      <c r="L45" s="247"/>
      <c r="M45" s="231"/>
      <c r="O45" s="211"/>
      <c r="P45" s="223"/>
      <c r="Q45" s="223"/>
      <c r="R45" s="224"/>
      <c r="S45" s="211"/>
    </row>
    <row r="46" spans="1:19" x14ac:dyDescent="0.25">
      <c r="A46" s="122"/>
      <c r="B46" s="138"/>
      <c r="C46" s="130"/>
      <c r="D46" s="232"/>
      <c r="E46" s="236"/>
      <c r="F46" s="237"/>
      <c r="G46" s="242" t="s">
        <v>9</v>
      </c>
      <c r="H46" s="233"/>
      <c r="I46" s="234"/>
      <c r="J46" s="82"/>
      <c r="K46" s="245"/>
      <c r="L46" s="237"/>
      <c r="M46" s="235"/>
      <c r="O46" s="211"/>
      <c r="P46" s="224"/>
      <c r="Q46" s="225"/>
      <c r="R46" s="224"/>
      <c r="S46" s="211"/>
    </row>
    <row r="47" spans="1:19" x14ac:dyDescent="0.25">
      <c r="A47" s="123"/>
      <c r="B47" s="120"/>
      <c r="C47" s="131"/>
      <c r="D47" s="238"/>
      <c r="E47" s="114"/>
      <c r="F47" s="192"/>
      <c r="G47" s="243" t="s">
        <v>10</v>
      </c>
      <c r="H47" s="117"/>
      <c r="I47" s="195"/>
      <c r="J47" s="115"/>
      <c r="K47" s="199" t="str">
        <f>L4</f>
        <v>Rákóczi Andrea</v>
      </c>
      <c r="L47" s="192"/>
      <c r="M47" s="239"/>
      <c r="O47" s="211"/>
      <c r="P47" s="224"/>
      <c r="Q47" s="225"/>
      <c r="R47" s="226">
        <f>MIN(4,'F12 ELO'!Q5)</f>
        <v>4</v>
      </c>
      <c r="S47" s="211"/>
    </row>
    <row r="48" spans="1:19" x14ac:dyDescent="0.25">
      <c r="O48" s="211"/>
      <c r="P48" s="211"/>
      <c r="Q48" s="211"/>
      <c r="R48" s="211"/>
      <c r="S48" s="211"/>
    </row>
    <row r="49" spans="15:19" x14ac:dyDescent="0.25">
      <c r="O49" s="211"/>
      <c r="P49" s="211"/>
      <c r="Q49" s="211"/>
      <c r="R49" s="211"/>
      <c r="S49" s="211"/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8:C28"/>
    <mergeCell ref="D28:E28"/>
    <mergeCell ref="B29:C29"/>
    <mergeCell ref="H24:I24"/>
    <mergeCell ref="F28:G28"/>
    <mergeCell ref="H28:I28"/>
    <mergeCell ref="H22:I22"/>
    <mergeCell ref="B23:C23"/>
    <mergeCell ref="D23:E23"/>
    <mergeCell ref="F23:G23"/>
    <mergeCell ref="H23:I23"/>
    <mergeCell ref="B25:C25"/>
    <mergeCell ref="D25:E25"/>
    <mergeCell ref="F25:G25"/>
    <mergeCell ref="A1:F1"/>
    <mergeCell ref="A4:C4"/>
    <mergeCell ref="B22:C22"/>
    <mergeCell ref="D22:E22"/>
    <mergeCell ref="F22:G22"/>
    <mergeCell ref="B24:C24"/>
    <mergeCell ref="D24:E24"/>
    <mergeCell ref="F24:G24"/>
  </mergeCells>
  <phoneticPr fontId="45" type="noConversion"/>
  <conditionalFormatting sqref="R47">
    <cfRule type="expression" dxfId="73" priority="1" stopIfTrue="1">
      <formula>$O$1="CU"</formula>
    </cfRule>
  </conditionalFormatting>
  <conditionalFormatting sqref="E7 E9 E11 E13 E15 E17">
    <cfRule type="cellIs" dxfId="72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1"/>
  </sheetPr>
  <dimension ref="A1:AK51"/>
  <sheetViews>
    <sheetView workbookViewId="0">
      <selection activeCell="O13" sqref="O1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47" t="str">
        <f>Altalanos!$A$6</f>
        <v>Csapat OB</v>
      </c>
      <c r="B1" s="347"/>
      <c r="C1" s="347"/>
      <c r="D1" s="347"/>
      <c r="E1" s="347"/>
      <c r="F1" s="347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4" t="e">
        <f>IF(Y5=1,CONCATENATE(VLOOKUP(Y3,AA16:AH27,2)),CONCATENATE(VLOOKUP(Y3,AA2:AK13,2)))</f>
        <v>#N/A</v>
      </c>
      <c r="AC1" s="284" t="e">
        <f>IF(Y5=1,CONCATENATE(VLOOKUP(Y3,AA16:AK27,3)),CONCATENATE(VLOOKUP(Y3,AA2:AK13,3)))</f>
        <v>#N/A</v>
      </c>
      <c r="AD1" s="284" t="e">
        <f>IF(Y5=1,CONCATENATE(VLOOKUP(Y3,AA16:AK27,4)),CONCATENATE(VLOOKUP(Y3,AA2:AK13,4)))</f>
        <v>#N/A</v>
      </c>
      <c r="AE1" s="284" t="e">
        <f>IF(Y5=1,CONCATENATE(VLOOKUP(Y3,AA16:AK27,5)),CONCATENATE(VLOOKUP(Y3,AA2:AK13,5)))</f>
        <v>#N/A</v>
      </c>
      <c r="AF1" s="284" t="e">
        <f>IF(Y5=1,CONCATENATE(VLOOKUP(Y3,AA16:AK27,6)),CONCATENATE(VLOOKUP(Y3,AA2:AK13,6)))</f>
        <v>#N/A</v>
      </c>
      <c r="AG1" s="284" t="e">
        <f>IF(Y5=1,CONCATENATE(VLOOKUP(Y3,AA16:AK27,7)),CONCATENATE(VLOOKUP(Y3,AA2:AK13,7)))</f>
        <v>#N/A</v>
      </c>
      <c r="AH1" s="284" t="e">
        <f>IF(Y5=1,CONCATENATE(VLOOKUP(Y3,AA16:AK27,8)),CONCATENATE(VLOOKUP(Y3,AA2:AK13,8)))</f>
        <v>#N/A</v>
      </c>
      <c r="AI1" s="284" t="e">
        <f>IF(Y5=1,CONCATENATE(VLOOKUP(Y3,AA16:AK27,9)),CONCATENATE(VLOOKUP(Y3,AA2:AK13,9)))</f>
        <v>#N/A</v>
      </c>
      <c r="AJ1" s="284" t="e">
        <f>IF(Y5=1,CONCATENATE(VLOOKUP(Y3,AA16:AK27,10)),CONCATENATE(VLOOKUP(Y3,AA2:AK13,10)))</f>
        <v>#N/A</v>
      </c>
      <c r="AK1" s="284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F12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8"/>
      <c r="Z2" s="277"/>
      <c r="AA2" s="277" t="s">
        <v>58</v>
      </c>
      <c r="AB2" s="282">
        <v>150</v>
      </c>
      <c r="AC2" s="282">
        <v>120</v>
      </c>
      <c r="AD2" s="282">
        <v>100</v>
      </c>
      <c r="AE2" s="282">
        <v>80</v>
      </c>
      <c r="AF2" s="282">
        <v>70</v>
      </c>
      <c r="AG2" s="282">
        <v>60</v>
      </c>
      <c r="AH2" s="282">
        <v>55</v>
      </c>
      <c r="AI2" s="282">
        <v>50</v>
      </c>
      <c r="AJ2" s="282">
        <v>45</v>
      </c>
      <c r="AK2" s="282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5" t="s">
        <v>72</v>
      </c>
      <c r="R3" s="266" t="s">
        <v>78</v>
      </c>
      <c r="S3" s="266" t="s">
        <v>73</v>
      </c>
      <c r="Y3" s="277">
        <f>IF(H4="OB","A",IF(H4="IX","W",H4))</f>
        <v>0</v>
      </c>
      <c r="Z3" s="277"/>
      <c r="AA3" s="277" t="s">
        <v>88</v>
      </c>
      <c r="AB3" s="282">
        <v>120</v>
      </c>
      <c r="AC3" s="282">
        <v>90</v>
      </c>
      <c r="AD3" s="282">
        <v>65</v>
      </c>
      <c r="AE3" s="282">
        <v>55</v>
      </c>
      <c r="AF3" s="282">
        <v>50</v>
      </c>
      <c r="AG3" s="282">
        <v>45</v>
      </c>
      <c r="AH3" s="282">
        <v>40</v>
      </c>
      <c r="AI3" s="282">
        <v>35</v>
      </c>
      <c r="AJ3" s="282">
        <v>25</v>
      </c>
      <c r="AK3" s="282">
        <v>20</v>
      </c>
    </row>
    <row r="4" spans="1:37" ht="13.8" thickBot="1" x14ac:dyDescent="0.3">
      <c r="A4" s="343" t="str">
        <f>Altalanos!$A$10</f>
        <v>2023.08.24-26.</v>
      </c>
      <c r="B4" s="343"/>
      <c r="C4" s="343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7" t="s">
        <v>79</v>
      </c>
      <c r="R4" s="268" t="s">
        <v>74</v>
      </c>
      <c r="S4" s="268" t="s">
        <v>75</v>
      </c>
      <c r="Y4" s="277"/>
      <c r="Z4" s="277"/>
      <c r="AA4" s="277" t="s">
        <v>89</v>
      </c>
      <c r="AB4" s="282">
        <v>90</v>
      </c>
      <c r="AC4" s="282">
        <v>60</v>
      </c>
      <c r="AD4" s="282">
        <v>45</v>
      </c>
      <c r="AE4" s="282">
        <v>34</v>
      </c>
      <c r="AF4" s="282">
        <v>27</v>
      </c>
      <c r="AG4" s="282">
        <v>22</v>
      </c>
      <c r="AH4" s="282">
        <v>18</v>
      </c>
      <c r="AI4" s="282">
        <v>15</v>
      </c>
      <c r="AJ4" s="282">
        <v>12</v>
      </c>
      <c r="AK4" s="282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9" t="s">
        <v>80</v>
      </c>
      <c r="R5" s="270" t="s">
        <v>76</v>
      </c>
      <c r="S5" s="270" t="s">
        <v>77</v>
      </c>
      <c r="Y5" s="277">
        <f>IF(OR(Altalanos!$A$8="F1",Altalanos!$A$8="F2",Altalanos!$A$8="N1",Altalanos!$A$8="N2"),1,2)</f>
        <v>2</v>
      </c>
      <c r="Z5" s="277"/>
      <c r="AA5" s="277" t="s">
        <v>90</v>
      </c>
      <c r="AB5" s="282">
        <v>60</v>
      </c>
      <c r="AC5" s="282">
        <v>40</v>
      </c>
      <c r="AD5" s="282">
        <v>30</v>
      </c>
      <c r="AE5" s="282">
        <v>20</v>
      </c>
      <c r="AF5" s="282">
        <v>18</v>
      </c>
      <c r="AG5" s="282">
        <v>15</v>
      </c>
      <c r="AH5" s="282">
        <v>12</v>
      </c>
      <c r="AI5" s="282">
        <v>10</v>
      </c>
      <c r="AJ5" s="282">
        <v>8</v>
      </c>
      <c r="AK5" s="282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7"/>
      <c r="Z6" s="277"/>
      <c r="AA6" s="277" t="s">
        <v>91</v>
      </c>
      <c r="AB6" s="282">
        <v>40</v>
      </c>
      <c r="AC6" s="282">
        <v>25</v>
      </c>
      <c r="AD6" s="282">
        <v>18</v>
      </c>
      <c r="AE6" s="282">
        <v>13</v>
      </c>
      <c r="AF6" s="282">
        <v>10</v>
      </c>
      <c r="AG6" s="282">
        <v>8</v>
      </c>
      <c r="AH6" s="282">
        <v>6</v>
      </c>
      <c r="AI6" s="282">
        <v>5</v>
      </c>
      <c r="AJ6" s="282">
        <v>4</v>
      </c>
      <c r="AK6" s="282">
        <v>3</v>
      </c>
    </row>
    <row r="7" spans="1:37" x14ac:dyDescent="0.25">
      <c r="A7" s="256" t="s">
        <v>58</v>
      </c>
      <c r="B7" s="271">
        <v>1</v>
      </c>
      <c r="C7" s="205">
        <f>IF($B7="","",VLOOKUP($B7,'F12 ELO'!$A$7:$O$22,5))</f>
        <v>0</v>
      </c>
      <c r="D7" s="205">
        <f>IF($B7="","",VLOOKUP($B7,'F12 ELO'!$A$7:$O$22,15))</f>
        <v>16</v>
      </c>
      <c r="E7" s="202" t="str">
        <f>UPPER(IF($B7="","",VLOOKUP($B7,'F12 ELO'!$A$7:$O$22,2)))</f>
        <v>TENISZ MŰHELY</v>
      </c>
      <c r="F7" s="204"/>
      <c r="G7" s="202">
        <f>IF($B7="","",VLOOKUP($B7,'F12 ELO'!$A$7:$O$22,3))</f>
        <v>0</v>
      </c>
      <c r="H7" s="204"/>
      <c r="I7" s="202">
        <f>IF($B7="","",VLOOKUP($B7,'F12 ELO'!$A$7:$O$22,4))</f>
        <v>0</v>
      </c>
      <c r="J7" s="193"/>
      <c r="K7" s="285"/>
      <c r="L7" s="279" t="str">
        <f>IF(K7="","",CONCATENATE(VLOOKUP($Y$3,$AB$1:$AK$1,K7)," pont"))</f>
        <v/>
      </c>
      <c r="M7" s="286"/>
      <c r="N7" s="211"/>
      <c r="O7" s="211"/>
      <c r="P7" s="211"/>
      <c r="Q7" s="265" t="s">
        <v>72</v>
      </c>
      <c r="R7" s="320" t="s">
        <v>110</v>
      </c>
      <c r="S7" s="320" t="s">
        <v>112</v>
      </c>
      <c r="Y7" s="277"/>
      <c r="Z7" s="277"/>
      <c r="AA7" s="277" t="s">
        <v>92</v>
      </c>
      <c r="AB7" s="282">
        <v>25</v>
      </c>
      <c r="AC7" s="282">
        <v>15</v>
      </c>
      <c r="AD7" s="282">
        <v>13</v>
      </c>
      <c r="AE7" s="282">
        <v>8</v>
      </c>
      <c r="AF7" s="282">
        <v>6</v>
      </c>
      <c r="AG7" s="282">
        <v>4</v>
      </c>
      <c r="AH7" s="282">
        <v>3</v>
      </c>
      <c r="AI7" s="282">
        <v>2</v>
      </c>
      <c r="AJ7" s="282">
        <v>1</v>
      </c>
      <c r="AK7" s="282">
        <v>0</v>
      </c>
    </row>
    <row r="8" spans="1:37" x14ac:dyDescent="0.25">
      <c r="A8" s="219"/>
      <c r="B8" s="272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7"/>
      <c r="N8" s="211"/>
      <c r="O8" s="211"/>
      <c r="P8" s="211"/>
      <c r="Q8" s="267" t="s">
        <v>79</v>
      </c>
      <c r="R8" s="321" t="s">
        <v>111</v>
      </c>
      <c r="S8" s="321" t="s">
        <v>113</v>
      </c>
      <c r="Y8" s="277"/>
      <c r="Z8" s="277"/>
      <c r="AA8" s="277" t="s">
        <v>93</v>
      </c>
      <c r="AB8" s="282">
        <v>15</v>
      </c>
      <c r="AC8" s="282">
        <v>10</v>
      </c>
      <c r="AD8" s="282">
        <v>7</v>
      </c>
      <c r="AE8" s="282">
        <v>5</v>
      </c>
      <c r="AF8" s="282">
        <v>4</v>
      </c>
      <c r="AG8" s="282">
        <v>3</v>
      </c>
      <c r="AH8" s="282">
        <v>2</v>
      </c>
      <c r="AI8" s="282">
        <v>1</v>
      </c>
      <c r="AJ8" s="282">
        <v>0</v>
      </c>
      <c r="AK8" s="282">
        <v>0</v>
      </c>
    </row>
    <row r="9" spans="1:37" x14ac:dyDescent="0.25">
      <c r="A9" s="219" t="s">
        <v>59</v>
      </c>
      <c r="B9" s="273">
        <v>6</v>
      </c>
      <c r="C9" s="205">
        <f>IF($B9="","",VLOOKUP($B9,'F12 ELO'!$A$7:$O$22,5))</f>
        <v>0</v>
      </c>
      <c r="D9" s="205">
        <f>IF($B9="","",VLOOKUP($B9,'F12 ELO'!$A$7:$O$22,15))</f>
        <v>178</v>
      </c>
      <c r="E9" s="201" t="str">
        <f>UPPER(IF($B9="","",VLOOKUP($B9,'F12 ELO'!$A$7:$O$22,2)))</f>
        <v>SVSE II.</v>
      </c>
      <c r="F9" s="206"/>
      <c r="G9" s="201">
        <f>IF($B9="","",VLOOKUP($B9,'F12 ELO'!$A$7:$O$22,3))</f>
        <v>0</v>
      </c>
      <c r="H9" s="206"/>
      <c r="I9" s="201">
        <f>IF($B9="","",VLOOKUP($B9,'F12 ELO'!$A$7:$O$22,4))</f>
        <v>0</v>
      </c>
      <c r="J9" s="193"/>
      <c r="K9" s="285"/>
      <c r="L9" s="279" t="str">
        <f>IF(K9="","",CONCATENATE(VLOOKUP($Y$3,$AB$1:$AK$1,K9)," pont"))</f>
        <v/>
      </c>
      <c r="M9" s="286"/>
      <c r="N9" s="211"/>
      <c r="O9" s="211"/>
      <c r="P9" s="211"/>
      <c r="Q9" s="269" t="s">
        <v>80</v>
      </c>
      <c r="R9" s="322" t="s">
        <v>84</v>
      </c>
      <c r="S9" s="322" t="s">
        <v>114</v>
      </c>
      <c r="Y9" s="277"/>
      <c r="Z9" s="277"/>
      <c r="AA9" s="277" t="s">
        <v>94</v>
      </c>
      <c r="AB9" s="282">
        <v>10</v>
      </c>
      <c r="AC9" s="282">
        <v>6</v>
      </c>
      <c r="AD9" s="282">
        <v>4</v>
      </c>
      <c r="AE9" s="282">
        <v>2</v>
      </c>
      <c r="AF9" s="282">
        <v>1</v>
      </c>
      <c r="AG9" s="282">
        <v>0</v>
      </c>
      <c r="AH9" s="282">
        <v>0</v>
      </c>
      <c r="AI9" s="282">
        <v>0</v>
      </c>
      <c r="AJ9" s="282">
        <v>0</v>
      </c>
      <c r="AK9" s="282">
        <v>0</v>
      </c>
    </row>
    <row r="10" spans="1:37" x14ac:dyDescent="0.25">
      <c r="A10" s="219"/>
      <c r="B10" s="272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7"/>
      <c r="N10" s="211"/>
      <c r="O10" s="211"/>
      <c r="P10" s="211"/>
      <c r="Q10" s="211"/>
      <c r="R10" s="211"/>
      <c r="S10" s="211"/>
      <c r="Y10" s="277"/>
      <c r="Z10" s="277"/>
      <c r="AA10" s="277" t="s">
        <v>95</v>
      </c>
      <c r="AB10" s="282">
        <v>6</v>
      </c>
      <c r="AC10" s="282">
        <v>3</v>
      </c>
      <c r="AD10" s="282">
        <v>2</v>
      </c>
      <c r="AE10" s="282">
        <v>1</v>
      </c>
      <c r="AF10" s="282">
        <v>0</v>
      </c>
      <c r="AG10" s="282">
        <v>0</v>
      </c>
      <c r="AH10" s="282">
        <v>0</v>
      </c>
      <c r="AI10" s="282">
        <v>0</v>
      </c>
      <c r="AJ10" s="282">
        <v>0</v>
      </c>
      <c r="AK10" s="282">
        <v>0</v>
      </c>
    </row>
    <row r="11" spans="1:37" x14ac:dyDescent="0.25">
      <c r="A11" s="219" t="s">
        <v>60</v>
      </c>
      <c r="B11" s="273">
        <v>3</v>
      </c>
      <c r="C11" s="205">
        <f>IF($B11="","",VLOOKUP($B11,'F12 ELO'!$A$7:$O$22,5))</f>
        <v>0</v>
      </c>
      <c r="D11" s="205">
        <f>IF($B11="","",VLOOKUP($B11,'F12 ELO'!$A$7:$O$22,15))</f>
        <v>55</v>
      </c>
      <c r="E11" s="201" t="str">
        <f>UPPER(IF($B11="","",VLOOKUP($B11,'F12 ELO'!$A$7:$O$22,2)))</f>
        <v>MTK</v>
      </c>
      <c r="F11" s="206"/>
      <c r="G11" s="201">
        <f>IF($B11="","",VLOOKUP($B11,'F12 ELO'!$A$7:$O$22,3))</f>
        <v>0</v>
      </c>
      <c r="H11" s="206"/>
      <c r="I11" s="201">
        <f>IF($B11="","",VLOOKUP($B11,'F12 ELO'!$A$7:$O$22,4))</f>
        <v>0</v>
      </c>
      <c r="J11" s="193"/>
      <c r="K11" s="285"/>
      <c r="L11" s="279" t="str">
        <f>IF(K11="","",CONCATENATE(VLOOKUP($Y$3,$AB$1:$AK$1,K11)," pont"))</f>
        <v/>
      </c>
      <c r="M11" s="286"/>
      <c r="N11" s="211"/>
      <c r="O11" s="211"/>
      <c r="P11" s="211"/>
      <c r="Q11" s="211"/>
      <c r="R11" s="211"/>
      <c r="S11" s="211"/>
      <c r="Y11" s="277"/>
      <c r="Z11" s="277"/>
      <c r="AA11" s="277" t="s">
        <v>100</v>
      </c>
      <c r="AB11" s="282">
        <v>3</v>
      </c>
      <c r="AC11" s="282">
        <v>2</v>
      </c>
      <c r="AD11" s="282">
        <v>1</v>
      </c>
      <c r="AE11" s="282">
        <v>0</v>
      </c>
      <c r="AF11" s="282">
        <v>0</v>
      </c>
      <c r="AG11" s="282">
        <v>0</v>
      </c>
      <c r="AH11" s="282">
        <v>0</v>
      </c>
      <c r="AI11" s="282">
        <v>0</v>
      </c>
      <c r="AJ11" s="282">
        <v>0</v>
      </c>
      <c r="AK11" s="282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248"/>
      <c r="L12" s="248"/>
      <c r="M12" s="288"/>
      <c r="Y12" s="277"/>
      <c r="Z12" s="277"/>
      <c r="AA12" s="277" t="s">
        <v>96</v>
      </c>
      <c r="AB12" s="283">
        <v>0</v>
      </c>
      <c r="AC12" s="283">
        <v>0</v>
      </c>
      <c r="AD12" s="283">
        <v>0</v>
      </c>
      <c r="AE12" s="283">
        <v>0</v>
      </c>
      <c r="AF12" s="283">
        <v>0</v>
      </c>
      <c r="AG12" s="283">
        <v>0</v>
      </c>
      <c r="AH12" s="283">
        <v>0</v>
      </c>
      <c r="AI12" s="283">
        <v>0</v>
      </c>
      <c r="AJ12" s="283">
        <v>0</v>
      </c>
      <c r="AK12" s="283">
        <v>0</v>
      </c>
    </row>
    <row r="13" spans="1:37" x14ac:dyDescent="0.25">
      <c r="A13" s="256" t="s">
        <v>65</v>
      </c>
      <c r="B13" s="271">
        <v>2</v>
      </c>
      <c r="C13" s="205">
        <f>IF($B13="","",VLOOKUP($B13,'F12 ELO'!$A$7:$O$22,5))</f>
        <v>0</v>
      </c>
      <c r="D13" s="205">
        <f>IF($B13="","",VLOOKUP($B13,'F12 ELO'!$A$7:$O$22,15))</f>
        <v>18</v>
      </c>
      <c r="E13" s="202" t="str">
        <f>UPPER(IF($B13="","",VLOOKUP($B13,'F12 ELO'!$A$7:$O$22,2)))</f>
        <v>BUSC</v>
      </c>
      <c r="F13" s="204"/>
      <c r="G13" s="202">
        <f>IF($B13="","",VLOOKUP($B13,'F12 ELO'!$A$7:$O$22,3))</f>
        <v>0</v>
      </c>
      <c r="H13" s="204"/>
      <c r="I13" s="202">
        <f>IF($B13="","",VLOOKUP($B13,'F12 ELO'!$A$7:$O$22,4))</f>
        <v>0</v>
      </c>
      <c r="J13" s="193"/>
      <c r="K13" s="285"/>
      <c r="L13" s="279" t="str">
        <f>IF(K13="","",CONCATENATE(VLOOKUP($Y$3,$AB$1:$AK$1,K13)," pont"))</f>
        <v/>
      </c>
      <c r="M13" s="286"/>
      <c r="Y13" s="277"/>
      <c r="Z13" s="277"/>
      <c r="AA13" s="277" t="s">
        <v>97</v>
      </c>
      <c r="AB13" s="283">
        <v>0</v>
      </c>
      <c r="AC13" s="283">
        <v>0</v>
      </c>
      <c r="AD13" s="283">
        <v>0</v>
      </c>
      <c r="AE13" s="283">
        <v>0</v>
      </c>
      <c r="AF13" s="283">
        <v>0</v>
      </c>
      <c r="AG13" s="283">
        <v>0</v>
      </c>
      <c r="AH13" s="283">
        <v>0</v>
      </c>
      <c r="AI13" s="283">
        <v>0</v>
      </c>
      <c r="AJ13" s="283">
        <v>0</v>
      </c>
      <c r="AK13" s="283">
        <v>0</v>
      </c>
    </row>
    <row r="14" spans="1:37" x14ac:dyDescent="0.25">
      <c r="A14" s="219"/>
      <c r="B14" s="272"/>
      <c r="C14" s="220"/>
      <c r="D14" s="220"/>
      <c r="E14" s="220"/>
      <c r="F14" s="220"/>
      <c r="G14" s="220"/>
      <c r="H14" s="220"/>
      <c r="I14" s="220"/>
      <c r="J14" s="193"/>
      <c r="K14" s="219"/>
      <c r="L14" s="219"/>
      <c r="M14" s="28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</row>
    <row r="15" spans="1:37" x14ac:dyDescent="0.25">
      <c r="A15" s="219" t="s">
        <v>66</v>
      </c>
      <c r="B15" s="273">
        <v>7</v>
      </c>
      <c r="C15" s="205">
        <f>IF($B15="","",VLOOKUP($B15,'F12 ELO'!$A$7:$O$22,5))</f>
        <v>0</v>
      </c>
      <c r="D15" s="205">
        <f>IF($B15="","",VLOOKUP($B15,'F12 ELO'!$A$7:$O$22,15))</f>
        <v>188</v>
      </c>
      <c r="E15" s="201" t="str">
        <f>UPPER(IF($B15="","",VLOOKUP($B15,'F12 ELO'!$A$7:$O$22,2)))</f>
        <v>SZTE SPORTMÁNIA</v>
      </c>
      <c r="F15" s="206"/>
      <c r="G15" s="201">
        <f>IF($B15="","",VLOOKUP($B15,'F12 ELO'!$A$7:$O$22,3))</f>
        <v>0</v>
      </c>
      <c r="H15" s="206"/>
      <c r="I15" s="201">
        <f>IF($B15="","",VLOOKUP($B15,'F12 ELO'!$A$7:$O$22,4))</f>
        <v>0</v>
      </c>
      <c r="J15" s="193"/>
      <c r="K15" s="285"/>
      <c r="L15" s="279" t="str">
        <f>IF(K15="","",CONCATENATE(VLOOKUP($Y$3,$AB$1:$AK$1,K15)," pont"))</f>
        <v/>
      </c>
      <c r="M15" s="286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</row>
    <row r="16" spans="1:37" x14ac:dyDescent="0.25">
      <c r="A16" s="219"/>
      <c r="B16" s="272"/>
      <c r="C16" s="220"/>
      <c r="D16" s="220"/>
      <c r="E16" s="220"/>
      <c r="F16" s="220"/>
      <c r="G16" s="220"/>
      <c r="H16" s="220"/>
      <c r="I16" s="220"/>
      <c r="J16" s="193"/>
      <c r="K16" s="219"/>
      <c r="L16" s="219"/>
      <c r="M16" s="287"/>
      <c r="Y16" s="277"/>
      <c r="Z16" s="277"/>
      <c r="AA16" s="277" t="s">
        <v>58</v>
      </c>
      <c r="AB16" s="277">
        <v>300</v>
      </c>
      <c r="AC16" s="277">
        <v>250</v>
      </c>
      <c r="AD16" s="277">
        <v>220</v>
      </c>
      <c r="AE16" s="277">
        <v>180</v>
      </c>
      <c r="AF16" s="277">
        <v>160</v>
      </c>
      <c r="AG16" s="277">
        <v>150</v>
      </c>
      <c r="AH16" s="277">
        <v>140</v>
      </c>
      <c r="AI16" s="277">
        <v>130</v>
      </c>
      <c r="AJ16" s="277">
        <v>120</v>
      </c>
      <c r="AK16" s="277">
        <v>110</v>
      </c>
    </row>
    <row r="17" spans="1:37" x14ac:dyDescent="0.25">
      <c r="A17" s="219" t="s">
        <v>67</v>
      </c>
      <c r="B17" s="273">
        <v>4</v>
      </c>
      <c r="C17" s="205">
        <f>IF($B17="","",VLOOKUP($B17,'F12 ELO'!$A$7:$O$22,5))</f>
        <v>0</v>
      </c>
      <c r="D17" s="205">
        <f>IF($B17="","",VLOOKUP($B17,'F12 ELO'!$A$7:$O$22,15))</f>
        <v>59</v>
      </c>
      <c r="E17" s="201" t="str">
        <f>UPPER(IF($B17="","",VLOOKUP($B17,'F12 ELO'!$A$7:$O$22,2)))</f>
        <v>SVSE I.</v>
      </c>
      <c r="F17" s="206"/>
      <c r="G17" s="201">
        <f>IF($B17="","",VLOOKUP($B17,'F12 ELO'!$A$7:$O$22,3))</f>
        <v>0</v>
      </c>
      <c r="H17" s="206"/>
      <c r="I17" s="201">
        <f>IF($B17="","",VLOOKUP($B17,'F12 ELO'!$A$7:$O$22,4))</f>
        <v>0</v>
      </c>
      <c r="J17" s="193"/>
      <c r="K17" s="285"/>
      <c r="L17" s="279" t="str">
        <f>IF(K17="","",CONCATENATE(VLOOKUP($Y$3,$AB$1:$AK$1,K17)," pont"))</f>
        <v/>
      </c>
      <c r="M17" s="286"/>
      <c r="Y17" s="277"/>
      <c r="Z17" s="277"/>
      <c r="AA17" s="277" t="s">
        <v>88</v>
      </c>
      <c r="AB17" s="277">
        <v>250</v>
      </c>
      <c r="AC17" s="277">
        <v>200</v>
      </c>
      <c r="AD17" s="277">
        <v>160</v>
      </c>
      <c r="AE17" s="277">
        <v>140</v>
      </c>
      <c r="AF17" s="277">
        <v>120</v>
      </c>
      <c r="AG17" s="277">
        <v>110</v>
      </c>
      <c r="AH17" s="277">
        <v>100</v>
      </c>
      <c r="AI17" s="277">
        <v>90</v>
      </c>
      <c r="AJ17" s="277">
        <v>80</v>
      </c>
      <c r="AK17" s="277">
        <v>70</v>
      </c>
    </row>
    <row r="18" spans="1:37" x14ac:dyDescent="0.25">
      <c r="A18" s="219"/>
      <c r="B18" s="272"/>
      <c r="C18" s="220"/>
      <c r="D18" s="220"/>
      <c r="E18" s="220"/>
      <c r="F18" s="220"/>
      <c r="G18" s="220"/>
      <c r="H18" s="220"/>
      <c r="I18" s="220"/>
      <c r="J18" s="193"/>
      <c r="K18" s="219"/>
      <c r="L18" s="219"/>
      <c r="M18" s="287"/>
      <c r="Y18" s="277"/>
      <c r="Z18" s="277"/>
      <c r="AA18" s="277" t="s">
        <v>89</v>
      </c>
      <c r="AB18" s="277">
        <v>200</v>
      </c>
      <c r="AC18" s="277">
        <v>150</v>
      </c>
      <c r="AD18" s="277">
        <v>130</v>
      </c>
      <c r="AE18" s="277">
        <v>110</v>
      </c>
      <c r="AF18" s="277">
        <v>95</v>
      </c>
      <c r="AG18" s="277">
        <v>80</v>
      </c>
      <c r="AH18" s="277">
        <v>70</v>
      </c>
      <c r="AI18" s="277">
        <v>60</v>
      </c>
      <c r="AJ18" s="277">
        <v>55</v>
      </c>
      <c r="AK18" s="277">
        <v>50</v>
      </c>
    </row>
    <row r="19" spans="1:37" x14ac:dyDescent="0.25">
      <c r="A19" s="219" t="s">
        <v>67</v>
      </c>
      <c r="B19" s="273">
        <v>5</v>
      </c>
      <c r="C19" s="205">
        <f>IF($B19="","",VLOOKUP($B19,'F12 ELO'!$A$7:$O$22,5))</f>
        <v>0</v>
      </c>
      <c r="D19" s="205">
        <f>IF($B19="","",VLOOKUP($B19,'F12 ELO'!$A$7:$O$22,15))</f>
        <v>66</v>
      </c>
      <c r="E19" s="201" t="str">
        <f>UPPER(IF($B19="","",VLOOKUP($B19,'F12 ELO'!$A$7:$O$22,2)))</f>
        <v>PASARÉT TK</v>
      </c>
      <c r="F19" s="206"/>
      <c r="G19" s="201">
        <f>IF($B19="","",VLOOKUP($B19,'F12 ELO'!$A$7:$O$22,3))</f>
        <v>0</v>
      </c>
      <c r="H19" s="206"/>
      <c r="I19" s="201">
        <f>IF($B19="","",VLOOKUP($B19,'F12 ELO'!$A$7:$O$22,4))</f>
        <v>0</v>
      </c>
      <c r="J19" s="193"/>
      <c r="K19" s="285"/>
      <c r="L19" s="279" t="str">
        <f>IF(K19="","",CONCATENATE(VLOOKUP($Y$3,$AB$1:$AK$1,K19)," pont"))</f>
        <v/>
      </c>
      <c r="M19" s="286"/>
      <c r="Y19" s="277"/>
      <c r="Z19" s="277"/>
      <c r="AA19" s="277" t="s">
        <v>90</v>
      </c>
      <c r="AB19" s="277">
        <v>150</v>
      </c>
      <c r="AC19" s="277">
        <v>120</v>
      </c>
      <c r="AD19" s="277">
        <v>100</v>
      </c>
      <c r="AE19" s="277">
        <v>80</v>
      </c>
      <c r="AF19" s="277">
        <v>70</v>
      </c>
      <c r="AG19" s="277">
        <v>60</v>
      </c>
      <c r="AH19" s="277">
        <v>55</v>
      </c>
      <c r="AI19" s="277">
        <v>50</v>
      </c>
      <c r="AJ19" s="277">
        <v>45</v>
      </c>
      <c r="AK19" s="277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7"/>
      <c r="Z20" s="277"/>
      <c r="AA20" s="277" t="s">
        <v>91</v>
      </c>
      <c r="AB20" s="277">
        <v>120</v>
      </c>
      <c r="AC20" s="277">
        <v>90</v>
      </c>
      <c r="AD20" s="277">
        <v>65</v>
      </c>
      <c r="AE20" s="277">
        <v>55</v>
      </c>
      <c r="AF20" s="277">
        <v>50</v>
      </c>
      <c r="AG20" s="277">
        <v>45</v>
      </c>
      <c r="AH20" s="277">
        <v>40</v>
      </c>
      <c r="AI20" s="277">
        <v>35</v>
      </c>
      <c r="AJ20" s="277">
        <v>25</v>
      </c>
      <c r="AK20" s="277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7"/>
      <c r="Z21" s="277"/>
      <c r="AA21" s="277" t="s">
        <v>92</v>
      </c>
      <c r="AB21" s="277">
        <v>90</v>
      </c>
      <c r="AC21" s="277">
        <v>60</v>
      </c>
      <c r="AD21" s="277">
        <v>45</v>
      </c>
      <c r="AE21" s="277">
        <v>34</v>
      </c>
      <c r="AF21" s="277">
        <v>27</v>
      </c>
      <c r="AG21" s="277">
        <v>22</v>
      </c>
      <c r="AH21" s="277">
        <v>18</v>
      </c>
      <c r="AI21" s="277">
        <v>15</v>
      </c>
      <c r="AJ21" s="277">
        <v>12</v>
      </c>
      <c r="AK21" s="277">
        <v>9</v>
      </c>
    </row>
    <row r="22" spans="1:37" ht="18.75" customHeight="1" x14ac:dyDescent="0.25">
      <c r="A22" s="193"/>
      <c r="B22" s="345"/>
      <c r="C22" s="345"/>
      <c r="D22" s="344" t="str">
        <f>E7</f>
        <v>TENISZ MŰHELY</v>
      </c>
      <c r="E22" s="344"/>
      <c r="F22" s="344" t="str">
        <f>E9</f>
        <v>SVSE II.</v>
      </c>
      <c r="G22" s="344"/>
      <c r="H22" s="344" t="str">
        <f>E11</f>
        <v>MTK</v>
      </c>
      <c r="I22" s="344"/>
      <c r="J22" s="193"/>
      <c r="K22" s="193"/>
      <c r="L22" s="193"/>
      <c r="M22" s="257" t="s">
        <v>62</v>
      </c>
      <c r="Y22" s="277"/>
      <c r="Z22" s="277"/>
      <c r="AA22" s="277" t="s">
        <v>93</v>
      </c>
      <c r="AB22" s="277">
        <v>60</v>
      </c>
      <c r="AC22" s="277">
        <v>40</v>
      </c>
      <c r="AD22" s="277">
        <v>30</v>
      </c>
      <c r="AE22" s="277">
        <v>20</v>
      </c>
      <c r="AF22" s="277">
        <v>18</v>
      </c>
      <c r="AG22" s="277">
        <v>15</v>
      </c>
      <c r="AH22" s="277">
        <v>12</v>
      </c>
      <c r="AI22" s="277">
        <v>10</v>
      </c>
      <c r="AJ22" s="277">
        <v>8</v>
      </c>
      <c r="AK22" s="277">
        <v>6</v>
      </c>
    </row>
    <row r="23" spans="1:37" ht="18.75" customHeight="1" x14ac:dyDescent="0.25">
      <c r="A23" s="255" t="s">
        <v>58</v>
      </c>
      <c r="B23" s="349" t="str">
        <f>E7</f>
        <v>TENISZ MŰHELY</v>
      </c>
      <c r="C23" s="349"/>
      <c r="D23" s="342"/>
      <c r="E23" s="342"/>
      <c r="F23" s="341"/>
      <c r="G23" s="341"/>
      <c r="H23" s="341"/>
      <c r="I23" s="341"/>
      <c r="J23" s="193"/>
      <c r="K23" s="193"/>
      <c r="L23" s="193"/>
      <c r="M23" s="259"/>
      <c r="Y23" s="277"/>
      <c r="Z23" s="277"/>
      <c r="AA23" s="277" t="s">
        <v>94</v>
      </c>
      <c r="AB23" s="277">
        <v>40</v>
      </c>
      <c r="AC23" s="277">
        <v>25</v>
      </c>
      <c r="AD23" s="277">
        <v>18</v>
      </c>
      <c r="AE23" s="277">
        <v>13</v>
      </c>
      <c r="AF23" s="277">
        <v>8</v>
      </c>
      <c r="AG23" s="277">
        <v>7</v>
      </c>
      <c r="AH23" s="277">
        <v>6</v>
      </c>
      <c r="AI23" s="277">
        <v>5</v>
      </c>
      <c r="AJ23" s="277">
        <v>4</v>
      </c>
      <c r="AK23" s="277">
        <v>3</v>
      </c>
    </row>
    <row r="24" spans="1:37" ht="18.75" customHeight="1" x14ac:dyDescent="0.25">
      <c r="A24" s="255" t="s">
        <v>59</v>
      </c>
      <c r="B24" s="349" t="str">
        <f>E9</f>
        <v>SVSE II.</v>
      </c>
      <c r="C24" s="349"/>
      <c r="D24" s="341"/>
      <c r="E24" s="341"/>
      <c r="F24" s="342"/>
      <c r="G24" s="342"/>
      <c r="H24" s="341"/>
      <c r="I24" s="341"/>
      <c r="J24" s="193"/>
      <c r="K24" s="193"/>
      <c r="L24" s="193"/>
      <c r="M24" s="259"/>
      <c r="Y24" s="277"/>
      <c r="Z24" s="277"/>
      <c r="AA24" s="277" t="s">
        <v>95</v>
      </c>
      <c r="AB24" s="277">
        <v>25</v>
      </c>
      <c r="AC24" s="277">
        <v>15</v>
      </c>
      <c r="AD24" s="277">
        <v>13</v>
      </c>
      <c r="AE24" s="277">
        <v>7</v>
      </c>
      <c r="AF24" s="277">
        <v>6</v>
      </c>
      <c r="AG24" s="277">
        <v>5</v>
      </c>
      <c r="AH24" s="277">
        <v>4</v>
      </c>
      <c r="AI24" s="277">
        <v>3</v>
      </c>
      <c r="AJ24" s="277">
        <v>2</v>
      </c>
      <c r="AK24" s="277">
        <v>1</v>
      </c>
    </row>
    <row r="25" spans="1:37" ht="18.75" customHeight="1" x14ac:dyDescent="0.25">
      <c r="A25" s="255" t="s">
        <v>60</v>
      </c>
      <c r="B25" s="349" t="str">
        <f>E11</f>
        <v>MTK</v>
      </c>
      <c r="C25" s="349"/>
      <c r="D25" s="341"/>
      <c r="E25" s="341"/>
      <c r="F25" s="341"/>
      <c r="G25" s="341"/>
      <c r="H25" s="342"/>
      <c r="I25" s="342"/>
      <c r="J25" s="193"/>
      <c r="K25" s="193"/>
      <c r="L25" s="193"/>
      <c r="M25" s="259"/>
      <c r="Y25" s="277"/>
      <c r="Z25" s="277"/>
      <c r="AA25" s="277" t="s">
        <v>100</v>
      </c>
      <c r="AB25" s="277">
        <v>15</v>
      </c>
      <c r="AC25" s="277">
        <v>10</v>
      </c>
      <c r="AD25" s="277">
        <v>8</v>
      </c>
      <c r="AE25" s="277">
        <v>4</v>
      </c>
      <c r="AF25" s="277">
        <v>3</v>
      </c>
      <c r="AG25" s="277">
        <v>2</v>
      </c>
      <c r="AH25" s="277">
        <v>1</v>
      </c>
      <c r="AI25" s="277">
        <v>0</v>
      </c>
      <c r="AJ25" s="277">
        <v>0</v>
      </c>
      <c r="AK25" s="277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260"/>
      <c r="Y26" s="277"/>
      <c r="Z26" s="277"/>
      <c r="AA26" s="277" t="s">
        <v>96</v>
      </c>
      <c r="AB26" s="277">
        <v>10</v>
      </c>
      <c r="AC26" s="277">
        <v>6</v>
      </c>
      <c r="AD26" s="277">
        <v>4</v>
      </c>
      <c r="AE26" s="277">
        <v>2</v>
      </c>
      <c r="AF26" s="277">
        <v>1</v>
      </c>
      <c r="AG26" s="277">
        <v>0</v>
      </c>
      <c r="AH26" s="277">
        <v>0</v>
      </c>
      <c r="AI26" s="277">
        <v>0</v>
      </c>
      <c r="AJ26" s="277">
        <v>0</v>
      </c>
      <c r="AK26" s="277">
        <v>0</v>
      </c>
    </row>
    <row r="27" spans="1:37" ht="18.75" customHeight="1" x14ac:dyDescent="0.25">
      <c r="A27" s="193"/>
      <c r="B27" s="345"/>
      <c r="C27" s="345"/>
      <c r="D27" s="344" t="str">
        <f>E13</f>
        <v>BUSC</v>
      </c>
      <c r="E27" s="344"/>
      <c r="F27" s="344" t="str">
        <f>E15</f>
        <v>SZTE SPORTMÁNIA</v>
      </c>
      <c r="G27" s="344"/>
      <c r="H27" s="344" t="str">
        <f>E17</f>
        <v>SVSE I.</v>
      </c>
      <c r="I27" s="344"/>
      <c r="J27" s="344" t="str">
        <f>E19</f>
        <v>PASARÉT TK</v>
      </c>
      <c r="K27" s="344"/>
      <c r="L27" s="193"/>
      <c r="M27" s="260"/>
      <c r="Y27" s="277"/>
      <c r="Z27" s="277"/>
      <c r="AA27" s="277" t="s">
        <v>97</v>
      </c>
      <c r="AB27" s="277">
        <v>3</v>
      </c>
      <c r="AC27" s="277">
        <v>2</v>
      </c>
      <c r="AD27" s="277">
        <v>1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  <c r="AJ27" s="277">
        <v>0</v>
      </c>
      <c r="AK27" s="277">
        <v>0</v>
      </c>
    </row>
    <row r="28" spans="1:37" ht="18.75" customHeight="1" x14ac:dyDescent="0.25">
      <c r="A28" s="255" t="s">
        <v>65</v>
      </c>
      <c r="B28" s="349" t="str">
        <f>E13</f>
        <v>BUSC</v>
      </c>
      <c r="C28" s="349"/>
      <c r="D28" s="342"/>
      <c r="E28" s="342"/>
      <c r="F28" s="341"/>
      <c r="G28" s="341"/>
      <c r="H28" s="341"/>
      <c r="I28" s="341"/>
      <c r="J28" s="344"/>
      <c r="K28" s="344"/>
      <c r="L28" s="193"/>
      <c r="M28" s="259"/>
    </row>
    <row r="29" spans="1:37" ht="18.75" customHeight="1" x14ac:dyDescent="0.25">
      <c r="A29" s="255" t="s">
        <v>66</v>
      </c>
      <c r="B29" s="349" t="str">
        <f>E15</f>
        <v>SZTE SPORTMÁNIA</v>
      </c>
      <c r="C29" s="349"/>
      <c r="D29" s="341"/>
      <c r="E29" s="341"/>
      <c r="F29" s="342"/>
      <c r="G29" s="342"/>
      <c r="H29" s="341"/>
      <c r="I29" s="341"/>
      <c r="J29" s="341"/>
      <c r="K29" s="341"/>
      <c r="L29" s="193"/>
      <c r="M29" s="259"/>
    </row>
    <row r="30" spans="1:37" ht="18.75" customHeight="1" x14ac:dyDescent="0.25">
      <c r="A30" s="255" t="s">
        <v>67</v>
      </c>
      <c r="B30" s="349" t="str">
        <f>E17</f>
        <v>SVSE I.</v>
      </c>
      <c r="C30" s="349"/>
      <c r="D30" s="341"/>
      <c r="E30" s="341"/>
      <c r="F30" s="341"/>
      <c r="G30" s="341"/>
      <c r="H30" s="342"/>
      <c r="I30" s="342"/>
      <c r="J30" s="341"/>
      <c r="K30" s="341"/>
      <c r="L30" s="193"/>
      <c r="M30" s="259"/>
    </row>
    <row r="31" spans="1:37" ht="18.75" customHeight="1" x14ac:dyDescent="0.25">
      <c r="A31" s="255" t="s">
        <v>71</v>
      </c>
      <c r="B31" s="349" t="str">
        <f>E19</f>
        <v>PASARÉT TK</v>
      </c>
      <c r="C31" s="349"/>
      <c r="D31" s="341"/>
      <c r="E31" s="341"/>
      <c r="F31" s="341"/>
      <c r="G31" s="341"/>
      <c r="H31" s="344"/>
      <c r="I31" s="344"/>
      <c r="J31" s="342"/>
      <c r="K31" s="342"/>
      <c r="L31" s="193"/>
      <c r="M31" s="259"/>
    </row>
    <row r="32" spans="1:37" ht="18.75" customHeight="1" x14ac:dyDescent="0.25">
      <c r="A32" s="261"/>
      <c r="B32" s="262"/>
      <c r="C32" s="262"/>
      <c r="D32" s="261"/>
      <c r="E32" s="261"/>
      <c r="F32" s="261"/>
      <c r="G32" s="261"/>
      <c r="H32" s="261"/>
      <c r="I32" s="261"/>
      <c r="J32" s="193"/>
      <c r="K32" s="193"/>
      <c r="L32" s="193"/>
      <c r="M32" s="263"/>
    </row>
    <row r="33" spans="1:19" x14ac:dyDescent="0.25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</row>
    <row r="34" spans="1:19" x14ac:dyDescent="0.25">
      <c r="A34" s="193" t="s">
        <v>52</v>
      </c>
      <c r="B34" s="193"/>
      <c r="C34" s="351" t="str">
        <f>IF(M23=1,B23,IF(M24=1,B24,IF(M25=1,B25,"")))</f>
        <v/>
      </c>
      <c r="D34" s="351"/>
      <c r="E34" s="219" t="s">
        <v>69</v>
      </c>
      <c r="F34" s="351" t="str">
        <f>IF(M28=1,B28,IF(M29=1,B29,IF(M30=1,B30,IF(M31=1,B31,""))))</f>
        <v/>
      </c>
      <c r="G34" s="351"/>
      <c r="H34" s="193"/>
      <c r="I34" s="192"/>
      <c r="J34" s="193"/>
      <c r="K34" s="193"/>
      <c r="L34" s="193"/>
      <c r="M34" s="193"/>
    </row>
    <row r="35" spans="1:19" x14ac:dyDescent="0.25">
      <c r="A35" s="193"/>
      <c r="B35" s="193"/>
      <c r="C35" s="193"/>
      <c r="D35" s="193"/>
      <c r="E35" s="193"/>
      <c r="F35" s="219"/>
      <c r="G35" s="219"/>
      <c r="H35" s="193"/>
      <c r="I35" s="193"/>
      <c r="J35" s="193"/>
      <c r="K35" s="193"/>
      <c r="L35" s="193"/>
      <c r="M35" s="193"/>
    </row>
    <row r="36" spans="1:19" x14ac:dyDescent="0.25">
      <c r="A36" s="193" t="s">
        <v>68</v>
      </c>
      <c r="B36" s="193"/>
      <c r="C36" s="351" t="str">
        <f>IF(M23=2,B23,IF(M24=2,B24,IF(M25=2,B25,"")))</f>
        <v/>
      </c>
      <c r="D36" s="351"/>
      <c r="E36" s="219" t="s">
        <v>69</v>
      </c>
      <c r="F36" s="351" t="str">
        <f>IF(M28=2,B28,IF(M29=2,B29,IF(M30=2,B30,IF(M31=2,B31,""))))</f>
        <v/>
      </c>
      <c r="G36" s="351"/>
      <c r="H36" s="193"/>
      <c r="I36" s="192"/>
      <c r="J36" s="193"/>
      <c r="K36" s="193"/>
      <c r="L36" s="193"/>
      <c r="M36" s="193"/>
    </row>
    <row r="37" spans="1:19" x14ac:dyDescent="0.25">
      <c r="A37" s="193"/>
      <c r="B37" s="193"/>
      <c r="C37" s="258"/>
      <c r="D37" s="258"/>
      <c r="E37" s="219"/>
      <c r="F37" s="258"/>
      <c r="G37" s="258"/>
      <c r="H37" s="193"/>
      <c r="I37" s="193"/>
      <c r="J37" s="193"/>
      <c r="K37" s="193"/>
      <c r="L37" s="193"/>
      <c r="M37" s="193"/>
    </row>
    <row r="38" spans="1:19" x14ac:dyDescent="0.25">
      <c r="A38" s="193" t="s">
        <v>70</v>
      </c>
      <c r="B38" s="193"/>
      <c r="C38" s="351" t="str">
        <f>IF(M23=3,B23,IF(M24=3,B24,IF(M25=3,B25,"")))</f>
        <v/>
      </c>
      <c r="D38" s="351"/>
      <c r="E38" s="219" t="s">
        <v>69</v>
      </c>
      <c r="F38" s="351" t="str">
        <f>IF(M28=3,B28,IF(M29=3,B29,IF(M30=3,B30,IF(M31=3,B31,""))))</f>
        <v/>
      </c>
      <c r="G38" s="351"/>
      <c r="H38" s="193"/>
      <c r="I38" s="192"/>
      <c r="J38" s="193"/>
      <c r="K38" s="193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7" t="s">
        <v>2</v>
      </c>
      <c r="E41" s="228" t="s">
        <v>40</v>
      </c>
      <c r="F41" s="246"/>
      <c r="G41" s="227" t="s">
        <v>2</v>
      </c>
      <c r="H41" s="228" t="s">
        <v>49</v>
      </c>
      <c r="I41" s="119"/>
      <c r="J41" s="228" t="s">
        <v>50</v>
      </c>
      <c r="K41" s="118" t="s">
        <v>51</v>
      </c>
      <c r="L41" s="31"/>
      <c r="M41" s="246"/>
      <c r="O41" s="211"/>
      <c r="P41" s="221"/>
      <c r="Q41" s="221"/>
      <c r="R41" s="222"/>
      <c r="S41" s="211"/>
    </row>
    <row r="42" spans="1:19" x14ac:dyDescent="0.25">
      <c r="A42" s="196" t="s">
        <v>39</v>
      </c>
      <c r="B42" s="197"/>
      <c r="C42" s="198"/>
      <c r="D42" s="229">
        <v>1</v>
      </c>
      <c r="E42" s="348" t="str">
        <f>IF(D42&gt;$R$44,,UPPER(VLOOKUP(D42,'F12 ELO'!$A$7:$Q$134,2)))</f>
        <v>TENISZ MŰHELY</v>
      </c>
      <c r="F42" s="348"/>
      <c r="G42" s="240" t="s">
        <v>3</v>
      </c>
      <c r="H42" s="197"/>
      <c r="I42" s="230"/>
      <c r="J42" s="241"/>
      <c r="K42" s="194" t="s">
        <v>41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99" t="s">
        <v>48</v>
      </c>
      <c r="B43" s="117"/>
      <c r="C43" s="200"/>
      <c r="D43" s="232">
        <v>2</v>
      </c>
      <c r="E43" s="346" t="str">
        <f>IF(D43&gt;$R$44,,UPPER(VLOOKUP(D43,'F12 ELO'!$A$7:$Q$134,2)))</f>
        <v>BUSC</v>
      </c>
      <c r="F43" s="346"/>
      <c r="G43" s="242" t="s">
        <v>4</v>
      </c>
      <c r="H43" s="233"/>
      <c r="I43" s="234"/>
      <c r="J43" s="82"/>
      <c r="K43" s="244"/>
      <c r="L43" s="192"/>
      <c r="M43" s="239"/>
      <c r="O43" s="211"/>
      <c r="P43" s="224"/>
      <c r="Q43" s="225"/>
      <c r="R43" s="224"/>
      <c r="S43" s="211"/>
    </row>
    <row r="44" spans="1:19" x14ac:dyDescent="0.25">
      <c r="A44" s="132"/>
      <c r="B44" s="133"/>
      <c r="C44" s="134"/>
      <c r="D44" s="232"/>
      <c r="E44" s="236"/>
      <c r="F44" s="237"/>
      <c r="G44" s="242" t="s">
        <v>5</v>
      </c>
      <c r="H44" s="233"/>
      <c r="I44" s="234"/>
      <c r="J44" s="82"/>
      <c r="K44" s="194" t="s">
        <v>42</v>
      </c>
      <c r="L44" s="247"/>
      <c r="M44" s="231"/>
      <c r="O44" s="211"/>
      <c r="P44" s="223"/>
      <c r="Q44" s="223"/>
      <c r="R44" s="226">
        <f>MIN(4,'F12 ELO'!Q2)</f>
        <v>4</v>
      </c>
      <c r="S44" s="211"/>
    </row>
    <row r="45" spans="1:19" x14ac:dyDescent="0.25">
      <c r="A45" s="112"/>
      <c r="B45" s="163"/>
      <c r="C45" s="113"/>
      <c r="D45" s="232"/>
      <c r="E45" s="236"/>
      <c r="F45" s="237"/>
      <c r="G45" s="242" t="s">
        <v>6</v>
      </c>
      <c r="H45" s="233"/>
      <c r="I45" s="234"/>
      <c r="J45" s="82"/>
      <c r="K45" s="245"/>
      <c r="L45" s="237"/>
      <c r="M45" s="235"/>
      <c r="O45" s="211"/>
      <c r="P45" s="224"/>
      <c r="Q45" s="225"/>
      <c r="R45" s="224"/>
      <c r="S45" s="211"/>
    </row>
    <row r="46" spans="1:19" x14ac:dyDescent="0.25">
      <c r="A46" s="121"/>
      <c r="B46" s="135"/>
      <c r="C46" s="164"/>
      <c r="D46" s="232"/>
      <c r="E46" s="236"/>
      <c r="F46" s="237"/>
      <c r="G46" s="242" t="s">
        <v>7</v>
      </c>
      <c r="H46" s="233"/>
      <c r="I46" s="234"/>
      <c r="J46" s="82"/>
      <c r="K46" s="199"/>
      <c r="L46" s="192"/>
      <c r="M46" s="239"/>
      <c r="O46" s="211"/>
      <c r="P46" s="224"/>
      <c r="Q46" s="225"/>
      <c r="R46" s="224"/>
      <c r="S46" s="211"/>
    </row>
    <row r="47" spans="1:19" x14ac:dyDescent="0.25">
      <c r="A47" s="122"/>
      <c r="B47" s="138"/>
      <c r="C47" s="113"/>
      <c r="D47" s="232"/>
      <c r="E47" s="236"/>
      <c r="F47" s="237"/>
      <c r="G47" s="242" t="s">
        <v>8</v>
      </c>
      <c r="H47" s="233"/>
      <c r="I47" s="234"/>
      <c r="J47" s="82"/>
      <c r="K47" s="194" t="s">
        <v>31</v>
      </c>
      <c r="L47" s="247"/>
      <c r="M47" s="231"/>
      <c r="O47" s="211"/>
      <c r="P47" s="223"/>
      <c r="Q47" s="223"/>
      <c r="R47" s="224"/>
      <c r="S47" s="211"/>
    </row>
    <row r="48" spans="1:19" x14ac:dyDescent="0.25">
      <c r="A48" s="122"/>
      <c r="B48" s="138"/>
      <c r="C48" s="130"/>
      <c r="D48" s="232"/>
      <c r="E48" s="236"/>
      <c r="F48" s="237"/>
      <c r="G48" s="242" t="s">
        <v>9</v>
      </c>
      <c r="H48" s="233"/>
      <c r="I48" s="234"/>
      <c r="J48" s="82"/>
      <c r="K48" s="245"/>
      <c r="L48" s="237"/>
      <c r="M48" s="235"/>
      <c r="O48" s="211"/>
      <c r="P48" s="224"/>
      <c r="Q48" s="225"/>
      <c r="R48" s="224"/>
      <c r="S48" s="211"/>
    </row>
    <row r="49" spans="1:19" x14ac:dyDescent="0.25">
      <c r="A49" s="123"/>
      <c r="B49" s="120"/>
      <c r="C49" s="131"/>
      <c r="D49" s="238"/>
      <c r="E49" s="114"/>
      <c r="F49" s="192"/>
      <c r="G49" s="243" t="s">
        <v>10</v>
      </c>
      <c r="H49" s="117"/>
      <c r="I49" s="195"/>
      <c r="J49" s="115"/>
      <c r="K49" s="199" t="str">
        <f>L4</f>
        <v>Rákóczi Andrea</v>
      </c>
      <c r="L49" s="192"/>
      <c r="M49" s="239"/>
      <c r="O49" s="211"/>
      <c r="P49" s="224"/>
      <c r="Q49" s="225"/>
      <c r="R49" s="226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J31:K31"/>
    <mergeCell ref="B31:C31"/>
    <mergeCell ref="D31:E31"/>
    <mergeCell ref="F31:G31"/>
    <mergeCell ref="H31:I31"/>
    <mergeCell ref="J27:K27"/>
    <mergeCell ref="J28:K28"/>
    <mergeCell ref="J29:K29"/>
    <mergeCell ref="J30:K30"/>
    <mergeCell ref="B30:C30"/>
    <mergeCell ref="C38:D38"/>
    <mergeCell ref="F38:G38"/>
    <mergeCell ref="E42:F42"/>
    <mergeCell ref="E43:F43"/>
    <mergeCell ref="C34:D34"/>
    <mergeCell ref="F34:G34"/>
    <mergeCell ref="C36:D36"/>
    <mergeCell ref="F36:G36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45" type="noConversion"/>
  <conditionalFormatting sqref="R49 R44">
    <cfRule type="expression" dxfId="71" priority="1" stopIfTrue="1">
      <formula>$O$1="CU"</formula>
    </cfRule>
  </conditionalFormatting>
  <conditionalFormatting sqref="E7 E9 E11 E13 E15 E17 E19">
    <cfRule type="cellIs" dxfId="70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8" sqref="B8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9" customWidth="1"/>
    <col min="5" max="5" width="10.6640625" style="306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Csapat 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7" t="str">
        <f>Altalanos!$B$8</f>
        <v>F14</v>
      </c>
      <c r="D2" s="99"/>
      <c r="E2" s="159" t="s">
        <v>32</v>
      </c>
      <c r="F2" s="89"/>
      <c r="G2" s="89"/>
      <c r="H2" s="298"/>
      <c r="I2" s="298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91" t="s">
        <v>45</v>
      </c>
      <c r="B3" s="296"/>
      <c r="C3" s="296"/>
      <c r="D3" s="296"/>
      <c r="E3" s="296"/>
      <c r="F3" s="296"/>
      <c r="G3" s="296"/>
      <c r="H3" s="296"/>
      <c r="I3" s="297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8" t="s">
        <v>28</v>
      </c>
      <c r="I4" s="303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2023.08.24-26.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9"/>
      <c r="J5" s="106"/>
      <c r="K5" s="81"/>
      <c r="L5" s="81"/>
      <c r="M5" s="81"/>
      <c r="N5" s="106"/>
      <c r="O5" s="87"/>
      <c r="P5" s="87"/>
      <c r="Q5" s="317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9" t="s">
        <v>35</v>
      </c>
      <c r="I6" s="300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135</v>
      </c>
      <c r="C7" s="90"/>
      <c r="D7" s="91"/>
      <c r="E7" s="162"/>
      <c r="F7" s="292"/>
      <c r="G7" s="293"/>
      <c r="H7" s="91"/>
      <c r="I7" s="91"/>
      <c r="J7" s="144"/>
      <c r="K7" s="142"/>
      <c r="L7" s="146"/>
      <c r="M7" s="142"/>
      <c r="N7" s="137"/>
      <c r="O7" s="324">
        <v>13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148</v>
      </c>
      <c r="C8" s="90"/>
      <c r="D8" s="91"/>
      <c r="E8" s="162"/>
      <c r="F8" s="294"/>
      <c r="G8" s="295"/>
      <c r="H8" s="91"/>
      <c r="I8" s="91"/>
      <c r="J8" s="144"/>
      <c r="K8" s="142"/>
      <c r="L8" s="146"/>
      <c r="M8" s="142"/>
      <c r="N8" s="137"/>
      <c r="O8" s="91">
        <v>39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136</v>
      </c>
      <c r="C9" s="90"/>
      <c r="D9" s="91"/>
      <c r="E9" s="162"/>
      <c r="F9" s="294"/>
      <c r="G9" s="295"/>
      <c r="H9" s="91"/>
      <c r="I9" s="91"/>
      <c r="J9" s="144"/>
      <c r="K9" s="142"/>
      <c r="L9" s="146"/>
      <c r="M9" s="142"/>
      <c r="N9" s="137"/>
      <c r="O9" s="91">
        <v>63</v>
      </c>
      <c r="P9" s="305"/>
      <c r="Q9" s="167"/>
    </row>
    <row r="10" spans="1:17" s="11" customFormat="1" ht="18.899999999999999" customHeight="1" x14ac:dyDescent="0.25">
      <c r="A10" s="147">
        <v>4</v>
      </c>
      <c r="B10" s="90" t="s">
        <v>132</v>
      </c>
      <c r="C10" s="90"/>
      <c r="D10" s="91"/>
      <c r="E10" s="162"/>
      <c r="F10" s="294"/>
      <c r="G10" s="295"/>
      <c r="H10" s="91"/>
      <c r="I10" s="91"/>
      <c r="J10" s="144"/>
      <c r="K10" s="142"/>
      <c r="L10" s="146"/>
      <c r="M10" s="142"/>
      <c r="N10" s="137"/>
      <c r="O10" s="91">
        <v>74</v>
      </c>
      <c r="P10" s="304"/>
      <c r="Q10" s="301"/>
    </row>
    <row r="11" spans="1:17" s="11" customFormat="1" ht="18.899999999999999" customHeight="1" x14ac:dyDescent="0.25">
      <c r="A11" s="147">
        <v>5</v>
      </c>
      <c r="B11" s="90" t="s">
        <v>129</v>
      </c>
      <c r="C11" s="90"/>
      <c r="D11" s="91"/>
      <c r="E11" s="162"/>
      <c r="F11" s="294"/>
      <c r="G11" s="295"/>
      <c r="H11" s="91"/>
      <c r="I11" s="91"/>
      <c r="J11" s="144"/>
      <c r="K11" s="142"/>
      <c r="L11" s="146"/>
      <c r="M11" s="142"/>
      <c r="N11" s="137"/>
      <c r="O11" s="91">
        <v>90</v>
      </c>
      <c r="P11" s="304"/>
      <c r="Q11" s="301"/>
    </row>
    <row r="12" spans="1:17" s="11" customFormat="1" ht="18.899999999999999" customHeight="1" x14ac:dyDescent="0.25">
      <c r="A12" s="147">
        <v>6</v>
      </c>
      <c r="B12" s="90" t="s">
        <v>137</v>
      </c>
      <c r="C12" s="90"/>
      <c r="D12" s="91"/>
      <c r="E12" s="162"/>
      <c r="F12" s="294"/>
      <c r="G12" s="295"/>
      <c r="H12" s="91"/>
      <c r="I12" s="91"/>
      <c r="J12" s="144"/>
      <c r="K12" s="142"/>
      <c r="L12" s="146"/>
      <c r="M12" s="142"/>
      <c r="N12" s="137"/>
      <c r="O12" s="91">
        <v>91</v>
      </c>
      <c r="P12" s="304"/>
      <c r="Q12" s="301"/>
    </row>
    <row r="13" spans="1:17" s="11" customFormat="1" ht="18.899999999999999" customHeight="1" x14ac:dyDescent="0.25">
      <c r="A13" s="147">
        <v>7</v>
      </c>
      <c r="B13" s="90" t="s">
        <v>138</v>
      </c>
      <c r="C13" s="90"/>
      <c r="D13" s="91"/>
      <c r="E13" s="162"/>
      <c r="F13" s="294"/>
      <c r="G13" s="295"/>
      <c r="H13" s="91"/>
      <c r="I13" s="91"/>
      <c r="J13" s="144"/>
      <c r="K13" s="142"/>
      <c r="L13" s="146"/>
      <c r="M13" s="142"/>
      <c r="N13" s="137"/>
      <c r="O13" s="91">
        <v>107</v>
      </c>
      <c r="P13" s="304"/>
      <c r="Q13" s="301"/>
    </row>
    <row r="14" spans="1:17" s="11" customFormat="1" ht="18.899999999999999" customHeight="1" x14ac:dyDescent="0.25">
      <c r="A14" s="147">
        <v>8</v>
      </c>
      <c r="B14" s="90" t="s">
        <v>139</v>
      </c>
      <c r="C14" s="90"/>
      <c r="D14" s="91"/>
      <c r="E14" s="162"/>
      <c r="F14" s="294"/>
      <c r="G14" s="295"/>
      <c r="H14" s="91"/>
      <c r="I14" s="91"/>
      <c r="J14" s="144"/>
      <c r="K14" s="142"/>
      <c r="L14" s="146"/>
      <c r="M14" s="142"/>
      <c r="N14" s="137"/>
      <c r="O14" s="91">
        <v>171</v>
      </c>
      <c r="P14" s="304"/>
      <c r="Q14" s="301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23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25"/>
      <c r="F28" s="310"/>
      <c r="G28" s="311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26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7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2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2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2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2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2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2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2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2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2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2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2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2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2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2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2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2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2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2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2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2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2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2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2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2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2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2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2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2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2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2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2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2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2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2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2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2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2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2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2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2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2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2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2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2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2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2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2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2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2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2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2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2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2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2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2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2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2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2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2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2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2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2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2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2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2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2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2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2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2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2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2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2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2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2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2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2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2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2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2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2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2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2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2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2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2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2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2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2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2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2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2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2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2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2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2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2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2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2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2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2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2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2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2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2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2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2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2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2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2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2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2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2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2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2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2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2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2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2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2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69" priority="16" stopIfTrue="1">
      <formula>AND(ROUNDDOWN(($A$4-E7)/365.25,0)&lt;=13,G7&lt;&gt;"OK")</formula>
    </cfRule>
    <cfRule type="expression" dxfId="68" priority="17" stopIfTrue="1">
      <formula>AND(ROUNDDOWN(($A$4-E7)/365.25,0)&lt;=14,G7&lt;&gt;"OK")</formula>
    </cfRule>
    <cfRule type="expression" dxfId="67" priority="18" stopIfTrue="1">
      <formula>AND(ROUNDDOWN(($A$4-E7)/365.25,0)&lt;=17,G7&lt;&gt;"OK")</formula>
    </cfRule>
  </conditionalFormatting>
  <conditionalFormatting sqref="J7:J156">
    <cfRule type="cellIs" dxfId="66" priority="15" stopIfTrue="1" operator="equal">
      <formula>"Z"</formula>
    </cfRule>
  </conditionalFormatting>
  <conditionalFormatting sqref="A7:D156">
    <cfRule type="expression" dxfId="65" priority="14" stopIfTrue="1">
      <formula>$Q7&gt;=1</formula>
    </cfRule>
  </conditionalFormatting>
  <conditionalFormatting sqref="E7:E14">
    <cfRule type="expression" dxfId="64" priority="11" stopIfTrue="1">
      <formula>AND(ROUNDDOWN(($A$4-E7)/365.25,0)&lt;=13,G7&lt;&gt;"OK")</formula>
    </cfRule>
    <cfRule type="expression" dxfId="63" priority="12" stopIfTrue="1">
      <formula>AND(ROUNDDOWN(($A$4-E7)/365.25,0)&lt;=14,G7&lt;&gt;"OK")</formula>
    </cfRule>
    <cfRule type="expression" dxfId="62" priority="13" stopIfTrue="1">
      <formula>AND(ROUNDDOWN(($A$4-E7)/365.25,0)&lt;=17,G7&lt;&gt;"OK")</formula>
    </cfRule>
  </conditionalFormatting>
  <conditionalFormatting sqref="J7:J14">
    <cfRule type="cellIs" dxfId="61" priority="10" stopIfTrue="1" operator="equal">
      <formula>"Z"</formula>
    </cfRule>
  </conditionalFormatting>
  <conditionalFormatting sqref="B7:D14">
    <cfRule type="expression" dxfId="60" priority="9" stopIfTrue="1">
      <formula>$Q7&gt;=1</formula>
    </cfRule>
  </conditionalFormatting>
  <conditionalFormatting sqref="E7:E14">
    <cfRule type="expression" dxfId="59" priority="6" stopIfTrue="1">
      <formula>AND(ROUNDDOWN(($A$4-E7)/365.25,0)&lt;=13,G7&lt;&gt;"OK")</formula>
    </cfRule>
    <cfRule type="expression" dxfId="58" priority="7" stopIfTrue="1">
      <formula>AND(ROUNDDOWN(($A$4-E7)/365.25,0)&lt;=14,G7&lt;&gt;"OK")</formula>
    </cfRule>
    <cfRule type="expression" dxfId="57" priority="8" stopIfTrue="1">
      <formula>AND(ROUNDDOWN(($A$4-E7)/365.25,0)&lt;=17,G7&lt;&gt;"OK")</formula>
    </cfRule>
  </conditionalFormatting>
  <conditionalFormatting sqref="B7:D14">
    <cfRule type="expression" dxfId="56" priority="5" stopIfTrue="1">
      <formula>$Q7&gt;=1</formula>
    </cfRule>
  </conditionalFormatting>
  <conditionalFormatting sqref="E7:E27 E29:E37">
    <cfRule type="expression" dxfId="55" priority="2" stopIfTrue="1">
      <formula>AND(ROUNDDOWN(($A$4-E7)/365.25,0)&lt;=13,G7&lt;&gt;"OK")</formula>
    </cfRule>
    <cfRule type="expression" dxfId="54" priority="3" stopIfTrue="1">
      <formula>AND(ROUNDDOWN(($A$4-E7)/365.25,0)&lt;=14,G7&lt;&gt;"OK")</formula>
    </cfRule>
    <cfRule type="expression" dxfId="53" priority="4" stopIfTrue="1">
      <formula>AND(ROUNDDOWN(($A$4-E7)/365.25,0)&lt;=17,G7&lt;&gt;"OK")</formula>
    </cfRule>
  </conditionalFormatting>
  <conditionalFormatting sqref="B7:D37">
    <cfRule type="expression" dxfId="5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22</vt:i4>
      </vt:variant>
    </vt:vector>
  </HeadingPairs>
  <TitlesOfParts>
    <vt:vector size="41" baseType="lpstr">
      <vt:lpstr>Altalanos</vt:lpstr>
      <vt:lpstr>Birók</vt:lpstr>
      <vt:lpstr>F12 ELO</vt:lpstr>
      <vt:lpstr>1E3</vt:lpstr>
      <vt:lpstr>1E4</vt:lpstr>
      <vt:lpstr>1E5</vt:lpstr>
      <vt:lpstr>1E6</vt:lpstr>
      <vt:lpstr>F12 csapat</vt:lpstr>
      <vt:lpstr>F14 ELO</vt:lpstr>
      <vt:lpstr>1E3 (2)</vt:lpstr>
      <vt:lpstr>1E4 (2)</vt:lpstr>
      <vt:lpstr>1E5 (2)</vt:lpstr>
      <vt:lpstr>1E6 (2)</vt:lpstr>
      <vt:lpstr>1E7 (2)</vt:lpstr>
      <vt:lpstr>F14 csapat</vt:lpstr>
      <vt:lpstr>F16 ELO</vt:lpstr>
      <vt:lpstr>F 16 csapat</vt:lpstr>
      <vt:lpstr>F18 ELO</vt:lpstr>
      <vt:lpstr>F18 csapat</vt:lpstr>
      <vt:lpstr>'F12 ELO'!Nyomtatási_cím</vt:lpstr>
      <vt:lpstr>'F14 ELO'!Nyomtatási_cím</vt:lpstr>
      <vt:lpstr>'F16 ELO'!Nyomtatási_cím</vt:lpstr>
      <vt:lpstr>'F18 ELO'!Nyomtatási_cím</vt:lpstr>
      <vt:lpstr>'1E3'!Nyomtatási_terület</vt:lpstr>
      <vt:lpstr>'1E3 (2)'!Nyomtatási_terület</vt:lpstr>
      <vt:lpstr>'1E4'!Nyomtatási_terület</vt:lpstr>
      <vt:lpstr>'1E4 (2)'!Nyomtatási_terület</vt:lpstr>
      <vt:lpstr>'1E5'!Nyomtatási_terület</vt:lpstr>
      <vt:lpstr>'1E5 (2)'!Nyomtatási_terület</vt:lpstr>
      <vt:lpstr>'1E6'!Nyomtatási_terület</vt:lpstr>
      <vt:lpstr>'1E6 (2)'!Nyomtatási_terület</vt:lpstr>
      <vt:lpstr>'1E7 (2)'!Nyomtatási_terület</vt:lpstr>
      <vt:lpstr>Birók!Nyomtatási_terület</vt:lpstr>
      <vt:lpstr>'F 16 csapat'!Nyomtatási_terület</vt:lpstr>
      <vt:lpstr>'F12 csapat'!Nyomtatási_terület</vt:lpstr>
      <vt:lpstr>'F12 ELO'!Nyomtatási_terület</vt:lpstr>
      <vt:lpstr>'F14 csapat'!Nyomtatási_terület</vt:lpstr>
      <vt:lpstr>'F14 ELO'!Nyomtatási_terület</vt:lpstr>
      <vt:lpstr>'F16 ELO'!Nyomtatási_terület</vt:lpstr>
      <vt:lpstr>'F18 csapat'!Nyomtatási_terület</vt:lpstr>
      <vt:lpstr>'F18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2016-03-12T10:05:59Z</cp:lastPrinted>
  <dcterms:created xsi:type="dcterms:W3CDTF">1998-01-18T23:10:02Z</dcterms:created>
  <dcterms:modified xsi:type="dcterms:W3CDTF">2023-09-01T18:51:17Z</dcterms:modified>
  <cp:category>Forms</cp:category>
</cp:coreProperties>
</file>