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Vas vármegye - Lipták János\"/>
    </mc:Choice>
  </mc:AlternateContent>
  <xr:revisionPtr revIDLastSave="0" documentId="13_ncr:1_{94A6E68E-3DBF-4717-A4F0-DCAC1B8C077F}" xr6:coauthVersionLast="47" xr6:coauthVersionMax="47" xr10:uidLastSave="{00000000-0000-0000-0000-000000000000}"/>
  <bookViews>
    <workbookView xWindow="-108" yWindow="-108" windowWidth="23256" windowHeight="13176" tabRatio="884" activeTab="2" xr2:uid="{00000000-000D-0000-FFFF-FFFF00000000}"/>
  </bookViews>
  <sheets>
    <sheet name="Altalanos" sheetId="1" r:id="rId1"/>
    <sheet name="Birók" sheetId="2" r:id="rId2"/>
    <sheet name="V-A FIÚ" sheetId="87" r:id="rId3"/>
    <sheet name="V-A LÁNY" sheetId="347" r:id="rId4"/>
    <sheet name="V-B FIÚ" sheetId="348" r:id="rId5"/>
    <sheet name="V-B LÁNY" sheetId="349" r:id="rId6"/>
    <sheet name="VI-A FIÚ" sheetId="350" r:id="rId7"/>
    <sheet name="VI-A LÁNY" sheetId="351" r:id="rId8"/>
    <sheet name="VI-B FIÚ" sheetId="352" r:id="rId9"/>
    <sheet name="VI-B LÁNY" sheetId="353" r:id="rId10"/>
    <sheet name="VII-A FIÚ" sheetId="354" r:id="rId11"/>
    <sheet name="VII-A LÁNY" sheetId="355" r:id="rId12"/>
    <sheet name="VII-B FIÚ" sheetId="356" r:id="rId13"/>
    <sheet name="VII-B LÁNY" sheetId="357" r:id="rId14"/>
    <sheet name="VIII-A FIÚ " sheetId="358" r:id="rId15"/>
    <sheet name="VIII-B LÁNY" sheetId="359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Birók!$A$1:$N$29</definedName>
    <definedName name="_xlnm.Print_Area" localSheetId="2">'V-A FIÚ'!$A$1:$M$41</definedName>
    <definedName name="_xlnm.Print_Area" localSheetId="3">'V-A LÁNY'!$A$1:$R$62</definedName>
    <definedName name="_xlnm.Print_Area" localSheetId="4">'V-B FIÚ'!$A$1:$R$57</definedName>
    <definedName name="_xlnm.Print_Area" localSheetId="5">'V-B LÁNY'!$A$1:$R$62</definedName>
    <definedName name="_xlnm.Print_Area" localSheetId="6">'VI-A FIÚ'!$A$1:$R$62</definedName>
    <definedName name="_xlnm.Print_Area" localSheetId="7">'VI-A LÁNY'!$A$1:$R$62</definedName>
    <definedName name="_xlnm.Print_Area" localSheetId="8">'VI-B FIÚ'!$A$1:$M$47</definedName>
    <definedName name="_xlnm.Print_Area" localSheetId="9">'VI-B LÁNY'!$A$1:$M$49</definedName>
    <definedName name="_xlnm.Print_Area" localSheetId="10">'VII-A FIÚ'!$A$1:$M$41</definedName>
    <definedName name="_xlnm.Print_Area" localSheetId="11">'VII-A LÁNY'!$A$1:$R$62</definedName>
    <definedName name="_xlnm.Print_Area" localSheetId="12">'VII-B FIÚ'!$A$1:$R$62</definedName>
    <definedName name="_xlnm.Print_Area" localSheetId="13">'VII-B LÁNY'!$A$1:$R$62</definedName>
    <definedName name="_xlnm.Print_Area" localSheetId="14">'VIII-A FIÚ '!$A$1:$R$57</definedName>
    <definedName name="_xlnm.Print_Area" localSheetId="15">'VIII-B LÁNY'!$A$1:$R$62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2" i="359" l="1"/>
  <c r="F56" i="359" s="1"/>
  <c r="F55" i="359"/>
  <c r="I21" i="359"/>
  <c r="D21" i="359"/>
  <c r="C21" i="359"/>
  <c r="B21" i="359"/>
  <c r="K20" i="359"/>
  <c r="I19" i="359"/>
  <c r="D19" i="359"/>
  <c r="C19" i="359"/>
  <c r="B19" i="359"/>
  <c r="I17" i="359"/>
  <c r="D17" i="359"/>
  <c r="C17" i="359"/>
  <c r="B17" i="359"/>
  <c r="U16" i="359"/>
  <c r="K16" i="359"/>
  <c r="U15" i="359"/>
  <c r="I15" i="359"/>
  <c r="D15" i="359"/>
  <c r="C15" i="359"/>
  <c r="B15" i="359"/>
  <c r="U14" i="359"/>
  <c r="U13" i="359"/>
  <c r="I13" i="359"/>
  <c r="D13" i="359"/>
  <c r="C13" i="359"/>
  <c r="B13" i="359"/>
  <c r="U12" i="359"/>
  <c r="K12" i="359"/>
  <c r="U11" i="359"/>
  <c r="I11" i="359"/>
  <c r="D11" i="359"/>
  <c r="C11" i="359"/>
  <c r="B11" i="359"/>
  <c r="U10" i="359"/>
  <c r="U9" i="359"/>
  <c r="I9" i="359"/>
  <c r="D9" i="359"/>
  <c r="C9" i="359"/>
  <c r="B9" i="359"/>
  <c r="U8" i="359"/>
  <c r="K8" i="359"/>
  <c r="U7" i="359"/>
  <c r="I7" i="359"/>
  <c r="D7" i="359"/>
  <c r="C7" i="359"/>
  <c r="B7" i="359"/>
  <c r="M6" i="359"/>
  <c r="K6" i="359"/>
  <c r="Y5" i="359"/>
  <c r="AG1" i="359" s="1"/>
  <c r="R4" i="359"/>
  <c r="O62" i="359" s="1"/>
  <c r="G4" i="359"/>
  <c r="A4" i="359"/>
  <c r="Y3" i="359"/>
  <c r="F6" i="359" s="1"/>
  <c r="E2" i="359"/>
  <c r="AH1" i="359"/>
  <c r="AF1" i="359"/>
  <c r="AE1" i="359"/>
  <c r="AD1" i="359"/>
  <c r="AB1" i="359"/>
  <c r="A1" i="359"/>
  <c r="O6" i="359" l="1"/>
  <c r="AC1" i="359"/>
  <c r="R57" i="358"/>
  <c r="F50" i="358" s="1"/>
  <c r="F52" i="358"/>
  <c r="F51" i="358"/>
  <c r="I37" i="358"/>
  <c r="G37" i="358"/>
  <c r="F37" i="358"/>
  <c r="D37" i="358"/>
  <c r="C37" i="358"/>
  <c r="B37" i="358"/>
  <c r="K36" i="358"/>
  <c r="I35" i="358"/>
  <c r="G35" i="358"/>
  <c r="F35" i="358"/>
  <c r="D35" i="358"/>
  <c r="C35" i="358"/>
  <c r="B35" i="358"/>
  <c r="M34" i="358"/>
  <c r="I33" i="358"/>
  <c r="G33" i="358"/>
  <c r="F33" i="358"/>
  <c r="D33" i="358"/>
  <c r="C33" i="358"/>
  <c r="B33" i="358"/>
  <c r="K32" i="358"/>
  <c r="I31" i="358"/>
  <c r="G31" i="358"/>
  <c r="F31" i="358"/>
  <c r="D31" i="358"/>
  <c r="C31" i="358"/>
  <c r="B31" i="358"/>
  <c r="O30" i="358"/>
  <c r="I29" i="358"/>
  <c r="G29" i="358"/>
  <c r="F29" i="358"/>
  <c r="D29" i="358"/>
  <c r="C29" i="358"/>
  <c r="B29" i="358"/>
  <c r="K28" i="358"/>
  <c r="I27" i="358"/>
  <c r="G27" i="358"/>
  <c r="F27" i="358"/>
  <c r="D27" i="358"/>
  <c r="C27" i="358"/>
  <c r="B27" i="358"/>
  <c r="M26" i="358"/>
  <c r="I25" i="358"/>
  <c r="G25" i="358"/>
  <c r="F25" i="358"/>
  <c r="D25" i="358"/>
  <c r="C25" i="358"/>
  <c r="B25" i="358"/>
  <c r="K24" i="358"/>
  <c r="I23" i="358"/>
  <c r="G23" i="358"/>
  <c r="F23" i="358"/>
  <c r="D23" i="358"/>
  <c r="C23" i="358"/>
  <c r="B23" i="358"/>
  <c r="I21" i="358"/>
  <c r="G21" i="358"/>
  <c r="F21" i="358"/>
  <c r="D21" i="358"/>
  <c r="C21" i="358"/>
  <c r="B21" i="358"/>
  <c r="K20" i="358"/>
  <c r="I19" i="358"/>
  <c r="G19" i="358"/>
  <c r="F19" i="358"/>
  <c r="D19" i="358"/>
  <c r="C19" i="358"/>
  <c r="B19" i="358"/>
  <c r="M18" i="358"/>
  <c r="I17" i="358"/>
  <c r="G17" i="358"/>
  <c r="F17" i="358"/>
  <c r="D17" i="358"/>
  <c r="C17" i="358"/>
  <c r="B17" i="358"/>
  <c r="U16" i="358"/>
  <c r="K16" i="358"/>
  <c r="U15" i="358"/>
  <c r="I15" i="358"/>
  <c r="G15" i="358"/>
  <c r="F15" i="358"/>
  <c r="D15" i="358"/>
  <c r="C15" i="358"/>
  <c r="B15" i="358"/>
  <c r="U14" i="358"/>
  <c r="O14" i="358"/>
  <c r="U13" i="358"/>
  <c r="I13" i="358"/>
  <c r="G13" i="358"/>
  <c r="F13" i="358"/>
  <c r="D13" i="358"/>
  <c r="C13" i="358"/>
  <c r="B13" i="358"/>
  <c r="U12" i="358"/>
  <c r="K12" i="358"/>
  <c r="U11" i="358"/>
  <c r="I11" i="358"/>
  <c r="G11" i="358"/>
  <c r="F11" i="358"/>
  <c r="D11" i="358"/>
  <c r="C11" i="358"/>
  <c r="B11" i="358"/>
  <c r="U10" i="358"/>
  <c r="M10" i="358"/>
  <c r="U9" i="358"/>
  <c r="I9" i="358"/>
  <c r="G9" i="358"/>
  <c r="F9" i="358"/>
  <c r="D9" i="358"/>
  <c r="C9" i="358"/>
  <c r="B9" i="358"/>
  <c r="U8" i="358"/>
  <c r="K8" i="358"/>
  <c r="U7" i="358"/>
  <c r="I7" i="358"/>
  <c r="G7" i="358"/>
  <c r="F7" i="358"/>
  <c r="D7" i="358"/>
  <c r="C7" i="358"/>
  <c r="B7" i="358"/>
  <c r="Y5" i="358"/>
  <c r="AE1" i="358" s="1"/>
  <c r="R4" i="358"/>
  <c r="O57" i="358" s="1"/>
  <c r="G4" i="358"/>
  <c r="A4" i="358"/>
  <c r="Y3" i="358"/>
  <c r="M6" i="358" s="1"/>
  <c r="E2" i="358"/>
  <c r="AB1" i="358"/>
  <c r="A1" i="358"/>
  <c r="AF1" i="358" l="1"/>
  <c r="AC1" i="358"/>
  <c r="AG1" i="358"/>
  <c r="F6" i="358"/>
  <c r="Q6" i="358"/>
  <c r="F53" i="358"/>
  <c r="AD1" i="358"/>
  <c r="AH1" i="358"/>
  <c r="K6" i="358"/>
  <c r="O6" i="358"/>
  <c r="R62" i="357"/>
  <c r="F56" i="357"/>
  <c r="F55" i="357"/>
  <c r="I21" i="357"/>
  <c r="G21" i="357"/>
  <c r="D21" i="357"/>
  <c r="C21" i="357"/>
  <c r="B21" i="357"/>
  <c r="I19" i="357"/>
  <c r="G19" i="357"/>
  <c r="D19" i="357"/>
  <c r="C19" i="357"/>
  <c r="B19" i="357"/>
  <c r="I17" i="357"/>
  <c r="G17" i="357"/>
  <c r="D17" i="357"/>
  <c r="C17" i="357"/>
  <c r="B17" i="357"/>
  <c r="U16" i="357"/>
  <c r="U15" i="357"/>
  <c r="I15" i="357"/>
  <c r="G15" i="357"/>
  <c r="D15" i="357"/>
  <c r="C15" i="357"/>
  <c r="B15" i="357"/>
  <c r="U14" i="357"/>
  <c r="U13" i="357"/>
  <c r="I13" i="357"/>
  <c r="G13" i="357"/>
  <c r="D13" i="357"/>
  <c r="C13" i="357"/>
  <c r="B13" i="357"/>
  <c r="U12" i="357"/>
  <c r="U11" i="357"/>
  <c r="I11" i="357"/>
  <c r="G11" i="357"/>
  <c r="D11" i="357"/>
  <c r="C11" i="357"/>
  <c r="B11" i="357"/>
  <c r="U10" i="357"/>
  <c r="U9" i="357"/>
  <c r="I9" i="357"/>
  <c r="G9" i="357"/>
  <c r="D9" i="357"/>
  <c r="C9" i="357"/>
  <c r="B9" i="357"/>
  <c r="U8" i="357"/>
  <c r="U7" i="357"/>
  <c r="I7" i="357"/>
  <c r="G7" i="357"/>
  <c r="D7" i="357"/>
  <c r="C7" i="357"/>
  <c r="B7" i="357"/>
  <c r="M6" i="357"/>
  <c r="Y5" i="357"/>
  <c r="AH1" i="357" s="1"/>
  <c r="R4" i="357"/>
  <c r="O62" i="357" s="1"/>
  <c r="G4" i="357"/>
  <c r="A4" i="357"/>
  <c r="Y3" i="357"/>
  <c r="K6" i="357" s="1"/>
  <c r="E2" i="357"/>
  <c r="AF1" i="357"/>
  <c r="AE1" i="357"/>
  <c r="AB1" i="357"/>
  <c r="A1" i="357"/>
  <c r="AC1" i="357" l="1"/>
  <c r="AG1" i="357"/>
  <c r="F6" i="357"/>
  <c r="O6" i="357"/>
  <c r="AD1" i="357"/>
  <c r="R62" i="356"/>
  <c r="F56" i="356" s="1"/>
  <c r="F55" i="356"/>
  <c r="I21" i="356"/>
  <c r="D21" i="356"/>
  <c r="C21" i="356"/>
  <c r="B21" i="356"/>
  <c r="I19" i="356"/>
  <c r="D19" i="356"/>
  <c r="C19" i="356"/>
  <c r="B19" i="356"/>
  <c r="I17" i="356"/>
  <c r="D17" i="356"/>
  <c r="C17" i="356"/>
  <c r="B17" i="356"/>
  <c r="U16" i="356"/>
  <c r="U15" i="356"/>
  <c r="I15" i="356"/>
  <c r="D15" i="356"/>
  <c r="C15" i="356"/>
  <c r="B15" i="356"/>
  <c r="U14" i="356"/>
  <c r="U13" i="356"/>
  <c r="I13" i="356"/>
  <c r="D13" i="356"/>
  <c r="C13" i="356"/>
  <c r="B13" i="356"/>
  <c r="U12" i="356"/>
  <c r="U11" i="356"/>
  <c r="I11" i="356"/>
  <c r="D11" i="356"/>
  <c r="C11" i="356"/>
  <c r="B11" i="356"/>
  <c r="U10" i="356"/>
  <c r="U9" i="356"/>
  <c r="I9" i="356"/>
  <c r="D9" i="356"/>
  <c r="C9" i="356"/>
  <c r="B9" i="356"/>
  <c r="U8" i="356"/>
  <c r="U7" i="356"/>
  <c r="D7" i="356"/>
  <c r="C7" i="356"/>
  <c r="B7" i="356"/>
  <c r="K6" i="356"/>
  <c r="Y5" i="356"/>
  <c r="AG1" i="356" s="1"/>
  <c r="R4" i="356"/>
  <c r="O62" i="356" s="1"/>
  <c r="G4" i="356"/>
  <c r="A4" i="356"/>
  <c r="Y3" i="356"/>
  <c r="F6" i="356" s="1"/>
  <c r="E2" i="356"/>
  <c r="AH1" i="356"/>
  <c r="AF1" i="356"/>
  <c r="AD1" i="356"/>
  <c r="AB1" i="356"/>
  <c r="A1" i="356"/>
  <c r="AE1" i="356" l="1"/>
  <c r="M6" i="356"/>
  <c r="O6" i="356"/>
  <c r="AC1" i="356"/>
  <c r="R62" i="355"/>
  <c r="F56" i="355" s="1"/>
  <c r="F55" i="355"/>
  <c r="I21" i="355"/>
  <c r="D21" i="355"/>
  <c r="C21" i="355"/>
  <c r="B21" i="355"/>
  <c r="K20" i="355"/>
  <c r="I19" i="355"/>
  <c r="D19" i="355"/>
  <c r="C19" i="355"/>
  <c r="B19" i="355"/>
  <c r="I17" i="355"/>
  <c r="D17" i="355"/>
  <c r="C17" i="355"/>
  <c r="B17" i="355"/>
  <c r="U16" i="355"/>
  <c r="K16" i="355"/>
  <c r="U15" i="355"/>
  <c r="I15" i="355"/>
  <c r="D15" i="355"/>
  <c r="C15" i="355"/>
  <c r="B15" i="355"/>
  <c r="U14" i="355"/>
  <c r="U13" i="355"/>
  <c r="I13" i="355"/>
  <c r="D13" i="355"/>
  <c r="C13" i="355"/>
  <c r="B13" i="355"/>
  <c r="U12" i="355"/>
  <c r="K12" i="355"/>
  <c r="U11" i="355"/>
  <c r="I11" i="355"/>
  <c r="D11" i="355"/>
  <c r="C11" i="355"/>
  <c r="B11" i="355"/>
  <c r="U10" i="355"/>
  <c r="U9" i="355"/>
  <c r="I9" i="355"/>
  <c r="D9" i="355"/>
  <c r="C9" i="355"/>
  <c r="B9" i="355"/>
  <c r="U8" i="355"/>
  <c r="K8" i="355"/>
  <c r="U7" i="355"/>
  <c r="I7" i="355"/>
  <c r="D7" i="355"/>
  <c r="C7" i="355"/>
  <c r="B7" i="355"/>
  <c r="M6" i="355"/>
  <c r="K6" i="355"/>
  <c r="Y5" i="355"/>
  <c r="AG1" i="355" s="1"/>
  <c r="R4" i="355"/>
  <c r="O62" i="355" s="1"/>
  <c r="G4" i="355"/>
  <c r="A4" i="355"/>
  <c r="Y3" i="355"/>
  <c r="F6" i="355" s="1"/>
  <c r="E2" i="355"/>
  <c r="AH1" i="355"/>
  <c r="AF1" i="355"/>
  <c r="AE1" i="355"/>
  <c r="AD1" i="355"/>
  <c r="AB1" i="355"/>
  <c r="A1" i="355"/>
  <c r="O6" i="355" l="1"/>
  <c r="AC1" i="355"/>
  <c r="B22" i="354"/>
  <c r="B21" i="354"/>
  <c r="B20" i="354"/>
  <c r="B19" i="354"/>
  <c r="J18" i="354"/>
  <c r="H18" i="354"/>
  <c r="F18" i="354"/>
  <c r="D18" i="354"/>
  <c r="G13" i="354"/>
  <c r="D13" i="354"/>
  <c r="C13" i="354"/>
  <c r="G11" i="354"/>
  <c r="D11" i="354"/>
  <c r="C11" i="354"/>
  <c r="D9" i="354"/>
  <c r="C9" i="354"/>
  <c r="D7" i="354"/>
  <c r="C7" i="354"/>
  <c r="Y5" i="354"/>
  <c r="AH1" i="354" s="1"/>
  <c r="M4" i="354"/>
  <c r="K41" i="354" s="1"/>
  <c r="E4" i="354"/>
  <c r="A4" i="354"/>
  <c r="Y3" i="354"/>
  <c r="E2" i="354"/>
  <c r="A1" i="354"/>
  <c r="AE1" i="354" l="1"/>
  <c r="AI1" i="354"/>
  <c r="AB1" i="354"/>
  <c r="L7" i="354" s="1"/>
  <c r="AF1" i="354"/>
  <c r="AJ1" i="354"/>
  <c r="AC1" i="354"/>
  <c r="AG1" i="354"/>
  <c r="AK1" i="354"/>
  <c r="L13" i="354"/>
  <c r="AD1" i="354"/>
  <c r="R44" i="353"/>
  <c r="E43" i="353"/>
  <c r="E42" i="353"/>
  <c r="F36" i="353"/>
  <c r="B31" i="353"/>
  <c r="F34" i="353" s="1"/>
  <c r="B30" i="353"/>
  <c r="B29" i="353"/>
  <c r="B28" i="353"/>
  <c r="F38" i="353" s="1"/>
  <c r="J27" i="353"/>
  <c r="H27" i="353"/>
  <c r="F27" i="353"/>
  <c r="D27" i="353"/>
  <c r="B25" i="353"/>
  <c r="C38" i="353" s="1"/>
  <c r="B24" i="353"/>
  <c r="C36" i="353" s="1"/>
  <c r="B23" i="353"/>
  <c r="C34" i="353" s="1"/>
  <c r="H22" i="353"/>
  <c r="F22" i="353"/>
  <c r="D22" i="353"/>
  <c r="G19" i="353"/>
  <c r="D19" i="353"/>
  <c r="C19" i="353"/>
  <c r="L17" i="353"/>
  <c r="G17" i="353"/>
  <c r="D17" i="353"/>
  <c r="C17" i="353"/>
  <c r="G15" i="353"/>
  <c r="D15" i="353"/>
  <c r="C15" i="353"/>
  <c r="L13" i="353"/>
  <c r="G13" i="353"/>
  <c r="D13" i="353"/>
  <c r="C13" i="353"/>
  <c r="L11" i="353"/>
  <c r="G11" i="353"/>
  <c r="D11" i="353"/>
  <c r="C11" i="353"/>
  <c r="G9" i="353"/>
  <c r="D9" i="353"/>
  <c r="C9" i="353"/>
  <c r="G7" i="353"/>
  <c r="D7" i="353"/>
  <c r="C7" i="353"/>
  <c r="Y5" i="353"/>
  <c r="AH1" i="353" s="1"/>
  <c r="L4" i="353"/>
  <c r="K49" i="353" s="1"/>
  <c r="E4" i="353"/>
  <c r="A4" i="353"/>
  <c r="Y3" i="353"/>
  <c r="L19" i="353" s="1"/>
  <c r="E2" i="353"/>
  <c r="AK1" i="353"/>
  <c r="AJ1" i="353"/>
  <c r="AI1" i="353"/>
  <c r="AG1" i="353"/>
  <c r="AF1" i="353"/>
  <c r="AE1" i="353"/>
  <c r="AC1" i="353"/>
  <c r="AB1" i="353"/>
  <c r="A1" i="353"/>
  <c r="L9" i="354" l="1"/>
  <c r="L11" i="354"/>
  <c r="AD1" i="353"/>
  <c r="L7" i="353"/>
  <c r="L9" i="353"/>
  <c r="L15" i="353"/>
  <c r="Q47" i="352"/>
  <c r="E41" i="352"/>
  <c r="E40" i="352"/>
  <c r="F34" i="352"/>
  <c r="C34" i="352"/>
  <c r="B30" i="352"/>
  <c r="F32" i="352" s="1"/>
  <c r="B29" i="352"/>
  <c r="F36" i="352" s="1"/>
  <c r="B28" i="352"/>
  <c r="H27" i="352"/>
  <c r="F27" i="352"/>
  <c r="D27" i="352"/>
  <c r="B25" i="352"/>
  <c r="B24" i="352"/>
  <c r="C36" i="352" s="1"/>
  <c r="B23" i="352"/>
  <c r="C32" i="352" s="1"/>
  <c r="H22" i="352"/>
  <c r="F22" i="352"/>
  <c r="D22" i="352"/>
  <c r="G17" i="352"/>
  <c r="D17" i="352"/>
  <c r="C17" i="352"/>
  <c r="L15" i="352"/>
  <c r="G15" i="352"/>
  <c r="D15" i="352"/>
  <c r="C15" i="352"/>
  <c r="G13" i="352"/>
  <c r="D13" i="352"/>
  <c r="C13" i="352"/>
  <c r="L11" i="352"/>
  <c r="G11" i="352"/>
  <c r="D11" i="352"/>
  <c r="C11" i="352"/>
  <c r="L9" i="352"/>
  <c r="G9" i="352"/>
  <c r="D9" i="352"/>
  <c r="C9" i="352"/>
  <c r="G7" i="352"/>
  <c r="D7" i="352"/>
  <c r="C7" i="352"/>
  <c r="X5" i="352"/>
  <c r="AJ1" i="352" s="1"/>
  <c r="L4" i="352"/>
  <c r="K47" i="352" s="1"/>
  <c r="E4" i="352"/>
  <c r="A4" i="352"/>
  <c r="X3" i="352"/>
  <c r="E2" i="352"/>
  <c r="AH1" i="352"/>
  <c r="AG1" i="352"/>
  <c r="AD1" i="352"/>
  <c r="AC1" i="352"/>
  <c r="A1" i="352"/>
  <c r="AA1" i="352" l="1"/>
  <c r="L17" i="352" s="1"/>
  <c r="AE1" i="352"/>
  <c r="AI1" i="352"/>
  <c r="L13" i="352"/>
  <c r="AB1" i="352"/>
  <c r="AF1" i="352"/>
  <c r="R62" i="351"/>
  <c r="F56" i="351" s="1"/>
  <c r="F55" i="351"/>
  <c r="I21" i="351"/>
  <c r="D21" i="351"/>
  <c r="C21" i="351"/>
  <c r="B21" i="351"/>
  <c r="K20" i="351"/>
  <c r="I19" i="351"/>
  <c r="D19" i="351"/>
  <c r="C19" i="351"/>
  <c r="B19" i="351"/>
  <c r="I17" i="351"/>
  <c r="D17" i="351"/>
  <c r="C17" i="351"/>
  <c r="B17" i="351"/>
  <c r="U16" i="351"/>
  <c r="K16" i="351"/>
  <c r="U15" i="351"/>
  <c r="I15" i="351"/>
  <c r="D15" i="351"/>
  <c r="C15" i="351"/>
  <c r="B15" i="351"/>
  <c r="U14" i="351"/>
  <c r="U13" i="351"/>
  <c r="I13" i="351"/>
  <c r="D13" i="351"/>
  <c r="C13" i="351"/>
  <c r="B13" i="351"/>
  <c r="U12" i="351"/>
  <c r="K12" i="351"/>
  <c r="U11" i="351"/>
  <c r="I11" i="351"/>
  <c r="D11" i="351"/>
  <c r="C11" i="351"/>
  <c r="B11" i="351"/>
  <c r="U10" i="351"/>
  <c r="U9" i="351"/>
  <c r="I9" i="351"/>
  <c r="D9" i="351"/>
  <c r="C9" i="351"/>
  <c r="B9" i="351"/>
  <c r="U8" i="351"/>
  <c r="K8" i="351"/>
  <c r="U7" i="351"/>
  <c r="I7" i="351"/>
  <c r="D7" i="351"/>
  <c r="C7" i="351"/>
  <c r="B7" i="351"/>
  <c r="M6" i="351"/>
  <c r="K6" i="351"/>
  <c r="Y5" i="351"/>
  <c r="AG1" i="351" s="1"/>
  <c r="R4" i="351"/>
  <c r="O62" i="351" s="1"/>
  <c r="G4" i="351"/>
  <c r="A4" i="351"/>
  <c r="Y3" i="351"/>
  <c r="F6" i="351" s="1"/>
  <c r="E2" i="351"/>
  <c r="AH1" i="351"/>
  <c r="AF1" i="351"/>
  <c r="AE1" i="351"/>
  <c r="AD1" i="351"/>
  <c r="AB1" i="351"/>
  <c r="A1" i="351"/>
  <c r="L7" i="352" l="1"/>
  <c r="O6" i="351"/>
  <c r="AC1" i="351"/>
  <c r="R62" i="350"/>
  <c r="F56" i="350" s="1"/>
  <c r="F55" i="350"/>
  <c r="I21" i="350"/>
  <c r="G21" i="350"/>
  <c r="F21" i="350"/>
  <c r="D21" i="350"/>
  <c r="C21" i="350"/>
  <c r="B21" i="350"/>
  <c r="K20" i="350"/>
  <c r="I19" i="350"/>
  <c r="G19" i="350"/>
  <c r="F19" i="350"/>
  <c r="D19" i="350"/>
  <c r="C19" i="350"/>
  <c r="B19" i="350"/>
  <c r="I17" i="350"/>
  <c r="G17" i="350"/>
  <c r="F17" i="350"/>
  <c r="D17" i="350"/>
  <c r="C17" i="350"/>
  <c r="B17" i="350"/>
  <c r="U16" i="350"/>
  <c r="K16" i="350"/>
  <c r="U15" i="350"/>
  <c r="I15" i="350"/>
  <c r="G15" i="350"/>
  <c r="F15" i="350"/>
  <c r="D15" i="350"/>
  <c r="C15" i="350"/>
  <c r="B15" i="350"/>
  <c r="U14" i="350"/>
  <c r="U13" i="350"/>
  <c r="I13" i="350"/>
  <c r="G13" i="350"/>
  <c r="F13" i="350"/>
  <c r="D13" i="350"/>
  <c r="C13" i="350"/>
  <c r="B13" i="350"/>
  <c r="U12" i="350"/>
  <c r="K12" i="350"/>
  <c r="U11" i="350"/>
  <c r="I11" i="350"/>
  <c r="G11" i="350"/>
  <c r="F11" i="350"/>
  <c r="D11" i="350"/>
  <c r="C11" i="350"/>
  <c r="B11" i="350"/>
  <c r="U10" i="350"/>
  <c r="U9" i="350"/>
  <c r="I9" i="350"/>
  <c r="G9" i="350"/>
  <c r="F9" i="350"/>
  <c r="D9" i="350"/>
  <c r="C9" i="350"/>
  <c r="B9" i="350"/>
  <c r="U8" i="350"/>
  <c r="K8" i="350"/>
  <c r="U7" i="350"/>
  <c r="I7" i="350"/>
  <c r="G7" i="350"/>
  <c r="F7" i="350"/>
  <c r="D7" i="350"/>
  <c r="C7" i="350"/>
  <c r="B7" i="350"/>
  <c r="M6" i="350"/>
  <c r="Y5" i="350"/>
  <c r="AG1" i="350" s="1"/>
  <c r="R4" i="350"/>
  <c r="O62" i="350" s="1"/>
  <c r="G4" i="350"/>
  <c r="A4" i="350"/>
  <c r="Y3" i="350"/>
  <c r="K6" i="350" s="1"/>
  <c r="E2" i="350"/>
  <c r="AF1" i="350"/>
  <c r="AE1" i="350"/>
  <c r="AD1" i="350"/>
  <c r="AB1" i="350"/>
  <c r="A1" i="350"/>
  <c r="O6" i="350" l="1"/>
  <c r="AC1" i="350"/>
  <c r="F6" i="350"/>
  <c r="AH1" i="350"/>
  <c r="R62" i="349"/>
  <c r="F56" i="349" s="1"/>
  <c r="F55" i="349"/>
  <c r="I21" i="349"/>
  <c r="G21" i="349"/>
  <c r="D21" i="349"/>
  <c r="C21" i="349"/>
  <c r="B21" i="349"/>
  <c r="I19" i="349"/>
  <c r="G19" i="349"/>
  <c r="D19" i="349"/>
  <c r="C19" i="349"/>
  <c r="B19" i="349"/>
  <c r="I17" i="349"/>
  <c r="G17" i="349"/>
  <c r="D17" i="349"/>
  <c r="C17" i="349"/>
  <c r="B17" i="349"/>
  <c r="U16" i="349"/>
  <c r="U15" i="349"/>
  <c r="I15" i="349"/>
  <c r="G15" i="349"/>
  <c r="D15" i="349"/>
  <c r="C15" i="349"/>
  <c r="B15" i="349"/>
  <c r="U14" i="349"/>
  <c r="U13" i="349"/>
  <c r="I13" i="349"/>
  <c r="G13" i="349"/>
  <c r="D13" i="349"/>
  <c r="C13" i="349"/>
  <c r="B13" i="349"/>
  <c r="U12" i="349"/>
  <c r="U11" i="349"/>
  <c r="I11" i="349"/>
  <c r="G11" i="349"/>
  <c r="D11" i="349"/>
  <c r="C11" i="349"/>
  <c r="B11" i="349"/>
  <c r="U10" i="349"/>
  <c r="U9" i="349"/>
  <c r="I9" i="349"/>
  <c r="G9" i="349"/>
  <c r="D9" i="349"/>
  <c r="C9" i="349"/>
  <c r="B9" i="349"/>
  <c r="U8" i="349"/>
  <c r="U7" i="349"/>
  <c r="I7" i="349"/>
  <c r="G7" i="349"/>
  <c r="D7" i="349"/>
  <c r="C7" i="349"/>
  <c r="B7" i="349"/>
  <c r="M6" i="349"/>
  <c r="Y5" i="349"/>
  <c r="AH1" i="349" s="1"/>
  <c r="R4" i="349"/>
  <c r="O62" i="349" s="1"/>
  <c r="G4" i="349"/>
  <c r="A4" i="349"/>
  <c r="Y3" i="349"/>
  <c r="K6" i="349" s="1"/>
  <c r="E2" i="349"/>
  <c r="AF1" i="349"/>
  <c r="AE1" i="349"/>
  <c r="AB1" i="349"/>
  <c r="A1" i="349"/>
  <c r="O6" i="349" l="1"/>
  <c r="AC1" i="349"/>
  <c r="AG1" i="349"/>
  <c r="F6" i="349"/>
  <c r="AD1" i="349"/>
  <c r="R57" i="348"/>
  <c r="F50" i="348" s="1"/>
  <c r="F52" i="348"/>
  <c r="F51" i="348"/>
  <c r="I37" i="348"/>
  <c r="G37" i="348"/>
  <c r="D37" i="348"/>
  <c r="C37" i="348"/>
  <c r="B37" i="348"/>
  <c r="I35" i="348"/>
  <c r="G35" i="348"/>
  <c r="F35" i="348"/>
  <c r="D35" i="348"/>
  <c r="C35" i="348"/>
  <c r="B35" i="348"/>
  <c r="I33" i="348"/>
  <c r="G33" i="348"/>
  <c r="D33" i="348"/>
  <c r="C33" i="348"/>
  <c r="B33" i="348"/>
  <c r="I31" i="348"/>
  <c r="G31" i="348"/>
  <c r="D31" i="348"/>
  <c r="C31" i="348"/>
  <c r="B31" i="348"/>
  <c r="I29" i="348"/>
  <c r="G29" i="348"/>
  <c r="D29" i="348"/>
  <c r="C29" i="348"/>
  <c r="B29" i="348"/>
  <c r="I27" i="348"/>
  <c r="G27" i="348"/>
  <c r="D27" i="348"/>
  <c r="C27" i="348"/>
  <c r="B27" i="348"/>
  <c r="I25" i="348"/>
  <c r="G25" i="348"/>
  <c r="D25" i="348"/>
  <c r="C25" i="348"/>
  <c r="B25" i="348"/>
  <c r="I23" i="348"/>
  <c r="G23" i="348"/>
  <c r="D23" i="348"/>
  <c r="C23" i="348"/>
  <c r="B23" i="348"/>
  <c r="I21" i="348"/>
  <c r="G21" i="348"/>
  <c r="D21" i="348"/>
  <c r="C21" i="348"/>
  <c r="B21" i="348"/>
  <c r="I19" i="348"/>
  <c r="G19" i="348"/>
  <c r="D19" i="348"/>
  <c r="C19" i="348"/>
  <c r="B19" i="348"/>
  <c r="I17" i="348"/>
  <c r="G17" i="348"/>
  <c r="D17" i="348"/>
  <c r="C17" i="348"/>
  <c r="B17" i="348"/>
  <c r="U16" i="348"/>
  <c r="U15" i="348"/>
  <c r="I15" i="348"/>
  <c r="G15" i="348"/>
  <c r="D15" i="348"/>
  <c r="C15" i="348"/>
  <c r="B15" i="348"/>
  <c r="U14" i="348"/>
  <c r="U13" i="348"/>
  <c r="I13" i="348"/>
  <c r="G13" i="348"/>
  <c r="D13" i="348"/>
  <c r="C13" i="348"/>
  <c r="B13" i="348"/>
  <c r="U12" i="348"/>
  <c r="U11" i="348"/>
  <c r="I11" i="348"/>
  <c r="G11" i="348"/>
  <c r="D11" i="348"/>
  <c r="C11" i="348"/>
  <c r="B11" i="348"/>
  <c r="U10" i="348"/>
  <c r="U9" i="348"/>
  <c r="I9" i="348"/>
  <c r="G9" i="348"/>
  <c r="F9" i="348"/>
  <c r="D9" i="348"/>
  <c r="C9" i="348"/>
  <c r="B9" i="348"/>
  <c r="U8" i="348"/>
  <c r="U7" i="348"/>
  <c r="I7" i="348"/>
  <c r="G7" i="348"/>
  <c r="D7" i="348"/>
  <c r="C7" i="348"/>
  <c r="B7" i="348"/>
  <c r="Y5" i="348"/>
  <c r="AE1" i="348" s="1"/>
  <c r="R4" i="348"/>
  <c r="O57" i="348" s="1"/>
  <c r="G4" i="348"/>
  <c r="A4" i="348"/>
  <c r="Y3" i="348"/>
  <c r="M6" i="348" s="1"/>
  <c r="E2" i="348"/>
  <c r="A1" i="348"/>
  <c r="AB1" i="348" l="1"/>
  <c r="AF1" i="348"/>
  <c r="O6" i="348"/>
  <c r="AC1" i="348"/>
  <c r="AG1" i="348"/>
  <c r="F6" i="348"/>
  <c r="Q6" i="348"/>
  <c r="F53" i="348"/>
  <c r="AD1" i="348"/>
  <c r="AH1" i="348"/>
  <c r="K6" i="348"/>
  <c r="R62" i="347"/>
  <c r="F56" i="347" s="1"/>
  <c r="F55" i="347"/>
  <c r="I21" i="347"/>
  <c r="D21" i="347"/>
  <c r="C21" i="347"/>
  <c r="B21" i="347"/>
  <c r="K20" i="347"/>
  <c r="I19" i="347"/>
  <c r="D19" i="347"/>
  <c r="C19" i="347"/>
  <c r="B19" i="347"/>
  <c r="I17" i="347"/>
  <c r="D17" i="347"/>
  <c r="C17" i="347"/>
  <c r="B17" i="347"/>
  <c r="U16" i="347"/>
  <c r="K16" i="347"/>
  <c r="U15" i="347"/>
  <c r="I15" i="347"/>
  <c r="D15" i="347"/>
  <c r="C15" i="347"/>
  <c r="B15" i="347"/>
  <c r="U14" i="347"/>
  <c r="U13" i="347"/>
  <c r="I13" i="347"/>
  <c r="D13" i="347"/>
  <c r="C13" i="347"/>
  <c r="B13" i="347"/>
  <c r="U12" i="347"/>
  <c r="K12" i="347"/>
  <c r="U11" i="347"/>
  <c r="I11" i="347"/>
  <c r="D11" i="347"/>
  <c r="C11" i="347"/>
  <c r="B11" i="347"/>
  <c r="U10" i="347"/>
  <c r="U9" i="347"/>
  <c r="I9" i="347"/>
  <c r="D9" i="347"/>
  <c r="C9" i="347"/>
  <c r="B9" i="347"/>
  <c r="U8" i="347"/>
  <c r="K8" i="347"/>
  <c r="U7" i="347"/>
  <c r="I7" i="347"/>
  <c r="D7" i="347"/>
  <c r="C7" i="347"/>
  <c r="B7" i="347"/>
  <c r="M6" i="347"/>
  <c r="K6" i="347"/>
  <c r="Y5" i="347"/>
  <c r="AG1" i="347" s="1"/>
  <c r="R4" i="347"/>
  <c r="O62" i="347" s="1"/>
  <c r="G4" i="347"/>
  <c r="A4" i="347"/>
  <c r="Y3" i="347"/>
  <c r="F6" i="347" s="1"/>
  <c r="E2" i="347"/>
  <c r="AH1" i="347"/>
  <c r="AF1" i="347"/>
  <c r="AE1" i="347"/>
  <c r="AD1" i="347"/>
  <c r="AB1" i="347"/>
  <c r="A1" i="347"/>
  <c r="O6" i="347" l="1"/>
  <c r="AC1" i="347"/>
  <c r="P22" i="2"/>
  <c r="P23" i="2"/>
  <c r="P24" i="2"/>
  <c r="P25" i="2"/>
  <c r="P26" i="2"/>
  <c r="P27" i="2"/>
  <c r="P28" i="2"/>
  <c r="P29" i="2"/>
  <c r="L15" i="87"/>
  <c r="L13" i="87"/>
  <c r="L11" i="87"/>
  <c r="L9" i="87"/>
  <c r="L7" i="87"/>
  <c r="Y5" i="87"/>
  <c r="AF1" i="87" s="1"/>
  <c r="Y3" i="87"/>
  <c r="B23" i="87"/>
  <c r="G15" i="87"/>
  <c r="D15" i="87"/>
  <c r="C15" i="87"/>
  <c r="L4" i="87"/>
  <c r="K41" i="87" s="1"/>
  <c r="B22" i="87"/>
  <c r="B21" i="87"/>
  <c r="H18" i="87"/>
  <c r="D18" i="87"/>
  <c r="B19" i="87"/>
  <c r="G13" i="87"/>
  <c r="D13" i="87"/>
  <c r="C13" i="87"/>
  <c r="D11" i="87"/>
  <c r="C11" i="87"/>
  <c r="D9" i="87"/>
  <c r="C9" i="87"/>
  <c r="D7" i="87"/>
  <c r="C7" i="87"/>
  <c r="E4" i="87"/>
  <c r="A4" i="87"/>
  <c r="E2" i="87"/>
  <c r="A1" i="87"/>
  <c r="B5" i="2"/>
  <c r="A5" i="2"/>
  <c r="A1" i="2"/>
  <c r="B20" i="87"/>
  <c r="F18" i="87"/>
  <c r="L18" i="87"/>
  <c r="AH1" i="87"/>
  <c r="AD1" i="87"/>
  <c r="AK1" i="87"/>
  <c r="AG1" i="87"/>
  <c r="AC1" i="87"/>
  <c r="AI1" i="87"/>
  <c r="AE1" i="87"/>
  <c r="AB1" i="87" l="1"/>
  <c r="AJ1" i="87"/>
  <c r="J18" i="8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282FBF0F-9E0E-4DDF-A7DC-00AF423433FC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4C033150-A047-49F1-AF56-26EE380A6E0E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37A20F73-16AD-444E-9AD3-90B48522602F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E8CE033B-89B8-42FA-B7C2-DB065D25353F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CE8FEA43-3BE9-402E-ADE2-FD8385E7A4D5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3D337910-0265-413B-A1B3-9A3E863F0D01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FA94412-0011-4B7E-BD8C-F0A5BE1AC22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97ECEBC-EC9A-4B36-87BF-848476DE634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FF9972CA-FB12-4AB5-8466-C0A989545C83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E6D4B54F-6092-4142-B057-7C3BF5E197FA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<sst xmlns="http://schemas.openxmlformats.org/spreadsheetml/2006/main" count="1343" uniqueCount="264">
  <si>
    <t>Umpire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</si>
  <si>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</si>
  <si>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</si>
  <si>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</si>
  <si>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</si>
  <si>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</si>
  <si>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</si>
  <si>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</si>
  <si>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</si>
  <si>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</si>
  <si>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</si>
  <si>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</si>
  <si>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</si>
  <si>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</si>
  <si>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</si>
  <si>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</si>
  <si>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</si>
  <si>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</si>
  <si>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</si>
  <si>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</si>
  <si>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</si>
  <si>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</si>
  <si>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</si>
  <si>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</si>
  <si>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</si>
  <si>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</si>
  <si>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</si>
  <si>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</si>
  <si>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Versenybíró aláírása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</si>
  <si>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</si>
  <si>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</si>
  <si>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</si>
  <si>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</si>
  <si>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</si>
  <si>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</si>
  <si>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</si>
  <si>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</si>
  <si>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</si>
  <si>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</si>
  <si>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</si>
  <si>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</si>
  <si>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</si>
  <si>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</si>
  <si>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</si>
  <si>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</si>
  <si>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</si>
  <si>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</si>
  <si>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</si>
  <si>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</si>
  <si>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</si>
  <si>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</si>
  <si>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</si>
  <si>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</si>
  <si>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</si>
  <si>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</si>
  <si>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</si>
  <si>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</si>
  <si>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</si>
  <si>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</si>
  <si>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</si>
  <si>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</si>
  <si>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</si>
  <si>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</si>
  <si>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</si>
  <si>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</si>
  <si>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</si>
  <si>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</si>
  <si>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</si>
  <si>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</si>
  <si>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</si>
  <si>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</si>
  <si>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</si>
  <si>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</si>
  <si>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</si>
  <si>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</si>
  <si>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</si>
  <si>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</si>
  <si>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</si>
  <si>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</si>
  <si>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</si>
  <si>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</si>
  <si>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</si>
  <si>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</si>
  <si>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</si>
  <si>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</si>
  <si>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</si>
  <si>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</si>
  <si>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</si>
  <si>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</si>
  <si>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</si>
  <si>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</si>
  <si>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</si>
  <si>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</si>
  <si>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</si>
  <si>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</si>
  <si>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</si>
  <si>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</si>
  <si>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</si>
  <si>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</si>
  <si>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</si>
  <si>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</si>
  <si>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E - F</t>
  </si>
  <si>
    <t>F - D</t>
  </si>
  <si>
    <t>D - G</t>
  </si>
  <si>
    <t>G - E</t>
  </si>
  <si>
    <t>F - E</t>
  </si>
  <si>
    <t>OB</t>
  </si>
  <si>
    <t>Varga-Karádi Benjámin</t>
  </si>
  <si>
    <t>Kopácsi Martin</t>
  </si>
  <si>
    <t>Gróf Zétény</t>
  </si>
  <si>
    <t>Neuvirth Dávid</t>
  </si>
  <si>
    <t>Simon Ákos</t>
  </si>
  <si>
    <t>ELTE Bolyai János Gyakorló Általános Iskola és Gimnázium</t>
  </si>
  <si>
    <t>3/5 4/2 5/10</t>
  </si>
  <si>
    <t>4/0 4/0</t>
  </si>
  <si>
    <t>4/1 4/0</t>
  </si>
  <si>
    <t>0/4 0/4</t>
  </si>
  <si>
    <t>4/1 4/1</t>
  </si>
  <si>
    <t xml:space="preserve">Zétény feladta </t>
  </si>
  <si>
    <t>1/4 4/5</t>
  </si>
  <si>
    <t>0/4 1/4</t>
  </si>
  <si>
    <t>1/4 0/4</t>
  </si>
  <si>
    <t>1/4 1/4</t>
  </si>
  <si>
    <t>Zétény feladta</t>
  </si>
  <si>
    <t>4/1 5/4</t>
  </si>
  <si>
    <t>Maitz Johanna Mária</t>
  </si>
  <si>
    <t>Boldog Brenner János Általános Iskola és Gimnázium</t>
  </si>
  <si>
    <t xml:space="preserve">Borbély Liza </t>
  </si>
  <si>
    <t>4/0 4/1</t>
  </si>
  <si>
    <t>Borbély Liza</t>
  </si>
  <si>
    <t>Szombathelyi Zrínyi Ilona Általános Iskola</t>
  </si>
  <si>
    <t>Szabó Péter Richárd</t>
  </si>
  <si>
    <t>Oladi Általános Iskola</t>
  </si>
  <si>
    <t>Szabó P</t>
  </si>
  <si>
    <t>Jn</t>
  </si>
  <si>
    <t>Barta Noel</t>
  </si>
  <si>
    <t>Reményik Sándor Evangélikus Óvoda, Általános Iskola és Alapfokú Művészeti Iskola</t>
  </si>
  <si>
    <t>4/0 4/2</t>
  </si>
  <si>
    <t>Barta N</t>
  </si>
  <si>
    <t>Pergel Bence</t>
  </si>
  <si>
    <t>Varga Márk</t>
  </si>
  <si>
    <t>0/4 4/2 10/5</t>
  </si>
  <si>
    <t>Rácz A</t>
  </si>
  <si>
    <t>Rácz Attila</t>
  </si>
  <si>
    <t>Szombathelyi Reguly Antal Nyelvoktató Nemzetiségi Általános Iskola</t>
  </si>
  <si>
    <t>JN</t>
  </si>
  <si>
    <t>Aszódi Márk</t>
  </si>
  <si>
    <t>Gothard Jenő Általános Iskola</t>
  </si>
  <si>
    <t>4/2 4/1</t>
  </si>
  <si>
    <t>Kiss B</t>
  </si>
  <si>
    <t>Kiss Benedek</t>
  </si>
  <si>
    <t>0/4 5/4 10/5</t>
  </si>
  <si>
    <t>Hérincs</t>
  </si>
  <si>
    <t>Szabó Balázs Benedek</t>
  </si>
  <si>
    <t>Szabó B</t>
  </si>
  <si>
    <t>Derdák Dimitri</t>
  </si>
  <si>
    <t>Hérincs Bence</t>
  </si>
  <si>
    <t>Hérincs B</t>
  </si>
  <si>
    <t>Szalai Mátyás</t>
  </si>
  <si>
    <t>Német Ádám</t>
  </si>
  <si>
    <t>Fogarasi-Horváth M</t>
  </si>
  <si>
    <t>Fogarasi- Horváth Márk</t>
  </si>
  <si>
    <t>Árpád-házi Szent Margit Óvoda, Általános Iskola, Gimnázium és Kollégium</t>
  </si>
  <si>
    <t>Szalay K</t>
  </si>
  <si>
    <t>Szalay Kolos</t>
  </si>
  <si>
    <t>jn</t>
  </si>
  <si>
    <t>Szabó Jázmin</t>
  </si>
  <si>
    <t>Babos A</t>
  </si>
  <si>
    <t>Babos Anna</t>
  </si>
  <si>
    <t>Gerencsér Míra Mária</t>
  </si>
  <si>
    <t>Gerencsér M</t>
  </si>
  <si>
    <t>Németh Zorka</t>
  </si>
  <si>
    <t>4/1 5/3</t>
  </si>
  <si>
    <t>Kelemen Kata</t>
  </si>
  <si>
    <t>Kelemen K</t>
  </si>
  <si>
    <t>Kondics Flóra</t>
  </si>
  <si>
    <t>Orosz A</t>
  </si>
  <si>
    <t>Varga Flóra</t>
  </si>
  <si>
    <t>5/4 4/1</t>
  </si>
  <si>
    <t>Orosz Anna</t>
  </si>
  <si>
    <t>Jászberényi Ádám</t>
  </si>
  <si>
    <t>Nagy Lajos Gimn.</t>
  </si>
  <si>
    <t>Jászberényi</t>
  </si>
  <si>
    <t>4/2 4/5 10/5</t>
  </si>
  <si>
    <t>Kerecsényi Gábor</t>
  </si>
  <si>
    <t>Premontrei</t>
  </si>
  <si>
    <t>Balázsfalvi Noémi</t>
  </si>
  <si>
    <t>Kanizsai Dorottya</t>
  </si>
  <si>
    <t>Rácz István</t>
  </si>
  <si>
    <t>Rőthy-Gruber Benedek</t>
  </si>
  <si>
    <t>Takács Zalán</t>
  </si>
  <si>
    <t>Döbrönte Márton</t>
  </si>
  <si>
    <t>Gellisz Noel</t>
  </si>
  <si>
    <t>Borbély Loránt</t>
  </si>
  <si>
    <t>4/1 4/2</t>
  </si>
  <si>
    <t>1/4 2/4</t>
  </si>
  <si>
    <t>1/4 3/5</t>
  </si>
  <si>
    <t>2/4 2/4</t>
  </si>
  <si>
    <t>4/2 4/2</t>
  </si>
  <si>
    <t>4/5 0/4</t>
  </si>
  <si>
    <t>x</t>
  </si>
  <si>
    <t>Gérnyi Zoé</t>
  </si>
  <si>
    <t>Nagy Lajos Gimn</t>
  </si>
  <si>
    <t>Jászberényi Tamara</t>
  </si>
  <si>
    <t>ELTE Bolyai</t>
  </si>
  <si>
    <t>Puskás Dóra</t>
  </si>
  <si>
    <t>Májerhoffer Kamilla</t>
  </si>
  <si>
    <t>Czóbel Diána</t>
  </si>
  <si>
    <t>Tavasz Lola</t>
  </si>
  <si>
    <t>Vas Vármegyei SC Kereskedelmi</t>
  </si>
  <si>
    <t>Bariska Fruzsina</t>
  </si>
  <si>
    <t>Árpádházi Szent Margit</t>
  </si>
  <si>
    <t>4/5 1/4</t>
  </si>
  <si>
    <t>5/4 4/5 10/5</t>
  </si>
  <si>
    <t>5/3 4/1</t>
  </si>
  <si>
    <t>4/5 5/4 5/10</t>
  </si>
  <si>
    <t>Kunecz Kornél Ádám</t>
  </si>
  <si>
    <t>Török Bence</t>
  </si>
  <si>
    <t>Vas Vármegyei SZC Gépipari és Informatikai Technikum</t>
  </si>
  <si>
    <t>Horváth Flórián</t>
  </si>
  <si>
    <t>Németh Kristóf</t>
  </si>
  <si>
    <t>1/4 4/1 10/5</t>
  </si>
  <si>
    <t>4/0 5/3</t>
  </si>
  <si>
    <t>4/1 1/4 5/10</t>
  </si>
  <si>
    <t>0/4 3/5</t>
  </si>
  <si>
    <t>Fülöp Meredisz Barbara</t>
  </si>
  <si>
    <t>Varga Marcell</t>
  </si>
  <si>
    <t>Jurisich Miklós Gimnázium és Kollégium</t>
  </si>
  <si>
    <t>Varga M</t>
  </si>
  <si>
    <t>Takács Teó Boldizsár</t>
  </si>
  <si>
    <t>4/2 4/0</t>
  </si>
  <si>
    <t>Péczeli Boldizsár</t>
  </si>
  <si>
    <t>Péczeli B</t>
  </si>
  <si>
    <t>Kovács István Ádám</t>
  </si>
  <si>
    <t>Fogarasi-Horváth Mór</t>
  </si>
  <si>
    <t>2/4 5/4 10/1</t>
  </si>
  <si>
    <t>Fogarasi Horváth M</t>
  </si>
  <si>
    <t>Práznek Patrik</t>
  </si>
  <si>
    <t>Vas Vármegyei SZC Savaria Technikum és Kollégium</t>
  </si>
  <si>
    <t>Karáth G</t>
  </si>
  <si>
    <t>Czóbel Gergely</t>
  </si>
  <si>
    <t>2/4 5/3 10/4</t>
  </si>
  <si>
    <t>Karáth</t>
  </si>
  <si>
    <t>Karáth Gergely</t>
  </si>
  <si>
    <t>Tárnoki Gréta</t>
  </si>
  <si>
    <t>Tárnoki</t>
  </si>
  <si>
    <t>Randwég Mila</t>
  </si>
  <si>
    <t>Jurisich Miklós</t>
  </si>
  <si>
    <t>Andrási Dóra Anna</t>
  </si>
  <si>
    <t xml:space="preserve">Andrási </t>
  </si>
  <si>
    <t>Sodics Aliz</t>
  </si>
  <si>
    <t>Jurisich Miklós Gimn</t>
  </si>
  <si>
    <t>Básthy Júlia</t>
  </si>
  <si>
    <t>3/5 5/4 10/6</t>
  </si>
  <si>
    <t>Básthy</t>
  </si>
  <si>
    <t>Tompa Sára</t>
  </si>
  <si>
    <t>4/2 3/5 10/5</t>
  </si>
  <si>
    <t>Bozsó</t>
  </si>
  <si>
    <t>Tavasz Panna</t>
  </si>
  <si>
    <t>Vas Vármegyei SzC Kerekedelmi</t>
  </si>
  <si>
    <t>Bozsó Dorina Hanna</t>
  </si>
  <si>
    <t>5/4 4/2</t>
  </si>
  <si>
    <t>Markovits Móric</t>
  </si>
  <si>
    <t>Fogarasi Horváth Mór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</si>
</sst>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"/>
      <name val="Arial"/>
      <family val="2"/>
    </font>
    <font>
      <u/>
      <sz val="10"/>
      <name val="Arial"/>
      <family val="2"/>
    </font>
    <font>
      <sz val="11"/>
      <color rgb="FF000000"/>
      <name val="Aptos Narrow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5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19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0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8" fillId="2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0" fontId="17" fillId="2" borderId="0" xfId="2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9" fillId="0" borderId="0" xfId="0" applyNumberFormat="1" applyFont="1"/>
    <xf numFmtId="49" fontId="5" fillId="0" borderId="0" xfId="0" applyNumberFormat="1" applyFont="1" applyAlignment="1">
      <alignment vertical="top"/>
    </xf>
    <xf numFmtId="49" fontId="30" fillId="0" borderId="0" xfId="0" applyNumberFormat="1" applyFont="1" applyAlignment="1">
      <alignment vertical="top"/>
    </xf>
    <xf numFmtId="49" fontId="16" fillId="0" borderId="0" xfId="0" applyNumberFormat="1" applyFont="1"/>
    <xf numFmtId="49" fontId="34" fillId="2" borderId="0" xfId="0" applyNumberFormat="1" applyFont="1" applyFill="1" applyAlignment="1">
      <alignment vertical="center"/>
    </xf>
    <xf numFmtId="49" fontId="17" fillId="0" borderId="6" xfId="2" applyNumberFormat="1" applyFont="1" applyBorder="1" applyAlignment="1" applyProtection="1">
      <alignment vertical="center"/>
      <protection locked="0"/>
    </xf>
    <xf numFmtId="49" fontId="9" fillId="2" borderId="0" xfId="0" applyNumberFormat="1" applyFont="1" applyFill="1" applyAlignment="1">
      <alignment horizontal="right" vertical="center"/>
    </xf>
    <xf numFmtId="0" fontId="29" fillId="2" borderId="20" xfId="0" applyFont="1" applyFill="1" applyBorder="1" applyAlignment="1">
      <alignment vertical="center"/>
    </xf>
    <xf numFmtId="0" fontId="29" fillId="2" borderId="21" xfId="0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38" fillId="0" borderId="0" xfId="0" applyNumberFormat="1" applyFont="1" applyAlignment="1">
      <alignment vertical="center"/>
    </xf>
    <xf numFmtId="0" fontId="9" fillId="2" borderId="23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vertical="center"/>
    </xf>
    <xf numFmtId="49" fontId="29" fillId="2" borderId="25" xfId="0" applyNumberFormat="1" applyFont="1" applyFill="1" applyBorder="1" applyAlignment="1">
      <alignment horizontal="left" vertical="center"/>
    </xf>
    <xf numFmtId="49" fontId="56" fillId="2" borderId="25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9" fillId="2" borderId="23" xfId="0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6" fillId="2" borderId="27" xfId="0" applyFont="1" applyFill="1" applyBorder="1" applyAlignment="1">
      <alignment horizontal="left" vertical="center"/>
    </xf>
    <xf numFmtId="0" fontId="27" fillId="2" borderId="28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4" xfId="0" applyNumberFormat="1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49" fontId="60" fillId="2" borderId="4" xfId="0" applyNumberFormat="1" applyFont="1" applyFill="1" applyBorder="1" applyAlignment="1">
      <alignment vertical="center"/>
    </xf>
    <xf numFmtId="49" fontId="60" fillId="2" borderId="0" xfId="0" applyNumberFormat="1" applyFont="1" applyFill="1" applyAlignment="1">
      <alignment vertical="center"/>
    </xf>
    <xf numFmtId="49" fontId="61" fillId="2" borderId="0" xfId="0" applyNumberFormat="1" applyFont="1" applyFill="1" applyAlignment="1">
      <alignment horizontal="left" vertical="center"/>
    </xf>
    <xf numFmtId="0" fontId="29" fillId="2" borderId="17" xfId="0" applyFont="1" applyFill="1" applyBorder="1" applyAlignment="1">
      <alignment vertical="center"/>
    </xf>
    <xf numFmtId="0" fontId="29" fillId="2" borderId="22" xfId="0" applyFont="1" applyFill="1" applyBorder="1" applyAlignment="1">
      <alignment vertical="center"/>
    </xf>
    <xf numFmtId="0" fontId="60" fillId="2" borderId="0" xfId="0" applyFont="1" applyFill="1"/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5" fillId="6" borderId="0" xfId="0" applyNumberFormat="1" applyFont="1" applyFill="1" applyAlignment="1">
      <alignment vertical="top"/>
    </xf>
    <xf numFmtId="49" fontId="59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1" fillId="6" borderId="0" xfId="0" applyNumberFormat="1" applyFont="1" applyFill="1"/>
    <xf numFmtId="49" fontId="19" fillId="6" borderId="0" xfId="0" applyNumberFormat="1" applyFont="1" applyFill="1"/>
    <xf numFmtId="49" fontId="16" fillId="6" borderId="0" xfId="0" applyNumberFormat="1" applyFont="1" applyFill="1"/>
    <xf numFmtId="14" fontId="17" fillId="6" borderId="6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vertical="center"/>
    </xf>
    <xf numFmtId="49" fontId="39" fillId="6" borderId="6" xfId="0" applyNumberFormat="1" applyFont="1" applyFill="1" applyBorder="1" applyAlignment="1">
      <alignment vertical="center"/>
    </xf>
    <xf numFmtId="49" fontId="17" fillId="6" borderId="6" xfId="2" applyNumberFormat="1" applyFont="1" applyFill="1" applyBorder="1" applyAlignment="1" applyProtection="1">
      <alignment vertical="center"/>
      <protection locked="0"/>
    </xf>
    <xf numFmtId="49" fontId="18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8" fillId="6" borderId="0" xfId="0" applyNumberFormat="1" applyFont="1" applyFill="1" applyAlignment="1">
      <alignment vertical="center"/>
    </xf>
    <xf numFmtId="49" fontId="29" fillId="6" borderId="24" xfId="0" applyNumberFormat="1" applyFont="1" applyFill="1" applyBorder="1" applyAlignment="1">
      <alignment vertical="center"/>
    </xf>
    <xf numFmtId="49" fontId="38" fillId="6" borderId="7" xfId="0" applyNumberFormat="1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49" fontId="9" fillId="6" borderId="19" xfId="0" applyNumberFormat="1" applyFont="1" applyFill="1" applyBorder="1" applyAlignment="1">
      <alignment horizontal="right"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1" fillId="2" borderId="0" xfId="0" applyFont="1" applyFill="1"/>
    <xf numFmtId="49" fontId="23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39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49" fontId="29" fillId="0" borderId="0" xfId="0" applyNumberFormat="1" applyFont="1" applyAlignment="1">
      <alignment horizontal="left" vertical="center"/>
    </xf>
    <xf numFmtId="49" fontId="56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48" fillId="0" borderId="0" xfId="0" applyFont="1" applyAlignment="1">
      <alignment horizontal="right" vertical="center"/>
    </xf>
    <xf numFmtId="49" fontId="55" fillId="2" borderId="25" xfId="0" applyNumberFormat="1" applyFont="1" applyFill="1" applyBorder="1" applyAlignment="1">
      <alignment horizontal="center" vertical="center"/>
    </xf>
    <xf numFmtId="49" fontId="55" fillId="2" borderId="25" xfId="0" applyNumberFormat="1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horizontal="center" vertical="center"/>
    </xf>
    <xf numFmtId="49" fontId="38" fillId="6" borderId="25" xfId="0" applyNumberFormat="1" applyFont="1" applyFill="1" applyBorder="1" applyAlignment="1">
      <alignment vertical="center"/>
    </xf>
    <xf numFmtId="0" fontId="0" fillId="6" borderId="19" xfId="0" applyFill="1" applyBorder="1"/>
    <xf numFmtId="49" fontId="9" fillId="6" borderId="23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26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24" xfId="0" applyNumberFormat="1" applyFont="1" applyFill="1" applyBorder="1" applyAlignment="1">
      <alignment horizontal="center" vertical="center"/>
    </xf>
    <xf numFmtId="49" fontId="9" fillId="6" borderId="19" xfId="0" applyNumberFormat="1" applyFont="1" applyFill="1" applyBorder="1" applyAlignment="1">
      <alignment vertical="center"/>
    </xf>
    <xf numFmtId="49" fontId="35" fillId="6" borderId="23" xfId="0" applyNumberFormat="1" applyFont="1" applyFill="1" applyBorder="1" applyAlignment="1">
      <alignment horizontal="center" vertical="center"/>
    </xf>
    <xf numFmtId="49" fontId="35" fillId="6" borderId="26" xfId="0" applyNumberFormat="1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5" xfId="0" applyFill="1" applyBorder="1"/>
    <xf numFmtId="0" fontId="1" fillId="6" borderId="0" xfId="0" applyFont="1" applyFill="1"/>
    <xf numFmtId="0" fontId="66" fillId="2" borderId="0" xfId="0" applyFont="1" applyFill="1" applyAlignment="1">
      <alignment horizontal="center" shrinkToFit="1"/>
    </xf>
    <xf numFmtId="0" fontId="67" fillId="9" borderId="0" xfId="0" applyFont="1" applyFill="1"/>
    <xf numFmtId="0" fontId="67" fillId="6" borderId="0" xfId="0" applyFont="1" applyFill="1"/>
    <xf numFmtId="0" fontId="64" fillId="6" borderId="7" xfId="0" applyFont="1" applyFill="1" applyBorder="1" applyAlignment="1">
      <alignment horizontal="center" vertical="center" shrinkToFit="1"/>
    </xf>
    <xf numFmtId="0" fontId="64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19" fillId="3" borderId="0" xfId="0" applyNumberFormat="1" applyFont="1" applyFill="1"/>
    <xf numFmtId="0" fontId="0" fillId="3" borderId="0" xfId="0" applyFill="1" applyAlignment="1">
      <alignment horizontal="center"/>
    </xf>
    <xf numFmtId="49" fontId="19" fillId="4" borderId="0" xfId="0" applyNumberFormat="1" applyFont="1" applyFill="1"/>
    <xf numFmtId="0" fontId="0" fillId="4" borderId="0" xfId="0" applyFill="1" applyAlignment="1">
      <alignment horizontal="center"/>
    </xf>
    <xf numFmtId="49" fontId="19" fillId="10" borderId="0" xfId="0" applyNumberFormat="1" applyFont="1" applyFill="1"/>
    <xf numFmtId="0" fontId="0" fillId="10" borderId="0" xfId="0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1" borderId="29" xfId="0" applyFill="1" applyBorder="1" applyAlignment="1">
      <alignment horizontal="center"/>
    </xf>
    <xf numFmtId="49" fontId="18" fillId="4" borderId="5" xfId="0" applyNumberFormat="1" applyFont="1" applyFill="1" applyBorder="1" applyAlignment="1">
      <alignment horizontal="left" vertical="center"/>
    </xf>
    <xf numFmtId="0" fontId="0" fillId="12" borderId="0" xfId="0" applyFill="1"/>
    <xf numFmtId="0" fontId="69" fillId="13" borderId="0" xfId="0" applyFont="1" applyFill="1" applyAlignment="1">
      <alignment horizontal="center" vertical="center"/>
    </xf>
    <xf numFmtId="0" fontId="0" fillId="9" borderId="7" xfId="0" applyFill="1" applyBorder="1" applyAlignment="1">
      <alignment horizontal="center"/>
    </xf>
    <xf numFmtId="0" fontId="70" fillId="6" borderId="7" xfId="0" applyFont="1" applyFill="1" applyBorder="1" applyAlignment="1">
      <alignment horizontal="center"/>
    </xf>
    <xf numFmtId="0" fontId="70" fillId="6" borderId="0" xfId="0" applyFont="1" applyFill="1" applyAlignment="1">
      <alignment horizontal="center"/>
    </xf>
    <xf numFmtId="49" fontId="63" fillId="2" borderId="0" xfId="0" applyNumberFormat="1" applyFont="1" applyFill="1" applyAlignment="1">
      <alignment horizontal="center" vertical="center"/>
    </xf>
    <xf numFmtId="49" fontId="12" fillId="4" borderId="22" xfId="0" applyNumberFormat="1" applyFont="1" applyFill="1" applyBorder="1" applyAlignment="1">
      <alignment vertical="center"/>
    </xf>
    <xf numFmtId="49" fontId="11" fillId="4" borderId="20" xfId="0" applyNumberFormat="1" applyFont="1" applyFill="1" applyBorder="1" applyAlignment="1">
      <alignment vertical="center"/>
    </xf>
    <xf numFmtId="14" fontId="25" fillId="2" borderId="25" xfId="0" applyNumberFormat="1" applyFont="1" applyFill="1" applyBorder="1" applyAlignment="1">
      <alignment horizontal="left" vertical="center" wrapText="1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12" fillId="6" borderId="0" xfId="0" applyNumberFormat="1" applyFont="1" applyFill="1" applyAlignment="1">
      <alignment vertical="top" shrinkToFit="1"/>
    </xf>
    <xf numFmtId="0" fontId="9" fillId="6" borderId="25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0" fillId="14" borderId="5" xfId="0" applyFill="1" applyBorder="1" applyAlignment="1">
      <alignment horizontal="center" vertical="center"/>
    </xf>
    <xf numFmtId="14" fontId="17" fillId="6" borderId="6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9" fillId="6" borderId="0" xfId="0" applyFont="1" applyFill="1" applyAlignment="1">
      <alignment horizontal="left" vertical="center"/>
    </xf>
    <xf numFmtId="0" fontId="64" fillId="6" borderId="7" xfId="0" applyFont="1" applyFill="1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2" fillId="6" borderId="7" xfId="0" applyFont="1" applyFill="1" applyBorder="1" applyAlignment="1">
      <alignment vertical="center" shrinkToFit="1"/>
    </xf>
    <xf numFmtId="49" fontId="12" fillId="6" borderId="0" xfId="3" applyNumberFormat="1" applyFont="1" applyFill="1" applyAlignment="1">
      <alignment vertical="top"/>
    </xf>
    <xf numFmtId="49" fontId="5" fillId="6" borderId="0" xfId="3" applyNumberFormat="1" applyFont="1" applyFill="1" applyAlignment="1">
      <alignment vertical="top"/>
    </xf>
    <xf numFmtId="49" fontId="59" fillId="6" borderId="0" xfId="3" applyNumberFormat="1" applyFont="1" applyFill="1" applyAlignment="1">
      <alignment vertical="top"/>
    </xf>
    <xf numFmtId="49" fontId="30" fillId="6" borderId="0" xfId="3" applyNumberFormat="1" applyFont="1" applyFill="1" applyAlignment="1">
      <alignment vertical="top"/>
    </xf>
    <xf numFmtId="49" fontId="36" fillId="6" borderId="0" xfId="3" applyNumberFormat="1" applyFont="1" applyFill="1" applyAlignment="1">
      <alignment horizontal="center"/>
    </xf>
    <xf numFmtId="49" fontId="36" fillId="6" borderId="0" xfId="3" applyNumberFormat="1" applyFont="1" applyFill="1" applyAlignment="1">
      <alignment horizontal="left"/>
    </xf>
    <xf numFmtId="49" fontId="15" fillId="6" borderId="0" xfId="3" applyNumberFormat="1" applyFont="1" applyFill="1" applyAlignment="1">
      <alignment horizontal="left"/>
    </xf>
    <xf numFmtId="0" fontId="5" fillId="0" borderId="0" xfId="3" applyFont="1" applyAlignment="1">
      <alignment vertical="top"/>
    </xf>
    <xf numFmtId="0" fontId="5" fillId="6" borderId="0" xfId="3" applyFont="1" applyFill="1" applyAlignment="1">
      <alignment vertical="top"/>
    </xf>
    <xf numFmtId="0" fontId="69" fillId="13" borderId="0" xfId="3" applyFont="1" applyFill="1" applyAlignment="1">
      <alignment horizontal="center" vertical="center"/>
    </xf>
    <xf numFmtId="0" fontId="1" fillId="6" borderId="0" xfId="3" applyFont="1" applyFill="1" applyAlignment="1">
      <alignment horizontal="center" vertical="center"/>
    </xf>
    <xf numFmtId="0" fontId="31" fillId="6" borderId="0" xfId="3" applyFont="1" applyFill="1"/>
    <xf numFmtId="49" fontId="14" fillId="6" borderId="0" xfId="3" applyNumberFormat="1" applyFont="1" applyFill="1" applyAlignment="1">
      <alignment horizontal="left"/>
    </xf>
    <xf numFmtId="49" fontId="31" fillId="6" borderId="0" xfId="3" applyNumberFormat="1" applyFont="1" applyFill="1"/>
    <xf numFmtId="49" fontId="1" fillId="6" borderId="0" xfId="3" applyNumberFormat="1" applyFont="1" applyFill="1"/>
    <xf numFmtId="49" fontId="16" fillId="6" borderId="0" xfId="3" applyNumberFormat="1" applyFont="1" applyFill="1"/>
    <xf numFmtId="0" fontId="1" fillId="0" borderId="0" xfId="3" applyFont="1"/>
    <xf numFmtId="0" fontId="1" fillId="6" borderId="0" xfId="3" applyFont="1" applyFill="1"/>
    <xf numFmtId="49" fontId="2" fillId="3" borderId="0" xfId="3" applyNumberFormat="1" applyFill="1"/>
    <xf numFmtId="0" fontId="2" fillId="3" borderId="0" xfId="3" applyFill="1"/>
    <xf numFmtId="0" fontId="2" fillId="3" borderId="0" xfId="3" applyFill="1" applyAlignment="1">
      <alignment horizontal="center"/>
    </xf>
    <xf numFmtId="49" fontId="23" fillId="2" borderId="0" xfId="3" applyNumberFormat="1" applyFont="1" applyFill="1" applyAlignment="1">
      <alignment vertical="center"/>
    </xf>
    <xf numFmtId="49" fontId="34" fillId="2" borderId="0" xfId="3" applyNumberFormat="1" applyFont="1" applyFill="1" applyAlignment="1">
      <alignment vertical="center"/>
    </xf>
    <xf numFmtId="49" fontId="24" fillId="2" borderId="0" xfId="3" applyNumberFormat="1" applyFont="1" applyFill="1" applyAlignment="1">
      <alignment horizontal="right" vertical="center"/>
    </xf>
    <xf numFmtId="0" fontId="10" fillId="0" borderId="0" xfId="3" applyFont="1" applyAlignment="1">
      <alignment vertical="center"/>
    </xf>
    <xf numFmtId="0" fontId="10" fillId="6" borderId="0" xfId="3" applyFont="1" applyFill="1" applyAlignment="1">
      <alignment vertical="center"/>
    </xf>
    <xf numFmtId="14" fontId="17" fillId="6" borderId="6" xfId="3" applyNumberFormat="1" applyFont="1" applyFill="1" applyBorder="1" applyAlignment="1">
      <alignment horizontal="left" vertical="center"/>
    </xf>
    <xf numFmtId="14" fontId="17" fillId="6" borderId="6" xfId="3" applyNumberFormat="1" applyFont="1" applyFill="1" applyBorder="1" applyAlignment="1">
      <alignment horizontal="left" vertical="center"/>
    </xf>
    <xf numFmtId="49" fontId="17" fillId="6" borderId="6" xfId="3" applyNumberFormat="1" applyFont="1" applyFill="1" applyBorder="1" applyAlignment="1">
      <alignment vertical="center"/>
    </xf>
    <xf numFmtId="49" fontId="2" fillId="6" borderId="6" xfId="3" applyNumberFormat="1" applyFill="1" applyBorder="1" applyAlignment="1">
      <alignment vertical="center"/>
    </xf>
    <xf numFmtId="49" fontId="39" fillId="6" borderId="6" xfId="3" applyNumberFormat="1" applyFont="1" applyFill="1" applyBorder="1" applyAlignment="1">
      <alignment vertical="center"/>
    </xf>
    <xf numFmtId="0" fontId="18" fillId="6" borderId="6" xfId="3" applyFont="1" applyFill="1" applyBorder="1" applyAlignment="1">
      <alignment horizontal="left" vertical="center"/>
    </xf>
    <xf numFmtId="49" fontId="18" fillId="6" borderId="6" xfId="3" applyNumberFormat="1" applyFont="1" applyFill="1" applyBorder="1" applyAlignment="1">
      <alignment horizontal="right" vertical="center"/>
    </xf>
    <xf numFmtId="0" fontId="17" fillId="0" borderId="0" xfId="3" applyFont="1" applyAlignment="1">
      <alignment vertical="center"/>
    </xf>
    <xf numFmtId="0" fontId="17" fillId="6" borderId="0" xfId="3" applyFont="1" applyFill="1" applyAlignment="1">
      <alignment vertical="center"/>
    </xf>
    <xf numFmtId="49" fontId="9" fillId="2" borderId="0" xfId="3" applyNumberFormat="1" applyFont="1" applyFill="1" applyAlignment="1">
      <alignment horizontal="right" vertical="center"/>
    </xf>
    <xf numFmtId="49" fontId="9" fillId="2" borderId="0" xfId="3" applyNumberFormat="1" applyFont="1" applyFill="1" applyAlignment="1">
      <alignment horizontal="center" vertical="center"/>
    </xf>
    <xf numFmtId="49" fontId="9" fillId="2" borderId="0" xfId="3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left" vertical="center"/>
    </xf>
    <xf numFmtId="49" fontId="38" fillId="2" borderId="0" xfId="3" applyNumberFormat="1" applyFont="1" applyFill="1" applyAlignment="1">
      <alignment horizontal="center" vertical="center"/>
    </xf>
    <xf numFmtId="49" fontId="38" fillId="2" borderId="0" xfId="3" applyNumberFormat="1" applyFont="1" applyFill="1" applyAlignment="1">
      <alignment vertical="center"/>
    </xf>
    <xf numFmtId="0" fontId="72" fillId="2" borderId="0" xfId="3" applyFont="1" applyFill="1" applyAlignment="1">
      <alignment horizontal="right" vertical="center"/>
    </xf>
    <xf numFmtId="0" fontId="72" fillId="2" borderId="0" xfId="3" applyFont="1" applyFill="1" applyAlignment="1">
      <alignment horizontal="center" vertical="center"/>
    </xf>
    <xf numFmtId="0" fontId="72" fillId="2" borderId="0" xfId="3" applyFont="1" applyFill="1" applyAlignment="1">
      <alignment horizontal="left" vertical="center"/>
    </xf>
    <xf numFmtId="0" fontId="72" fillId="2" borderId="0" xfId="3" applyFont="1" applyFill="1" applyAlignment="1">
      <alignment vertical="center"/>
    </xf>
    <xf numFmtId="0" fontId="73" fillId="2" borderId="0" xfId="3" applyFont="1" applyFill="1" applyAlignment="1">
      <alignment horizontal="center" vertical="center"/>
    </xf>
    <xf numFmtId="0" fontId="73" fillId="2" borderId="0" xfId="3" applyFont="1" applyFill="1" applyAlignment="1">
      <alignment vertical="center"/>
    </xf>
    <xf numFmtId="0" fontId="72" fillId="0" borderId="0" xfId="3" applyFont="1" applyAlignment="1">
      <alignment vertical="center"/>
    </xf>
    <xf numFmtId="0" fontId="72" fillId="6" borderId="0" xfId="3" applyFont="1" applyFill="1" applyAlignment="1">
      <alignment vertical="center"/>
    </xf>
    <xf numFmtId="0" fontId="72" fillId="3" borderId="0" xfId="3" applyFont="1" applyFill="1"/>
    <xf numFmtId="0" fontId="72" fillId="3" borderId="0" xfId="3" applyFont="1" applyFill="1" applyAlignment="1">
      <alignment horizontal="center"/>
    </xf>
    <xf numFmtId="0" fontId="72" fillId="6" borderId="0" xfId="3" applyFont="1" applyFill="1"/>
    <xf numFmtId="49" fontId="40" fillId="2" borderId="0" xfId="3" applyNumberFormat="1" applyFont="1" applyFill="1" applyAlignment="1">
      <alignment horizontal="center" vertical="center"/>
    </xf>
    <xf numFmtId="0" fontId="41" fillId="6" borderId="7" xfId="3" applyFont="1" applyFill="1" applyBorder="1" applyAlignment="1">
      <alignment horizontal="center" vertical="center"/>
    </xf>
    <xf numFmtId="0" fontId="41" fillId="6" borderId="7" xfId="3" applyFont="1" applyFill="1" applyBorder="1" applyAlignment="1">
      <alignment horizontal="center" vertical="center" shrinkToFit="1"/>
    </xf>
    <xf numFmtId="0" fontId="42" fillId="6" borderId="7" xfId="3" applyFont="1" applyFill="1" applyBorder="1" applyAlignment="1">
      <alignment horizontal="center" vertical="center"/>
    </xf>
    <xf numFmtId="0" fontId="40" fillId="6" borderId="7" xfId="3" applyFont="1" applyFill="1" applyBorder="1" applyAlignment="1">
      <alignment vertical="center"/>
    </xf>
    <xf numFmtId="0" fontId="43" fillId="6" borderId="7" xfId="3" applyFont="1" applyFill="1" applyBorder="1" applyAlignment="1">
      <alignment horizontal="center" vertical="center"/>
    </xf>
    <xf numFmtId="0" fontId="43" fillId="6" borderId="0" xfId="3" applyFont="1" applyFill="1" applyAlignment="1">
      <alignment vertical="center"/>
    </xf>
    <xf numFmtId="0" fontId="44" fillId="6" borderId="0" xfId="3" applyFont="1" applyFill="1" applyAlignment="1">
      <alignment vertical="center"/>
    </xf>
    <xf numFmtId="0" fontId="45" fillId="6" borderId="0" xfId="3" applyFont="1" applyFill="1" applyAlignment="1">
      <alignment vertical="center"/>
    </xf>
    <xf numFmtId="49" fontId="44" fillId="6" borderId="0" xfId="3" applyNumberFormat="1" applyFont="1" applyFill="1" applyAlignment="1">
      <alignment vertical="center"/>
    </xf>
    <xf numFmtId="49" fontId="45" fillId="6" borderId="0" xfId="3" applyNumberFormat="1" applyFont="1" applyFill="1" applyAlignment="1">
      <alignment vertical="center"/>
    </xf>
    <xf numFmtId="0" fontId="1" fillId="6" borderId="0" xfId="3" applyFont="1" applyFill="1" applyAlignment="1">
      <alignment vertical="center"/>
    </xf>
    <xf numFmtId="0" fontId="1" fillId="6" borderId="10" xfId="3" applyFont="1" applyFill="1" applyBorder="1" applyAlignment="1">
      <alignment vertical="center"/>
    </xf>
    <xf numFmtId="0" fontId="1" fillId="0" borderId="0" xfId="3" applyFont="1" applyAlignment="1">
      <alignment vertical="center"/>
    </xf>
    <xf numFmtId="49" fontId="44" fillId="2" borderId="0" xfId="3" applyNumberFormat="1" applyFont="1" applyFill="1" applyAlignment="1">
      <alignment horizontal="center" vertical="center"/>
    </xf>
    <xf numFmtId="0" fontId="41" fillId="6" borderId="0" xfId="3" applyFont="1" applyFill="1" applyAlignment="1">
      <alignment horizontal="center" vertical="center"/>
    </xf>
    <xf numFmtId="0" fontId="41" fillId="6" borderId="0" xfId="3" applyFont="1" applyFill="1" applyAlignment="1">
      <alignment horizontal="center" vertical="center" shrinkToFit="1"/>
    </xf>
    <xf numFmtId="0" fontId="44" fillId="6" borderId="0" xfId="3" applyFont="1" applyFill="1" applyAlignment="1">
      <alignment horizontal="center" vertical="center"/>
    </xf>
    <xf numFmtId="0" fontId="46" fillId="6" borderId="0" xfId="3" applyFont="1" applyFill="1" applyAlignment="1">
      <alignment vertical="center"/>
    </xf>
    <xf numFmtId="0" fontId="47" fillId="6" borderId="0" xfId="3" applyFont="1" applyFill="1" applyAlignment="1">
      <alignment vertical="center"/>
    </xf>
    <xf numFmtId="0" fontId="74" fillId="6" borderId="0" xfId="3" applyFont="1" applyFill="1" applyAlignment="1">
      <alignment horizontal="right" vertical="center"/>
    </xf>
    <xf numFmtId="0" fontId="48" fillId="8" borderId="19" xfId="3" applyFont="1" applyFill="1" applyBorder="1" applyAlignment="1">
      <alignment horizontal="right" vertical="center"/>
    </xf>
    <xf numFmtId="0" fontId="43" fillId="6" borderId="7" xfId="3" applyFont="1" applyFill="1" applyBorder="1" applyAlignment="1">
      <alignment vertical="center"/>
    </xf>
    <xf numFmtId="0" fontId="1" fillId="6" borderId="13" xfId="3" applyFont="1" applyFill="1" applyBorder="1" applyAlignment="1">
      <alignment vertical="center"/>
    </xf>
    <xf numFmtId="0" fontId="65" fillId="6" borderId="7" xfId="3" applyFont="1" applyFill="1" applyBorder="1" applyAlignment="1">
      <alignment horizontal="center" vertical="center"/>
    </xf>
    <xf numFmtId="0" fontId="41" fillId="6" borderId="7" xfId="3" applyFont="1" applyFill="1" applyBorder="1" applyAlignment="1">
      <alignment vertical="center"/>
    </xf>
    <xf numFmtId="0" fontId="43" fillId="6" borderId="18" xfId="3" applyFont="1" applyFill="1" applyBorder="1" applyAlignment="1">
      <alignment horizontal="center" vertical="center"/>
    </xf>
    <xf numFmtId="0" fontId="43" fillId="6" borderId="17" xfId="3" applyFont="1" applyFill="1" applyBorder="1" applyAlignment="1">
      <alignment horizontal="left" vertical="center"/>
    </xf>
    <xf numFmtId="0" fontId="65" fillId="6" borderId="0" xfId="3" applyFont="1" applyFill="1" applyAlignment="1">
      <alignment horizontal="center" vertical="center"/>
    </xf>
    <xf numFmtId="0" fontId="43" fillId="6" borderId="0" xfId="3" applyFont="1" applyFill="1" applyAlignment="1">
      <alignment horizontal="center" vertical="center"/>
    </xf>
    <xf numFmtId="0" fontId="48" fillId="8" borderId="17" xfId="3" applyFont="1" applyFill="1" applyBorder="1" applyAlignment="1">
      <alignment horizontal="right" vertical="center"/>
    </xf>
    <xf numFmtId="49" fontId="43" fillId="6" borderId="7" xfId="3" applyNumberFormat="1" applyFont="1" applyFill="1" applyBorder="1" applyAlignment="1">
      <alignment vertical="center"/>
    </xf>
    <xf numFmtId="49" fontId="43" fillId="6" borderId="0" xfId="3" applyNumberFormat="1" applyFont="1" applyFill="1" applyAlignment="1">
      <alignment vertical="center"/>
    </xf>
    <xf numFmtId="0" fontId="43" fillId="6" borderId="17" xfId="3" applyFont="1" applyFill="1" applyBorder="1" applyAlignment="1">
      <alignment vertical="center"/>
    </xf>
    <xf numFmtId="0" fontId="2" fillId="0" borderId="0" xfId="3"/>
    <xf numFmtId="49" fontId="43" fillId="6" borderId="17" xfId="3" applyNumberFormat="1" applyFont="1" applyFill="1" applyBorder="1" applyAlignment="1">
      <alignment vertical="center"/>
    </xf>
    <xf numFmtId="0" fontId="43" fillId="6" borderId="18" xfId="3" applyFont="1" applyFill="1" applyBorder="1" applyAlignment="1">
      <alignment vertical="center"/>
    </xf>
    <xf numFmtId="0" fontId="49" fillId="6" borderId="18" xfId="3" applyFont="1" applyFill="1" applyBorder="1" applyAlignment="1">
      <alignment horizontal="center" vertical="center"/>
    </xf>
    <xf numFmtId="49" fontId="41" fillId="2" borderId="0" xfId="3" applyNumberFormat="1" applyFont="1" applyFill="1" applyAlignment="1">
      <alignment horizontal="center" vertical="center"/>
    </xf>
    <xf numFmtId="0" fontId="49" fillId="6" borderId="7" xfId="3" applyFont="1" applyFill="1" applyBorder="1" applyAlignment="1">
      <alignment horizontal="center" vertical="center"/>
    </xf>
    <xf numFmtId="0" fontId="1" fillId="6" borderId="16" xfId="3" applyFont="1" applyFill="1" applyBorder="1" applyAlignment="1">
      <alignment vertical="center"/>
    </xf>
    <xf numFmtId="49" fontId="43" fillId="6" borderId="18" xfId="3" applyNumberFormat="1" applyFont="1" applyFill="1" applyBorder="1" applyAlignment="1">
      <alignment vertical="center"/>
    </xf>
    <xf numFmtId="49" fontId="52" fillId="2" borderId="0" xfId="3" applyNumberFormat="1" applyFont="1" applyFill="1" applyAlignment="1">
      <alignment horizontal="center" vertical="center"/>
    </xf>
    <xf numFmtId="0" fontId="52" fillId="6" borderId="7" xfId="3" applyFont="1" applyFill="1" applyBorder="1" applyAlignment="1">
      <alignment vertical="center"/>
    </xf>
    <xf numFmtId="49" fontId="40" fillId="6" borderId="0" xfId="3" applyNumberFormat="1" applyFont="1" applyFill="1" applyAlignment="1">
      <alignment horizontal="center" vertical="center"/>
    </xf>
    <xf numFmtId="49" fontId="44" fillId="6" borderId="0" xfId="3" applyNumberFormat="1" applyFont="1" applyFill="1" applyAlignment="1">
      <alignment horizontal="center" vertical="center"/>
    </xf>
    <xf numFmtId="0" fontId="9" fillId="6" borderId="0" xfId="3" applyFont="1" applyFill="1" applyAlignment="1">
      <alignment horizontal="right" vertical="center"/>
    </xf>
    <xf numFmtId="0" fontId="44" fillId="6" borderId="0" xfId="3" applyFont="1" applyFill="1" applyAlignment="1">
      <alignment horizontal="left" vertical="center"/>
    </xf>
    <xf numFmtId="49" fontId="1" fillId="6" borderId="0" xfId="3" applyNumberFormat="1" applyFont="1" applyFill="1" applyAlignment="1">
      <alignment vertical="center"/>
    </xf>
    <xf numFmtId="0" fontId="50" fillId="6" borderId="0" xfId="3" applyFont="1" applyFill="1" applyAlignment="1">
      <alignment vertical="center"/>
    </xf>
    <xf numFmtId="0" fontId="51" fillId="6" borderId="0" xfId="3" applyFont="1" applyFill="1" applyAlignment="1">
      <alignment vertical="center"/>
    </xf>
    <xf numFmtId="0" fontId="44" fillId="15" borderId="0" xfId="3" applyFont="1" applyFill="1" applyAlignment="1">
      <alignment vertical="center"/>
    </xf>
    <xf numFmtId="49" fontId="33" fillId="6" borderId="0" xfId="3" applyNumberFormat="1" applyFont="1" applyFill="1" applyAlignment="1">
      <alignment horizontal="center" vertical="center"/>
    </xf>
    <xf numFmtId="49" fontId="53" fillId="15" borderId="0" xfId="3" applyNumberFormat="1" applyFont="1" applyFill="1" applyAlignment="1">
      <alignment vertical="center"/>
    </xf>
    <xf numFmtId="49" fontId="54" fillId="0" borderId="0" xfId="3" applyNumberFormat="1" applyFont="1" applyAlignment="1">
      <alignment horizontal="center" vertical="center"/>
    </xf>
    <xf numFmtId="49" fontId="53" fillId="6" borderId="0" xfId="3" applyNumberFormat="1" applyFont="1" applyFill="1" applyAlignment="1">
      <alignment vertical="center"/>
    </xf>
    <xf numFmtId="49" fontId="54" fillId="6" borderId="0" xfId="3" applyNumberFormat="1" applyFont="1" applyFill="1" applyAlignment="1">
      <alignment vertical="center"/>
    </xf>
    <xf numFmtId="0" fontId="2" fillId="6" borderId="0" xfId="3" applyFill="1" applyAlignment="1">
      <alignment vertical="center"/>
    </xf>
    <xf numFmtId="0" fontId="2" fillId="0" borderId="0" xfId="3" applyAlignment="1">
      <alignment vertical="center"/>
    </xf>
    <xf numFmtId="0" fontId="29" fillId="2" borderId="20" xfId="3" applyFont="1" applyFill="1" applyBorder="1" applyAlignment="1">
      <alignment vertical="center"/>
    </xf>
    <xf numFmtId="0" fontId="29" fillId="2" borderId="21" xfId="3" applyFont="1" applyFill="1" applyBorder="1" applyAlignment="1">
      <alignment vertical="center"/>
    </xf>
    <xf numFmtId="0" fontId="29" fillId="2" borderId="22" xfId="3" applyFont="1" applyFill="1" applyBorder="1" applyAlignment="1">
      <alignment vertical="center"/>
    </xf>
    <xf numFmtId="49" fontId="55" fillId="2" borderId="21" xfId="3" applyNumberFormat="1" applyFont="1" applyFill="1" applyBorder="1" applyAlignment="1">
      <alignment horizontal="center" vertical="center"/>
    </xf>
    <xf numFmtId="49" fontId="55" fillId="2" borderId="21" xfId="3" applyNumberFormat="1" applyFont="1" applyFill="1" applyBorder="1" applyAlignment="1">
      <alignment vertical="center"/>
    </xf>
    <xf numFmtId="49" fontId="55" fillId="2" borderId="21" xfId="3" applyNumberFormat="1" applyFont="1" applyFill="1" applyBorder="1" applyAlignment="1">
      <alignment horizontal="centerContinuous" vertical="center"/>
    </xf>
    <xf numFmtId="49" fontId="55" fillId="2" borderId="22" xfId="3" applyNumberFormat="1" applyFont="1" applyFill="1" applyBorder="1" applyAlignment="1">
      <alignment horizontal="centerContinuous" vertical="center"/>
    </xf>
    <xf numFmtId="49" fontId="56" fillId="2" borderId="21" xfId="3" applyNumberFormat="1" applyFont="1" applyFill="1" applyBorder="1" applyAlignment="1">
      <alignment vertical="center"/>
    </xf>
    <xf numFmtId="49" fontId="56" fillId="2" borderId="22" xfId="3" applyNumberFormat="1" applyFont="1" applyFill="1" applyBorder="1" applyAlignment="1">
      <alignment vertical="center"/>
    </xf>
    <xf numFmtId="49" fontId="29" fillId="2" borderId="21" xfId="3" applyNumberFormat="1" applyFont="1" applyFill="1" applyBorder="1" applyAlignment="1">
      <alignment horizontal="left" vertical="center"/>
    </xf>
    <xf numFmtId="49" fontId="29" fillId="0" borderId="21" xfId="3" applyNumberFormat="1" applyFont="1" applyBorder="1" applyAlignment="1">
      <alignment horizontal="left" vertical="center"/>
    </xf>
    <xf numFmtId="49" fontId="56" fillId="6" borderId="22" xfId="3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6" borderId="0" xfId="3" applyFont="1" applyFill="1" applyAlignment="1">
      <alignment vertical="center"/>
    </xf>
    <xf numFmtId="0" fontId="71" fillId="6" borderId="0" xfId="3" applyFont="1" applyFill="1" applyAlignment="1">
      <alignment vertical="center"/>
    </xf>
    <xf numFmtId="49" fontId="9" fillId="6" borderId="24" xfId="3" applyNumberFormat="1" applyFont="1" applyFill="1" applyBorder="1" applyAlignment="1">
      <alignment vertical="center"/>
    </xf>
    <xf numFmtId="49" fontId="9" fillId="6" borderId="25" xfId="3" applyNumberFormat="1" applyFont="1" applyFill="1" applyBorder="1" applyAlignment="1">
      <alignment vertical="center"/>
    </xf>
    <xf numFmtId="49" fontId="9" fillId="6" borderId="25" xfId="3" applyNumberFormat="1" applyFont="1" applyFill="1" applyBorder="1" applyAlignment="1">
      <alignment horizontal="right" vertical="center"/>
    </xf>
    <xf numFmtId="49" fontId="9" fillId="6" borderId="19" xfId="3" applyNumberFormat="1" applyFont="1" applyFill="1" applyBorder="1" applyAlignment="1">
      <alignment horizontal="right" vertical="center"/>
    </xf>
    <xf numFmtId="49" fontId="9" fillId="6" borderId="0" xfId="3" applyNumberFormat="1" applyFont="1" applyFill="1" applyAlignment="1">
      <alignment horizontal="center" vertical="center"/>
    </xf>
    <xf numFmtId="49" fontId="9" fillId="6" borderId="17" xfId="3" applyNumberFormat="1" applyFont="1" applyFill="1" applyBorder="1" applyAlignment="1">
      <alignment vertical="center"/>
    </xf>
    <xf numFmtId="49" fontId="35" fillId="6" borderId="0" xfId="3" applyNumberFormat="1" applyFont="1" applyFill="1" applyAlignment="1">
      <alignment horizontal="center" vertical="center"/>
    </xf>
    <xf numFmtId="49" fontId="9" fillId="6" borderId="0" xfId="3" applyNumberFormat="1" applyFont="1" applyFill="1" applyAlignment="1">
      <alignment vertical="center"/>
    </xf>
    <xf numFmtId="49" fontId="38" fillId="6" borderId="0" xfId="3" applyNumberFormat="1" applyFont="1" applyFill="1" applyAlignment="1">
      <alignment vertical="center"/>
    </xf>
    <xf numFmtId="49" fontId="38" fillId="6" borderId="17" xfId="3" applyNumberFormat="1" applyFont="1" applyFill="1" applyBorder="1" applyAlignment="1">
      <alignment vertical="center"/>
    </xf>
    <xf numFmtId="49" fontId="29" fillId="6" borderId="24" xfId="3" applyNumberFormat="1" applyFont="1" applyFill="1" applyBorder="1" applyAlignment="1">
      <alignment vertical="center"/>
    </xf>
    <xf numFmtId="49" fontId="29" fillId="6" borderId="25" xfId="3" applyNumberFormat="1" applyFont="1" applyFill="1" applyBorder="1" applyAlignment="1">
      <alignment vertical="center"/>
    </xf>
    <xf numFmtId="49" fontId="9" fillId="6" borderId="26" xfId="3" applyNumberFormat="1" applyFont="1" applyFill="1" applyBorder="1" applyAlignment="1">
      <alignment vertical="center"/>
    </xf>
    <xf numFmtId="49" fontId="9" fillId="6" borderId="7" xfId="3" applyNumberFormat="1" applyFont="1" applyFill="1" applyBorder="1" applyAlignment="1">
      <alignment vertical="center"/>
    </xf>
    <xf numFmtId="49" fontId="9" fillId="6" borderId="7" xfId="3" applyNumberFormat="1" applyFont="1" applyFill="1" applyBorder="1" applyAlignment="1">
      <alignment horizontal="right" vertical="center"/>
    </xf>
    <xf numFmtId="49" fontId="9" fillId="6" borderId="18" xfId="3" applyNumberFormat="1" applyFont="1" applyFill="1" applyBorder="1" applyAlignment="1">
      <alignment horizontal="right" vertical="center"/>
    </xf>
    <xf numFmtId="0" fontId="9" fillId="6" borderId="7" xfId="3" applyFont="1" applyFill="1" applyBorder="1" applyAlignment="1">
      <alignment vertical="center"/>
    </xf>
    <xf numFmtId="49" fontId="38" fillId="6" borderId="7" xfId="3" applyNumberFormat="1" applyFont="1" applyFill="1" applyBorder="1" applyAlignment="1">
      <alignment vertical="center"/>
    </xf>
    <xf numFmtId="49" fontId="38" fillId="6" borderId="18" xfId="3" applyNumberFormat="1" applyFont="1" applyFill="1" applyBorder="1" applyAlignment="1">
      <alignment vertical="center"/>
    </xf>
    <xf numFmtId="49" fontId="9" fillId="2" borderId="24" xfId="3" applyNumberFormat="1" applyFont="1" applyFill="1" applyBorder="1" applyAlignment="1">
      <alignment vertical="center"/>
    </xf>
    <xf numFmtId="49" fontId="9" fillId="2" borderId="25" xfId="3" applyNumberFormat="1" applyFont="1" applyFill="1" applyBorder="1" applyAlignment="1">
      <alignment vertical="center"/>
    </xf>
    <xf numFmtId="49" fontId="9" fillId="2" borderId="25" xfId="3" applyNumberFormat="1" applyFont="1" applyFill="1" applyBorder="1" applyAlignment="1">
      <alignment horizontal="right" vertical="center"/>
    </xf>
    <xf numFmtId="49" fontId="9" fillId="2" borderId="19" xfId="3" applyNumberFormat="1" applyFont="1" applyFill="1" applyBorder="1" applyAlignment="1">
      <alignment horizontal="right" vertical="center"/>
    </xf>
    <xf numFmtId="0" fontId="9" fillId="2" borderId="23" xfId="3" applyFont="1" applyFill="1" applyBorder="1" applyAlignment="1">
      <alignment vertical="center"/>
    </xf>
    <xf numFmtId="49" fontId="9" fillId="2" borderId="17" xfId="3" applyNumberFormat="1" applyFont="1" applyFill="1" applyBorder="1" applyAlignment="1">
      <alignment horizontal="right" vertical="center"/>
    </xf>
    <xf numFmtId="0" fontId="29" fillId="2" borderId="23" xfId="3" applyFont="1" applyFill="1" applyBorder="1" applyAlignment="1">
      <alignment vertical="center"/>
    </xf>
    <xf numFmtId="0" fontId="29" fillId="2" borderId="0" xfId="3" applyFont="1" applyFill="1" applyAlignment="1">
      <alignment vertical="center"/>
    </xf>
    <xf numFmtId="0" fontId="29" fillId="2" borderId="17" xfId="3" applyFont="1" applyFill="1" applyBorder="1" applyAlignment="1">
      <alignment vertical="center"/>
    </xf>
    <xf numFmtId="49" fontId="9" fillId="2" borderId="23" xfId="3" applyNumberFormat="1" applyFont="1" applyFill="1" applyBorder="1" applyAlignment="1">
      <alignment vertical="center"/>
    </xf>
    <xf numFmtId="49" fontId="9" fillId="2" borderId="0" xfId="3" applyNumberFormat="1" applyFont="1" applyFill="1" applyAlignment="1">
      <alignment vertical="center"/>
    </xf>
    <xf numFmtId="0" fontId="9" fillId="2" borderId="0" xfId="3" applyFont="1" applyFill="1" applyAlignment="1">
      <alignment horizontal="right" vertical="center"/>
    </xf>
    <xf numFmtId="0" fontId="9" fillId="2" borderId="17" xfId="3" applyFont="1" applyFill="1" applyBorder="1" applyAlignment="1">
      <alignment horizontal="right" vertical="center"/>
    </xf>
    <xf numFmtId="49" fontId="9" fillId="2" borderId="26" xfId="3" applyNumberFormat="1" applyFont="1" applyFill="1" applyBorder="1" applyAlignment="1">
      <alignment vertical="center"/>
    </xf>
    <xf numFmtId="49" fontId="9" fillId="2" borderId="7" xfId="3" applyNumberFormat="1" applyFont="1" applyFill="1" applyBorder="1" applyAlignment="1">
      <alignment vertical="center"/>
    </xf>
    <xf numFmtId="0" fontId="9" fillId="2" borderId="7" xfId="3" applyFont="1" applyFill="1" applyBorder="1" applyAlignment="1">
      <alignment horizontal="right" vertical="center"/>
    </xf>
    <xf numFmtId="0" fontId="9" fillId="2" borderId="18" xfId="3" applyFont="1" applyFill="1" applyBorder="1" applyAlignment="1">
      <alignment horizontal="right" vertical="center"/>
    </xf>
    <xf numFmtId="49" fontId="9" fillId="6" borderId="7" xfId="3" applyNumberFormat="1" applyFont="1" applyFill="1" applyBorder="1" applyAlignment="1">
      <alignment horizontal="center" vertical="center"/>
    </xf>
    <xf numFmtId="49" fontId="9" fillId="6" borderId="18" xfId="3" applyNumberFormat="1" applyFont="1" applyFill="1" applyBorder="1" applyAlignment="1">
      <alignment vertical="center"/>
    </xf>
    <xf numFmtId="49" fontId="35" fillId="6" borderId="7" xfId="3" applyNumberFormat="1" applyFont="1" applyFill="1" applyBorder="1" applyAlignment="1">
      <alignment horizontal="center" vertical="center"/>
    </xf>
    <xf numFmtId="0" fontId="48" fillId="8" borderId="18" xfId="3" applyFont="1" applyFill="1" applyBorder="1" applyAlignment="1">
      <alignment horizontal="right" vertical="center"/>
    </xf>
    <xf numFmtId="0" fontId="38" fillId="0" borderId="0" xfId="3" applyFont="1"/>
    <xf numFmtId="0" fontId="16" fillId="0" borderId="0" xfId="3" applyFont="1"/>
    <xf numFmtId="0" fontId="2" fillId="6" borderId="0" xfId="3" applyFill="1"/>
    <xf numFmtId="49" fontId="12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49" fontId="59" fillId="0" borderId="0" xfId="3" applyNumberFormat="1" applyFont="1" applyAlignment="1">
      <alignment vertical="top"/>
    </xf>
    <xf numFmtId="49" fontId="30" fillId="0" borderId="0" xfId="3" applyNumberFormat="1" applyFont="1" applyAlignment="1">
      <alignment vertical="top"/>
    </xf>
    <xf numFmtId="49" fontId="36" fillId="0" borderId="0" xfId="3" applyNumberFormat="1" applyFont="1" applyAlignment="1">
      <alignment horizontal="center"/>
    </xf>
    <xf numFmtId="49" fontId="36" fillId="0" borderId="0" xfId="3" applyNumberFormat="1" applyFont="1" applyAlignment="1">
      <alignment horizontal="left"/>
    </xf>
    <xf numFmtId="49" fontId="15" fillId="0" borderId="0" xfId="3" applyNumberFormat="1" applyFont="1" applyAlignment="1">
      <alignment horizontal="left"/>
    </xf>
    <xf numFmtId="0" fontId="31" fillId="0" borderId="0" xfId="3" applyFont="1"/>
    <xf numFmtId="49" fontId="14" fillId="0" borderId="0" xfId="3" applyNumberFormat="1" applyFont="1" applyAlignment="1">
      <alignment horizontal="left"/>
    </xf>
    <xf numFmtId="49" fontId="31" fillId="0" borderId="0" xfId="3" applyNumberFormat="1" applyFont="1"/>
    <xf numFmtId="49" fontId="1" fillId="0" borderId="0" xfId="3" applyNumberFormat="1" applyFont="1"/>
    <xf numFmtId="49" fontId="16" fillId="0" borderId="0" xfId="3" applyNumberFormat="1" applyFont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14" fontId="17" fillId="0" borderId="6" xfId="3" applyNumberFormat="1" applyFont="1" applyBorder="1" applyAlignment="1">
      <alignment horizontal="left" vertical="center"/>
    </xf>
    <xf numFmtId="14" fontId="17" fillId="0" borderId="6" xfId="3" applyNumberFormat="1" applyFont="1" applyBorder="1" applyAlignment="1">
      <alignment horizontal="left" vertical="center"/>
    </xf>
    <xf numFmtId="49" fontId="17" fillId="0" borderId="6" xfId="3" applyNumberFormat="1" applyFont="1" applyBorder="1" applyAlignment="1">
      <alignment vertical="center"/>
    </xf>
    <xf numFmtId="49" fontId="2" fillId="0" borderId="6" xfId="3" applyNumberFormat="1" applyBorder="1" applyAlignment="1">
      <alignment vertical="center"/>
    </xf>
    <xf numFmtId="49" fontId="39" fillId="0" borderId="6" xfId="3" applyNumberFormat="1" applyFont="1" applyBorder="1" applyAlignment="1">
      <alignment vertical="center"/>
    </xf>
    <xf numFmtId="0" fontId="18" fillId="0" borderId="6" xfId="3" applyFont="1" applyBorder="1" applyAlignment="1">
      <alignment horizontal="left" vertical="center"/>
    </xf>
    <xf numFmtId="49" fontId="18" fillId="0" borderId="6" xfId="3" applyNumberFormat="1" applyFont="1" applyBorder="1" applyAlignment="1">
      <alignment horizontal="right" vertical="center"/>
    </xf>
    <xf numFmtId="49" fontId="72" fillId="2" borderId="0" xfId="3" applyNumberFormat="1" applyFont="1" applyFill="1" applyAlignment="1">
      <alignment horizontal="right" vertical="center"/>
    </xf>
    <xf numFmtId="0" fontId="72" fillId="0" borderId="0" xfId="3" applyFont="1"/>
    <xf numFmtId="0" fontId="41" fillId="0" borderId="7" xfId="3" applyFont="1" applyBorder="1" applyAlignment="1">
      <alignment horizontal="center" vertical="center"/>
    </xf>
    <xf numFmtId="0" fontId="41" fillId="0" borderId="7" xfId="3" applyFont="1" applyBorder="1" applyAlignment="1">
      <alignment horizontal="center" vertical="center" shrinkToFit="1"/>
    </xf>
    <xf numFmtId="0" fontId="42" fillId="7" borderId="7" xfId="3" applyFont="1" applyFill="1" applyBorder="1" applyAlignment="1">
      <alignment horizontal="center" vertical="center"/>
    </xf>
    <xf numFmtId="0" fontId="52" fillId="0" borderId="7" xfId="3" applyFont="1" applyBorder="1" applyAlignment="1">
      <alignment vertical="center"/>
    </xf>
    <xf numFmtId="0" fontId="40" fillId="0" borderId="7" xfId="3" applyFont="1" applyBorder="1" applyAlignment="1">
      <alignment vertical="center"/>
    </xf>
    <xf numFmtId="0" fontId="7" fillId="0" borderId="0" xfId="3" applyFont="1"/>
    <xf numFmtId="0" fontId="43" fillId="0" borderId="7" xfId="3" applyFont="1" applyBorder="1" applyAlignment="1">
      <alignment horizontal="center" vertical="center"/>
    </xf>
    <xf numFmtId="0" fontId="43" fillId="0" borderId="0" xfId="3" applyFont="1" applyAlignment="1">
      <alignment vertical="center"/>
    </xf>
    <xf numFmtId="0" fontId="1" fillId="0" borderId="10" xfId="3" applyFont="1" applyBorder="1" applyAlignment="1">
      <alignment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Alignment="1">
      <alignment horizontal="center" vertical="center" shrinkToFit="1"/>
    </xf>
    <xf numFmtId="0" fontId="44" fillId="0" borderId="0" xfId="3" applyFont="1" applyAlignment="1">
      <alignment horizontal="center" vertical="center"/>
    </xf>
    <xf numFmtId="0" fontId="46" fillId="0" borderId="0" xfId="3" applyFont="1" applyAlignment="1">
      <alignment vertical="center"/>
    </xf>
    <xf numFmtId="0" fontId="47" fillId="0" borderId="0" xfId="3" applyFont="1" applyAlignment="1">
      <alignment vertical="center"/>
    </xf>
    <xf numFmtId="0" fontId="74" fillId="0" borderId="0" xfId="3" applyFont="1" applyAlignment="1">
      <alignment horizontal="right" vertical="center"/>
    </xf>
    <xf numFmtId="0" fontId="43" fillId="0" borderId="7" xfId="3" applyFont="1" applyBorder="1" applyAlignment="1">
      <alignment vertical="center"/>
    </xf>
    <xf numFmtId="0" fontId="1" fillId="0" borderId="13" xfId="3" applyFont="1" applyBorder="1" applyAlignment="1">
      <alignment vertical="center"/>
    </xf>
    <xf numFmtId="0" fontId="44" fillId="0" borderId="7" xfId="3" applyFont="1" applyBorder="1" applyAlignment="1">
      <alignment vertical="center"/>
    </xf>
    <xf numFmtId="0" fontId="43" fillId="0" borderId="18" xfId="3" applyFont="1" applyBorder="1" applyAlignment="1">
      <alignment horizontal="center" vertical="center"/>
    </xf>
    <xf numFmtId="0" fontId="43" fillId="0" borderId="17" xfId="3" applyFont="1" applyBorder="1" applyAlignment="1">
      <alignment horizontal="left" vertical="center"/>
    </xf>
    <xf numFmtId="0" fontId="42" fillId="0" borderId="0" xfId="3" applyFont="1" applyAlignment="1">
      <alignment horizontal="center" vertical="center"/>
    </xf>
    <xf numFmtId="0" fontId="43" fillId="0" borderId="0" xfId="3" applyFont="1" applyAlignment="1">
      <alignment horizontal="center" vertical="center"/>
    </xf>
    <xf numFmtId="0" fontId="38" fillId="0" borderId="0" xfId="3" applyFont="1" applyAlignment="1">
      <alignment horizontal="right" vertical="center"/>
    </xf>
    <xf numFmtId="49" fontId="43" fillId="0" borderId="7" xfId="3" applyNumberFormat="1" applyFont="1" applyBorder="1" applyAlignment="1">
      <alignment vertical="center"/>
    </xf>
    <xf numFmtId="49" fontId="43" fillId="0" borderId="0" xfId="3" applyNumberFormat="1" applyFont="1" applyAlignment="1">
      <alignment vertical="center"/>
    </xf>
    <xf numFmtId="0" fontId="41" fillId="0" borderId="7" xfId="3" applyFont="1" applyBorder="1" applyAlignment="1">
      <alignment vertical="center"/>
    </xf>
    <xf numFmtId="0" fontId="43" fillId="0" borderId="17" xfId="3" applyFont="1" applyBorder="1" applyAlignment="1">
      <alignment vertical="center"/>
    </xf>
    <xf numFmtId="49" fontId="43" fillId="0" borderId="17" xfId="3" applyNumberFormat="1" applyFont="1" applyBorder="1" applyAlignment="1">
      <alignment vertical="center"/>
    </xf>
    <xf numFmtId="0" fontId="77" fillId="0" borderId="0" xfId="3" applyFont="1" applyAlignment="1">
      <alignment vertical="center"/>
    </xf>
    <xf numFmtId="0" fontId="43" fillId="0" borderId="18" xfId="3" applyFont="1" applyBorder="1" applyAlignment="1">
      <alignment vertical="center"/>
    </xf>
    <xf numFmtId="0" fontId="49" fillId="0" borderId="18" xfId="3" applyFont="1" applyBorder="1" applyAlignment="1">
      <alignment horizontal="center" vertical="center"/>
    </xf>
    <xf numFmtId="0" fontId="50" fillId="0" borderId="0" xfId="3" applyFont="1" applyAlignment="1">
      <alignment vertical="center"/>
    </xf>
    <xf numFmtId="0" fontId="49" fillId="0" borderId="7" xfId="3" applyFont="1" applyBorder="1" applyAlignment="1">
      <alignment horizontal="center" vertical="center"/>
    </xf>
    <xf numFmtId="0" fontId="1" fillId="0" borderId="16" xfId="3" applyFont="1" applyBorder="1" applyAlignment="1">
      <alignment vertical="center"/>
    </xf>
    <xf numFmtId="49" fontId="43" fillId="0" borderId="18" xfId="3" applyNumberFormat="1" applyFont="1" applyBorder="1" applyAlignment="1">
      <alignment vertical="center"/>
    </xf>
    <xf numFmtId="0" fontId="1" fillId="0" borderId="20" xfId="3" applyFont="1" applyBorder="1" applyAlignment="1">
      <alignment horizontal="center" vertical="center" shrinkToFit="1"/>
    </xf>
    <xf numFmtId="0" fontId="1" fillId="0" borderId="22" xfId="3" applyFont="1" applyBorder="1" applyAlignment="1">
      <alignment horizontal="center" vertical="center" shrinkToFit="1"/>
    </xf>
    <xf numFmtId="49" fontId="44" fillId="0" borderId="0" xfId="3" applyNumberFormat="1" applyFont="1" applyAlignment="1">
      <alignment horizontal="center" vertical="center"/>
    </xf>
    <xf numFmtId="0" fontId="51" fillId="0" borderId="0" xfId="3" applyFont="1" applyAlignment="1">
      <alignment vertical="center"/>
    </xf>
    <xf numFmtId="49" fontId="40" fillId="0" borderId="0" xfId="3" applyNumberFormat="1" applyFont="1" applyAlignment="1">
      <alignment horizontal="center" vertical="center"/>
    </xf>
    <xf numFmtId="0" fontId="44" fillId="0" borderId="0" xfId="3" applyFont="1" applyAlignment="1">
      <alignment vertical="center"/>
    </xf>
    <xf numFmtId="49" fontId="44" fillId="0" borderId="0" xfId="3" applyNumberFormat="1" applyFont="1" applyAlignment="1">
      <alignment vertical="center"/>
    </xf>
    <xf numFmtId="0" fontId="9" fillId="0" borderId="0" xfId="3" applyFont="1" applyAlignment="1">
      <alignment horizontal="right" vertical="center"/>
    </xf>
    <xf numFmtId="0" fontId="44" fillId="0" borderId="0" xfId="3" applyFont="1" applyAlignment="1">
      <alignment horizontal="left" vertical="center"/>
    </xf>
    <xf numFmtId="49" fontId="53" fillId="0" borderId="0" xfId="3" applyNumberFormat="1" applyFont="1" applyAlignment="1">
      <alignment vertical="center"/>
    </xf>
    <xf numFmtId="49" fontId="9" fillId="0" borderId="24" xfId="3" applyNumberFormat="1" applyFont="1" applyBorder="1" applyAlignment="1">
      <alignment vertical="center"/>
    </xf>
    <xf numFmtId="49" fontId="9" fillId="0" borderId="25" xfId="3" applyNumberFormat="1" applyFont="1" applyBorder="1" applyAlignment="1">
      <alignment vertical="center"/>
    </xf>
    <xf numFmtId="49" fontId="9" fillId="0" borderId="25" xfId="3" applyNumberFormat="1" applyFont="1" applyBorder="1" applyAlignment="1">
      <alignment horizontal="right" vertical="center"/>
    </xf>
    <xf numFmtId="49" fontId="9" fillId="0" borderId="19" xfId="3" applyNumberFormat="1" applyFont="1" applyBorder="1" applyAlignment="1">
      <alignment horizontal="right" vertical="center"/>
    </xf>
    <xf numFmtId="49" fontId="9" fillId="0" borderId="0" xfId="3" applyNumberFormat="1" applyFont="1" applyAlignment="1">
      <alignment horizontal="center" vertical="center"/>
    </xf>
    <xf numFmtId="49" fontId="35" fillId="0" borderId="0" xfId="3" applyNumberFormat="1" applyFont="1" applyAlignment="1">
      <alignment horizontal="center" vertical="center"/>
    </xf>
    <xf numFmtId="49" fontId="9" fillId="0" borderId="0" xfId="3" applyNumberFormat="1" applyFont="1" applyAlignment="1">
      <alignment vertical="center"/>
    </xf>
    <xf numFmtId="49" fontId="38" fillId="0" borderId="0" xfId="3" applyNumberFormat="1" applyFont="1" applyAlignment="1">
      <alignment vertical="center"/>
    </xf>
    <xf numFmtId="49" fontId="38" fillId="0" borderId="17" xfId="3" applyNumberFormat="1" applyFont="1" applyBorder="1" applyAlignment="1">
      <alignment vertical="center"/>
    </xf>
    <xf numFmtId="49" fontId="29" fillId="2" borderId="24" xfId="3" applyNumberFormat="1" applyFont="1" applyFill="1" applyBorder="1" applyAlignment="1">
      <alignment vertical="center"/>
    </xf>
    <xf numFmtId="49" fontId="29" fillId="2" borderId="25" xfId="3" applyNumberFormat="1" applyFont="1" applyFill="1" applyBorder="1" applyAlignment="1">
      <alignment vertical="center"/>
    </xf>
    <xf numFmtId="49" fontId="38" fillId="2" borderId="17" xfId="3" applyNumberFormat="1" applyFont="1" applyFill="1" applyBorder="1" applyAlignment="1">
      <alignment vertical="center"/>
    </xf>
    <xf numFmtId="49" fontId="9" fillId="0" borderId="26" xfId="3" applyNumberFormat="1" applyFont="1" applyBorder="1" applyAlignment="1">
      <alignment vertical="center"/>
    </xf>
    <xf numFmtId="49" fontId="9" fillId="0" borderId="7" xfId="3" applyNumberFormat="1" applyFont="1" applyBorder="1" applyAlignment="1">
      <alignment vertical="center"/>
    </xf>
    <xf numFmtId="49" fontId="9" fillId="0" borderId="7" xfId="3" applyNumberFormat="1" applyFont="1" applyBorder="1" applyAlignment="1">
      <alignment horizontal="right" vertical="center"/>
    </xf>
    <xf numFmtId="49" fontId="9" fillId="0" borderId="18" xfId="3" applyNumberFormat="1" applyFont="1" applyBorder="1" applyAlignment="1">
      <alignment horizontal="right" vertical="center"/>
    </xf>
    <xf numFmtId="0" fontId="9" fillId="0" borderId="7" xfId="3" applyFont="1" applyBorder="1" applyAlignment="1">
      <alignment vertical="center"/>
    </xf>
    <xf numFmtId="49" fontId="38" fillId="0" borderId="7" xfId="3" applyNumberFormat="1" applyFont="1" applyBorder="1" applyAlignment="1">
      <alignment vertical="center"/>
    </xf>
    <xf numFmtId="49" fontId="38" fillId="0" borderId="18" xfId="3" applyNumberFormat="1" applyFont="1" applyBorder="1" applyAlignment="1">
      <alignment vertical="center"/>
    </xf>
    <xf numFmtId="49" fontId="9" fillId="0" borderId="7" xfId="3" applyNumberFormat="1" applyFont="1" applyBorder="1" applyAlignment="1">
      <alignment horizontal="center" vertical="center"/>
    </xf>
    <xf numFmtId="49" fontId="35" fillId="0" borderId="7" xfId="3" applyNumberFormat="1" applyFont="1" applyBorder="1" applyAlignment="1">
      <alignment horizontal="center" vertical="center"/>
    </xf>
    <xf numFmtId="49" fontId="12" fillId="6" borderId="0" xfId="3" applyNumberFormat="1" applyFont="1" applyFill="1" applyAlignment="1">
      <alignment vertical="top" shrinkToFit="1"/>
    </xf>
    <xf numFmtId="49" fontId="34" fillId="0" borderId="0" xfId="3" applyNumberFormat="1" applyFont="1" applyAlignment="1">
      <alignment vertical="center"/>
    </xf>
    <xf numFmtId="49" fontId="23" fillId="0" borderId="0" xfId="3" applyNumberFormat="1" applyFont="1" applyAlignment="1">
      <alignment vertical="center"/>
    </xf>
    <xf numFmtId="49" fontId="39" fillId="0" borderId="0" xfId="3" applyNumberFormat="1" applyFont="1" applyAlignment="1">
      <alignment vertical="center"/>
    </xf>
    <xf numFmtId="49" fontId="17" fillId="0" borderId="0" xfId="3" applyNumberFormat="1" applyFont="1" applyAlignment="1">
      <alignment vertical="center"/>
    </xf>
    <xf numFmtId="0" fontId="2" fillId="2" borderId="0" xfId="3" applyFill="1"/>
    <xf numFmtId="0" fontId="1" fillId="2" borderId="0" xfId="3" applyFont="1" applyFill="1"/>
    <xf numFmtId="0" fontId="66" fillId="2" borderId="0" xfId="3" applyFont="1" applyFill="1" applyAlignment="1">
      <alignment horizontal="center" shrinkToFit="1"/>
    </xf>
    <xf numFmtId="49" fontId="1" fillId="3" borderId="0" xfId="3" applyNumberFormat="1" applyFont="1" applyFill="1"/>
    <xf numFmtId="49" fontId="1" fillId="4" borderId="0" xfId="3" applyNumberFormat="1" applyFont="1" applyFill="1"/>
    <xf numFmtId="0" fontId="2" fillId="4" borderId="0" xfId="3" applyFill="1" applyAlignment="1">
      <alignment horizontal="center"/>
    </xf>
    <xf numFmtId="0" fontId="32" fillId="6" borderId="0" xfId="3" applyFont="1" applyFill="1" applyAlignment="1">
      <alignment horizontal="center"/>
    </xf>
    <xf numFmtId="0" fontId="32" fillId="9" borderId="0" xfId="3" applyFont="1" applyFill="1" applyAlignment="1">
      <alignment horizontal="center"/>
    </xf>
    <xf numFmtId="0" fontId="32" fillId="6" borderId="7" xfId="3" applyFont="1" applyFill="1" applyBorder="1"/>
    <xf numFmtId="0" fontId="2" fillId="9" borderId="7" xfId="3" applyFill="1" applyBorder="1" applyAlignment="1">
      <alignment horizontal="center"/>
    </xf>
    <xf numFmtId="0" fontId="2" fillId="11" borderId="29" xfId="3" applyFill="1" applyBorder="1" applyAlignment="1">
      <alignment horizontal="center"/>
    </xf>
    <xf numFmtId="0" fontId="70" fillId="6" borderId="7" xfId="3" applyFont="1" applyFill="1" applyBorder="1" applyAlignment="1">
      <alignment horizontal="center"/>
    </xf>
    <xf numFmtId="49" fontId="1" fillId="10" borderId="0" xfId="3" applyNumberFormat="1" applyFont="1" applyFill="1"/>
    <xf numFmtId="0" fontId="2" fillId="10" borderId="0" xfId="3" applyFill="1" applyAlignment="1">
      <alignment horizontal="center"/>
    </xf>
    <xf numFmtId="0" fontId="2" fillId="6" borderId="0" xfId="3" applyFill="1" applyAlignment="1">
      <alignment horizontal="center"/>
    </xf>
    <xf numFmtId="0" fontId="68" fillId="6" borderId="0" xfId="3" applyFont="1" applyFill="1" applyAlignment="1">
      <alignment horizontal="center"/>
    </xf>
    <xf numFmtId="0" fontId="70" fillId="6" borderId="0" xfId="3" applyFont="1" applyFill="1" applyAlignment="1">
      <alignment horizontal="center"/>
    </xf>
    <xf numFmtId="0" fontId="68" fillId="9" borderId="0" xfId="3" applyFont="1" applyFill="1" applyAlignment="1">
      <alignment horizontal="center"/>
    </xf>
    <xf numFmtId="0" fontId="2" fillId="6" borderId="7" xfId="3" applyFill="1" applyBorder="1"/>
    <xf numFmtId="0" fontId="2" fillId="12" borderId="0" xfId="3" applyFill="1"/>
    <xf numFmtId="0" fontId="2" fillId="2" borderId="5" xfId="3" applyFill="1" applyBorder="1" applyAlignment="1">
      <alignment vertical="center"/>
    </xf>
    <xf numFmtId="0" fontId="2" fillId="0" borderId="5" xfId="3" applyBorder="1" applyAlignment="1">
      <alignment horizontal="center" vertical="center" shrinkToFit="1"/>
    </xf>
    <xf numFmtId="0" fontId="2" fillId="6" borderId="5" xfId="3" applyFill="1" applyBorder="1"/>
    <xf numFmtId="0" fontId="2" fillId="6" borderId="5" xfId="3" applyFill="1" applyBorder="1" applyAlignment="1">
      <alignment horizontal="center" vertical="center"/>
    </xf>
    <xf numFmtId="0" fontId="2" fillId="0" borderId="5" xfId="3" applyBorder="1" applyAlignment="1">
      <alignment horizontal="right" vertical="center" shrinkToFit="1"/>
    </xf>
    <xf numFmtId="0" fontId="2" fillId="14" borderId="5" xfId="3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32" fillId="9" borderId="5" xfId="3" applyFont="1" applyFill="1" applyBorder="1" applyAlignment="1">
      <alignment horizontal="center" vertical="center"/>
    </xf>
    <xf numFmtId="0" fontId="2" fillId="6" borderId="0" xfId="3" applyFill="1" applyAlignment="1">
      <alignment horizontal="center" vertical="center"/>
    </xf>
    <xf numFmtId="0" fontId="2" fillId="6" borderId="7" xfId="3" applyFill="1" applyBorder="1" applyAlignment="1">
      <alignment horizontal="center"/>
    </xf>
    <xf numFmtId="0" fontId="78" fillId="6" borderId="0" xfId="3" applyFont="1" applyFill="1"/>
    <xf numFmtId="0" fontId="1" fillId="6" borderId="7" xfId="3" applyFont="1" applyFill="1" applyBorder="1"/>
    <xf numFmtId="49" fontId="55" fillId="2" borderId="25" xfId="3" applyNumberFormat="1" applyFont="1" applyFill="1" applyBorder="1" applyAlignment="1">
      <alignment horizontal="center" vertical="center"/>
    </xf>
    <xf numFmtId="49" fontId="55" fillId="2" borderId="25" xfId="3" applyNumberFormat="1" applyFont="1" applyFill="1" applyBorder="1" applyAlignment="1">
      <alignment vertical="center"/>
    </xf>
    <xf numFmtId="0" fontId="2" fillId="2" borderId="21" xfId="3" applyFill="1" applyBorder="1"/>
    <xf numFmtId="49" fontId="56" fillId="2" borderId="25" xfId="3" applyNumberFormat="1" applyFont="1" applyFill="1" applyBorder="1" applyAlignment="1">
      <alignment vertical="center"/>
    </xf>
    <xf numFmtId="49" fontId="29" fillId="2" borderId="25" xfId="3" applyNumberFormat="1" applyFont="1" applyFill="1" applyBorder="1" applyAlignment="1">
      <alignment horizontal="left" vertical="center"/>
    </xf>
    <xf numFmtId="49" fontId="29" fillId="0" borderId="0" xfId="3" applyNumberFormat="1" applyFont="1" applyAlignment="1">
      <alignment horizontal="left" vertical="center"/>
    </xf>
    <xf numFmtId="49" fontId="56" fillId="0" borderId="0" xfId="3" applyNumberFormat="1" applyFont="1" applyAlignment="1">
      <alignment vertical="center"/>
    </xf>
    <xf numFmtId="49" fontId="9" fillId="6" borderId="24" xfId="3" applyNumberFormat="1" applyFont="1" applyFill="1" applyBorder="1" applyAlignment="1">
      <alignment horizontal="center" vertical="center"/>
    </xf>
    <xf numFmtId="0" fontId="9" fillId="6" borderId="25" xfId="3" applyFont="1" applyFill="1" applyBorder="1" applyAlignment="1">
      <alignment horizontal="left" vertical="center"/>
    </xf>
    <xf numFmtId="49" fontId="35" fillId="6" borderId="24" xfId="3" applyNumberFormat="1" applyFont="1" applyFill="1" applyBorder="1" applyAlignment="1">
      <alignment horizontal="center" vertical="center"/>
    </xf>
    <xf numFmtId="49" fontId="38" fillId="6" borderId="25" xfId="3" applyNumberFormat="1" applyFont="1" applyFill="1" applyBorder="1" applyAlignment="1">
      <alignment vertical="center"/>
    </xf>
    <xf numFmtId="49" fontId="9" fillId="6" borderId="19" xfId="3" applyNumberFormat="1" applyFont="1" applyFill="1" applyBorder="1" applyAlignment="1">
      <alignment vertical="center"/>
    </xf>
    <xf numFmtId="0" fontId="2" fillId="6" borderId="25" xfId="3" applyFill="1" applyBorder="1"/>
    <xf numFmtId="0" fontId="2" fillId="6" borderId="19" xfId="3" applyFill="1" applyBorder="1"/>
    <xf numFmtId="49" fontId="29" fillId="0" borderId="0" xfId="3" applyNumberFormat="1" applyFont="1" applyAlignment="1">
      <alignment vertical="center"/>
    </xf>
    <xf numFmtId="49" fontId="9" fillId="6" borderId="23" xfId="3" applyNumberFormat="1" applyFont="1" applyFill="1" applyBorder="1" applyAlignment="1">
      <alignment horizontal="center" vertical="center"/>
    </xf>
    <xf numFmtId="0" fontId="9" fillId="6" borderId="0" xfId="3" applyFont="1" applyFill="1" applyAlignment="1">
      <alignment horizontal="left" vertical="center"/>
    </xf>
    <xf numFmtId="49" fontId="35" fillId="6" borderId="23" xfId="3" applyNumberFormat="1" applyFont="1" applyFill="1" applyBorder="1" applyAlignment="1">
      <alignment horizontal="center" vertical="center"/>
    </xf>
    <xf numFmtId="0" fontId="9" fillId="6" borderId="26" xfId="3" applyFont="1" applyFill="1" applyBorder="1" applyAlignment="1">
      <alignment vertical="center"/>
    </xf>
    <xf numFmtId="0" fontId="2" fillId="6" borderId="18" xfId="3" applyFill="1" applyBorder="1"/>
    <xf numFmtId="49" fontId="9" fillId="6" borderId="23" xfId="3" applyNumberFormat="1" applyFont="1" applyFill="1" applyBorder="1" applyAlignment="1">
      <alignment vertical="center"/>
    </xf>
    <xf numFmtId="0" fontId="2" fillId="6" borderId="17" xfId="3" applyFill="1" applyBorder="1"/>
    <xf numFmtId="49" fontId="9" fillId="6" borderId="26" xfId="3" applyNumberFormat="1" applyFont="1" applyFill="1" applyBorder="1" applyAlignment="1">
      <alignment horizontal="center" vertical="center"/>
    </xf>
    <xf numFmtId="49" fontId="35" fillId="6" borderId="26" xfId="3" applyNumberFormat="1" applyFont="1" applyFill="1" applyBorder="1" applyAlignment="1">
      <alignment horizontal="center" vertical="center"/>
    </xf>
    <xf numFmtId="0" fontId="48" fillId="0" borderId="0" xfId="3" applyFont="1" applyAlignment="1">
      <alignment horizontal="right" vertical="center"/>
    </xf>
    <xf numFmtId="0" fontId="1" fillId="6" borderId="0" xfId="3" applyFont="1" applyFill="1" applyAlignment="1">
      <alignment horizontal="center"/>
    </xf>
    <xf numFmtId="0" fontId="1" fillId="0" borderId="5" xfId="3" applyFont="1" applyBorder="1" applyAlignment="1">
      <alignment horizontal="center" vertical="center" shrinkToFit="1"/>
    </xf>
    <xf numFmtId="0" fontId="2" fillId="6" borderId="0" xfId="3" applyFill="1" applyAlignment="1">
      <alignment horizontal="right" vertical="center" shrinkToFit="1"/>
    </xf>
    <xf numFmtId="0" fontId="32" fillId="6" borderId="0" xfId="3" applyFont="1" applyFill="1" applyAlignment="1">
      <alignment horizontal="center" vertical="center"/>
    </xf>
    <xf numFmtId="0" fontId="2" fillId="0" borderId="6" xfId="3" applyBorder="1"/>
    <xf numFmtId="0" fontId="67" fillId="9" borderId="0" xfId="3" applyFont="1" applyFill="1"/>
    <xf numFmtId="0" fontId="2" fillId="6" borderId="7" xfId="3" applyFill="1" applyBorder="1" applyAlignment="1">
      <alignment horizontal="center" vertical="center" shrinkToFit="1"/>
    </xf>
    <xf numFmtId="0" fontId="2" fillId="6" borderId="7" xfId="3" applyFill="1" applyBorder="1" applyAlignment="1">
      <alignment vertical="center" shrinkToFit="1"/>
    </xf>
    <xf numFmtId="0" fontId="67" fillId="6" borderId="0" xfId="3" applyFont="1" applyFill="1"/>
    <xf numFmtId="0" fontId="2" fillId="6" borderId="0" xfId="3" applyFill="1" applyAlignment="1">
      <alignment shrinkToFit="1"/>
    </xf>
    <xf numFmtId="0" fontId="79" fillId="0" borderId="0" xfId="3" applyFont="1"/>
    <xf numFmtId="0" fontId="27" fillId="0" borderId="0" xfId="3" applyFont="1" applyAlignment="1">
      <alignment vertical="center"/>
    </xf>
  </cellXfs>
  <cellStyles count="4">
    <cellStyle name="Hivatkozás" xfId="1" builtinId="8"/>
    <cellStyle name="Normál" xfId="0" builtinId="0"/>
    <cellStyle name="Normál 2" xfId="3" xr:uid="{90137F37-A46E-483E-A7D6-900E83451280}"/>
    <cellStyle name="Pénznem" xfId="2" builtinId="4"/>
  </cellStyles>
  <dxfs count="178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FDDA9DF8-2166-49ED-AB40-84048155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60960"/>
          <a:ext cx="5105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84FE7038-8DEF-4FA5-B41E-F673E729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4120" y="53340"/>
          <a:ext cx="5105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72097" name="Button 1" hidden="1">
              <a:extLst>
                <a:ext uri="{63B3BB69-23CF-44E3-9099-C40C66FF867C}">
                  <a14:compatExt spid="_x0000_s772097"/>
                </a:ext>
                <a:ext uri="{FF2B5EF4-FFF2-40B4-BE49-F238E27FC236}">
                  <a16:creationId xmlns:a16="http://schemas.microsoft.com/office/drawing/2014/main" id="{6EF2DB0F-9558-41F7-85F3-8561FEE779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72098" name="Button 2" hidden="1">
              <a:extLst>
                <a:ext uri="{63B3BB69-23CF-44E3-9099-C40C66FF867C}">
                  <a14:compatExt spid="_x0000_s772098"/>
                </a:ext>
                <a:ext uri="{FF2B5EF4-FFF2-40B4-BE49-F238E27FC236}">
                  <a16:creationId xmlns:a16="http://schemas.microsoft.com/office/drawing/2014/main" id="{3511733A-0631-42D6-AF5F-05FF4BCB13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9008374F-BB72-4E5E-8E02-25A07A6F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73121" name="Button 1" hidden="1">
              <a:extLst>
                <a:ext uri="{63B3BB69-23CF-44E3-9099-C40C66FF867C}">
                  <a14:compatExt spid="_x0000_s773121"/>
                </a:ext>
                <a:ext uri="{FF2B5EF4-FFF2-40B4-BE49-F238E27FC236}">
                  <a16:creationId xmlns:a16="http://schemas.microsoft.com/office/drawing/2014/main" id="{E4878186-623E-40FA-9600-6ABDF9D762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73122" name="Button 2" hidden="1">
              <a:extLst>
                <a:ext uri="{63B3BB69-23CF-44E3-9099-C40C66FF867C}">
                  <a14:compatExt spid="_x0000_s773122"/>
                </a:ext>
                <a:ext uri="{FF2B5EF4-FFF2-40B4-BE49-F238E27FC236}">
                  <a16:creationId xmlns:a16="http://schemas.microsoft.com/office/drawing/2014/main" id="{4FC2CFC9-D47C-45BE-9B94-5A3635D9CB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F51EA47-78E2-46A8-B0FB-31977D7C3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74145" name="Button 1" hidden="1">
              <a:extLst>
                <a:ext uri="{63B3BB69-23CF-44E3-9099-C40C66FF867C}">
                  <a14:compatExt spid="_x0000_s774145"/>
                </a:ext>
                <a:ext uri="{FF2B5EF4-FFF2-40B4-BE49-F238E27FC236}">
                  <a16:creationId xmlns:a16="http://schemas.microsoft.com/office/drawing/2014/main" id="{B793C033-3607-45C8-8619-3BFFF7B482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74146" name="Button 2" hidden="1">
              <a:extLst>
                <a:ext uri="{63B3BB69-23CF-44E3-9099-C40C66FF867C}">
                  <a14:compatExt spid="_x0000_s774146"/>
                </a:ext>
                <a:ext uri="{FF2B5EF4-FFF2-40B4-BE49-F238E27FC236}">
                  <a16:creationId xmlns:a16="http://schemas.microsoft.com/office/drawing/2014/main" id="{6B976722-51E3-4264-B342-6B504CADB0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10D39464-C704-4405-93A8-96DD16A15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75169" name="Button 1" hidden="1">
              <a:extLst>
                <a:ext uri="{63B3BB69-23CF-44E3-9099-C40C66FF867C}">
                  <a14:compatExt spid="_x0000_s775169"/>
                </a:ext>
                <a:ext uri="{FF2B5EF4-FFF2-40B4-BE49-F238E27FC236}">
                  <a16:creationId xmlns:a16="http://schemas.microsoft.com/office/drawing/2014/main" id="{E357758B-BF6F-4F08-8058-C84FCCD0EB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75170" name="Button 2" hidden="1">
              <a:extLst>
                <a:ext uri="{63B3BB69-23CF-44E3-9099-C40C66FF867C}">
                  <a14:compatExt spid="_x0000_s775170"/>
                </a:ext>
                <a:ext uri="{FF2B5EF4-FFF2-40B4-BE49-F238E27FC236}">
                  <a16:creationId xmlns:a16="http://schemas.microsoft.com/office/drawing/2014/main" id="{761D6924-8590-428D-9D60-285AC6FD3E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C5764D51-6113-4D3E-92C4-3CA024F9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4864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76193" name="Button 1" hidden="1">
              <a:extLst>
                <a:ext uri="{63B3BB69-23CF-44E3-9099-C40C66FF867C}">
                  <a14:compatExt spid="_x0000_s776193"/>
                </a:ext>
                <a:ext uri="{FF2B5EF4-FFF2-40B4-BE49-F238E27FC236}">
                  <a16:creationId xmlns:a16="http://schemas.microsoft.com/office/drawing/2014/main" id="{FDB794BA-C2D3-4A4B-A814-EF5EC1D7C9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76194" name="Button 2" hidden="1">
              <a:extLst>
                <a:ext uri="{63B3BB69-23CF-44E3-9099-C40C66FF867C}">
                  <a14:compatExt spid="_x0000_s776194"/>
                </a:ext>
                <a:ext uri="{FF2B5EF4-FFF2-40B4-BE49-F238E27FC236}">
                  <a16:creationId xmlns:a16="http://schemas.microsoft.com/office/drawing/2014/main" id="{DDBD18E0-11CF-4741-8785-8F8AB65CE6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9EAF31D6-30B2-4A45-967B-4D8F3AC0A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8070" name="Kép 2">
          <a:extLst>
            <a:ext uri="{FF2B5EF4-FFF2-40B4-BE49-F238E27FC236}">
              <a16:creationId xmlns:a16="http://schemas.microsoft.com/office/drawing/2014/main" id="{00000000-0008-0000-0900-0000568C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63905" name="Button 1" hidden="1">
              <a:extLst>
                <a:ext uri="{63B3BB69-23CF-44E3-9099-C40C66FF867C}">
                  <a14:compatExt spid="_x0000_s763905"/>
                </a:ext>
                <a:ext uri="{FF2B5EF4-FFF2-40B4-BE49-F238E27FC236}">
                  <a16:creationId xmlns:a16="http://schemas.microsoft.com/office/drawing/2014/main" id="{AE92EDF9-C3D5-4445-BB65-13B20C8A71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63906" name="Button 2" hidden="1">
              <a:extLst>
                <a:ext uri="{63B3BB69-23CF-44E3-9099-C40C66FF867C}">
                  <a14:compatExt spid="_x0000_s763906"/>
                </a:ext>
                <a:ext uri="{FF2B5EF4-FFF2-40B4-BE49-F238E27FC236}">
                  <a16:creationId xmlns:a16="http://schemas.microsoft.com/office/drawing/2014/main" id="{82BC1805-10C7-4B00-A4B1-7762FC8DD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E41B7988-464F-48D7-A903-4EE405764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64929" name="Button 1" hidden="1">
              <a:extLst>
                <a:ext uri="{63B3BB69-23CF-44E3-9099-C40C66FF867C}">
                  <a14:compatExt spid="_x0000_s764929"/>
                </a:ext>
                <a:ext uri="{FF2B5EF4-FFF2-40B4-BE49-F238E27FC236}">
                  <a16:creationId xmlns:a16="http://schemas.microsoft.com/office/drawing/2014/main" id="{F4D8D559-08E7-4C35-AB5A-6E575E139F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64930" name="Button 2" hidden="1">
              <a:extLst>
                <a:ext uri="{63B3BB69-23CF-44E3-9099-C40C66FF867C}">
                  <a14:compatExt spid="_x0000_s764930"/>
                </a:ext>
                <a:ext uri="{FF2B5EF4-FFF2-40B4-BE49-F238E27FC236}">
                  <a16:creationId xmlns:a16="http://schemas.microsoft.com/office/drawing/2014/main" id="{2AF092F8-8CA2-445A-B21F-8ABB45386F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521EF711-E07A-4EC2-8620-E10202E8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7620" y="0"/>
          <a:ext cx="54864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65953" name="Button 1" hidden="1">
              <a:extLst>
                <a:ext uri="{63B3BB69-23CF-44E3-9099-C40C66FF867C}">
                  <a14:compatExt spid="_x0000_s765953"/>
                </a:ext>
                <a:ext uri="{FF2B5EF4-FFF2-40B4-BE49-F238E27FC236}">
                  <a16:creationId xmlns:a16="http://schemas.microsoft.com/office/drawing/2014/main" id="{8E469138-4DBD-4D9A-A72B-5F445B086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65954" name="Button 2" hidden="1">
              <a:extLst>
                <a:ext uri="{63B3BB69-23CF-44E3-9099-C40C66FF867C}">
                  <a14:compatExt spid="_x0000_s765954"/>
                </a:ext>
                <a:ext uri="{FF2B5EF4-FFF2-40B4-BE49-F238E27FC236}">
                  <a16:creationId xmlns:a16="http://schemas.microsoft.com/office/drawing/2014/main" id="{725E8B7A-CD71-43A1-8620-0294FE73E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54DA7E8A-6CB9-4917-8075-D94E764D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66977" name="Button 1" hidden="1">
              <a:extLst>
                <a:ext uri="{63B3BB69-23CF-44E3-9099-C40C66FF867C}">
                  <a14:compatExt spid="_x0000_s766977"/>
                </a:ext>
                <a:ext uri="{FF2B5EF4-FFF2-40B4-BE49-F238E27FC236}">
                  <a16:creationId xmlns:a16="http://schemas.microsoft.com/office/drawing/2014/main" id="{19BACFBB-D853-4613-B452-CBD2DAEA7B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66978" name="Button 2" hidden="1">
              <a:extLst>
                <a:ext uri="{63B3BB69-23CF-44E3-9099-C40C66FF867C}">
                  <a14:compatExt spid="_x0000_s766978"/>
                </a:ext>
                <a:ext uri="{FF2B5EF4-FFF2-40B4-BE49-F238E27FC236}">
                  <a16:creationId xmlns:a16="http://schemas.microsoft.com/office/drawing/2014/main" id="{6AD8955E-BA54-4265-B407-85645577AD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8D9EC923-4312-45E8-A022-DF83EF407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24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15240</xdr:rowOff>
        </xdr:from>
        <xdr:to>
          <xdr:col>14</xdr:col>
          <xdr:colOff>365760</xdr:colOff>
          <xdr:row>0</xdr:row>
          <xdr:rowOff>175260</xdr:rowOff>
        </xdr:to>
        <xdr:sp macro="" textlink="">
          <xdr:nvSpPr>
            <xdr:cNvPr id="768001" name="Button 1" hidden="1">
              <a:extLst>
                <a:ext uri="{63B3BB69-23CF-44E3-9099-C40C66FF867C}">
                  <a14:compatExt spid="_x0000_s768001"/>
                </a:ext>
                <a:ext uri="{FF2B5EF4-FFF2-40B4-BE49-F238E27FC236}">
                  <a16:creationId xmlns:a16="http://schemas.microsoft.com/office/drawing/2014/main" id="{EB94398F-E086-4B1E-B266-ABEA29AA9A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175260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68002" name="Button 2" hidden="1">
              <a:extLst>
                <a:ext uri="{63B3BB69-23CF-44E3-9099-C40C66FF867C}">
                  <a14:compatExt spid="_x0000_s768002"/>
                </a:ext>
                <a:ext uri="{FF2B5EF4-FFF2-40B4-BE49-F238E27FC236}">
                  <a16:creationId xmlns:a16="http://schemas.microsoft.com/office/drawing/2014/main" id="{F58F5526-453A-4898-A477-8E074992D7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327BEF94-2E93-4CD8-A208-F4FA621F9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E75215F8-11A8-470F-9719-B1D4D4E8D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3048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.%20A%20la&#769;ny.xlsx" TargetMode="External"/><Relationship Id="rId1" Type="http://schemas.openxmlformats.org/officeDocument/2006/relationships/externalLinkPath" Target="Savaria/V.%20A%20la&#769;ny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I.%20A%20la&#769;ny.xlsx" TargetMode="External"/><Relationship Id="rId1" Type="http://schemas.openxmlformats.org/officeDocument/2006/relationships/externalLinkPath" Target="Savaria/VII.%20A%20la&#769;ny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I.%20B%20Fiu&#769;.xlsx" TargetMode="External"/><Relationship Id="rId1" Type="http://schemas.openxmlformats.org/officeDocument/2006/relationships/externalLinkPath" Target="Savaria/VII.%20B%20Fiu&#769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I.%20B%20la&#769;ny.xlsx" TargetMode="External"/><Relationship Id="rId1" Type="http://schemas.openxmlformats.org/officeDocument/2006/relationships/externalLinkPath" Target="Savaria/VII.%20B%20la&#769;ny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II.%20A%20Fiu&#769;.xlsx" TargetMode="External"/><Relationship Id="rId1" Type="http://schemas.openxmlformats.org/officeDocument/2006/relationships/externalLinkPath" Target="Savaria/VIII.%20A%20Fiu&#769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II.%20B%20Fiu&#769;.xlsx" TargetMode="External"/><Relationship Id="rId1" Type="http://schemas.openxmlformats.org/officeDocument/2006/relationships/externalLinkPath" Target="Savaria/VIII.%20B%20Fiu&#76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.%20B%20Fiu&#769;%20.xlsx" TargetMode="External"/><Relationship Id="rId1" Type="http://schemas.openxmlformats.org/officeDocument/2006/relationships/externalLinkPath" Target="Savaria/V.%20B%20Fiu&#769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abopetergeza/Desktop/Dia&#769;kolimpia%202025/V.%20B%20Fiu&#76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.%20B%20la&#769;ny.xlsx" TargetMode="External"/><Relationship Id="rId1" Type="http://schemas.openxmlformats.org/officeDocument/2006/relationships/externalLinkPath" Target="Savaria/V.%20B%20la&#769;n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.%20A%20Fiu&#769;.xlsx" TargetMode="External"/><Relationship Id="rId1" Type="http://schemas.openxmlformats.org/officeDocument/2006/relationships/externalLinkPath" Target="Savaria/VI.%20A%20Fiu&#769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.%20A%20la&#769;ny.xlsx" TargetMode="External"/><Relationship Id="rId1" Type="http://schemas.openxmlformats.org/officeDocument/2006/relationships/externalLinkPath" Target="Savaria/VI.%20A%20la&#769;ny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.%20B%20Fiu&#769;.xlsx" TargetMode="External"/><Relationship Id="rId1" Type="http://schemas.openxmlformats.org/officeDocument/2006/relationships/externalLinkPath" Target="Savaria/VI.%20B%20Fiu&#769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.%20B%20la&#769;ny.xlsx" TargetMode="External"/><Relationship Id="rId1" Type="http://schemas.openxmlformats.org/officeDocument/2006/relationships/externalLinkPath" Target="Savaria/VI.%20B%20la&#769;ny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Vas%20v&#225;rmegye%20-%20Lipt&#225;k%20J&#225;nos\Savaria\VII.%20A%20Fiu&#769;.xlsx" TargetMode="External"/><Relationship Id="rId1" Type="http://schemas.openxmlformats.org/officeDocument/2006/relationships/externalLinkPath" Target="Savaria/VII.%20A%20Fiu&#7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Q ELO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6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6" Type="http://schemas.openxmlformats.org/officeDocument/2006/relationships/comments" Target="../comments7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6" Type="http://schemas.openxmlformats.org/officeDocument/2006/relationships/comments" Target="../comments9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10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3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4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5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F13" sqref="F13"/>
    </sheetView>
  </sheetViews>
  <sheetFormatPr defaultColWidth="8.77734375"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03" t="s">
        <v>95</v>
      </c>
      <c r="B1" s="3"/>
      <c r="C1" s="3"/>
      <c r="D1" s="104"/>
      <c r="E1" s="4"/>
      <c r="F1" s="5"/>
      <c r="G1" s="5"/>
    </row>
    <row r="2" spans="1:7" s="6" customFormat="1" ht="36.75" customHeight="1" thickBot="1" x14ac:dyDescent="0.3">
      <c r="A2" s="7" t="s">
        <v>13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14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15" t="s">
        <v>15</v>
      </c>
      <c r="B5" s="20"/>
      <c r="C5" s="20"/>
      <c r="D5" s="20"/>
      <c r="E5" s="200"/>
      <c r="F5" s="21"/>
      <c r="G5" s="22"/>
    </row>
    <row r="6" spans="1:7" s="2" customFormat="1" ht="24.6" x14ac:dyDescent="0.25">
      <c r="A6" s="202" t="s">
        <v>106</v>
      </c>
      <c r="B6" s="201"/>
      <c r="C6" s="23"/>
      <c r="D6" s="24"/>
      <c r="E6" s="25"/>
      <c r="F6" s="5"/>
      <c r="G6" s="5"/>
    </row>
    <row r="7" spans="1:7" s="18" customFormat="1" ht="15" customHeight="1" x14ac:dyDescent="0.25">
      <c r="A7" s="116" t="s">
        <v>96</v>
      </c>
      <c r="B7" s="116" t="s">
        <v>97</v>
      </c>
      <c r="C7" s="116" t="s">
        <v>98</v>
      </c>
      <c r="D7" s="116" t="s">
        <v>99</v>
      </c>
      <c r="E7" s="116" t="s">
        <v>100</v>
      </c>
      <c r="F7" s="21"/>
      <c r="G7" s="22"/>
    </row>
    <row r="8" spans="1:7" s="2" customFormat="1" ht="16.5" customHeight="1" x14ac:dyDescent="0.25">
      <c r="A8" s="121"/>
      <c r="B8" s="121"/>
      <c r="C8" s="121"/>
      <c r="D8" s="121"/>
      <c r="E8" s="121"/>
      <c r="F8" s="5"/>
      <c r="G8" s="5"/>
    </row>
    <row r="9" spans="1:7" s="2" customFormat="1" ht="15" customHeight="1" x14ac:dyDescent="0.25">
      <c r="A9" s="115" t="s">
        <v>16</v>
      </c>
      <c r="B9" s="20"/>
      <c r="C9" s="116" t="s">
        <v>17</v>
      </c>
      <c r="D9" s="116"/>
      <c r="E9" s="117" t="s">
        <v>18</v>
      </c>
      <c r="F9" s="5"/>
      <c r="G9" s="5"/>
    </row>
    <row r="10" spans="1:7" s="2" customFormat="1" x14ac:dyDescent="0.25">
      <c r="A10" s="27"/>
      <c r="B10" s="28"/>
      <c r="C10" s="29"/>
      <c r="D10" s="116" t="s">
        <v>51</v>
      </c>
      <c r="E10" s="194"/>
      <c r="F10" s="5"/>
      <c r="G10" s="5"/>
    </row>
    <row r="11" spans="1:7" x14ac:dyDescent="0.25">
      <c r="A11" s="19"/>
      <c r="B11" s="20"/>
      <c r="C11" s="120" t="s">
        <v>49</v>
      </c>
      <c r="D11" s="120" t="s">
        <v>92</v>
      </c>
      <c r="E11" s="120" t="s">
        <v>93</v>
      </c>
      <c r="F11" s="31"/>
      <c r="G11" s="31"/>
    </row>
    <row r="12" spans="1:7" s="2" customFormat="1" x14ac:dyDescent="0.25">
      <c r="A12" s="105"/>
      <c r="B12" s="5"/>
      <c r="C12" s="122"/>
      <c r="D12" s="122"/>
      <c r="E12" s="122"/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0"/>
      <c r="F16" s="31"/>
      <c r="G16" s="31"/>
    </row>
    <row r="17" spans="1:7" ht="12.75" customHeight="1" x14ac:dyDescent="0.25">
      <c r="A17" s="36"/>
      <c r="B17" s="190"/>
      <c r="C17" s="106"/>
      <c r="D17" s="37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57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7B59-825E-425D-9921-9F60D6158F91}">
  <sheetPr>
    <tabColor indexed="11"/>
  </sheetPr>
  <dimension ref="A1:AK49"/>
  <sheetViews>
    <sheetView topLeftCell="A4" workbookViewId="0">
      <selection activeCell="O14" sqref="O14"/>
    </sheetView>
  </sheetViews>
  <sheetFormatPr defaultColWidth="8.77734375" defaultRowHeight="13.2" x14ac:dyDescent="0.25"/>
  <cols>
    <col min="1" max="1" width="6.109375" style="303" customWidth="1"/>
    <col min="2" max="2" width="4.44140625" style="303" customWidth="1"/>
    <col min="3" max="3" width="8.33203125" style="303" customWidth="1"/>
    <col min="4" max="4" width="7.109375" style="303" customWidth="1"/>
    <col min="5" max="5" width="9.33203125" style="303" customWidth="1"/>
    <col min="6" max="6" width="7.109375" style="303" customWidth="1"/>
    <col min="7" max="7" width="9.33203125" style="303" customWidth="1"/>
    <col min="8" max="8" width="7.109375" style="303" customWidth="1"/>
    <col min="9" max="9" width="9.33203125" style="303" customWidth="1"/>
    <col min="10" max="10" width="7.77734375" style="303" customWidth="1"/>
    <col min="11" max="13" width="8.44140625" style="303" customWidth="1"/>
    <col min="14" max="14" width="8.77734375" style="303"/>
    <col min="15" max="16" width="5.33203125" style="303" customWidth="1"/>
    <col min="17" max="17" width="11.44140625" style="303" customWidth="1"/>
    <col min="18" max="24" width="8.77734375" style="303"/>
    <col min="25" max="25" width="10.33203125" style="303" hidden="1" customWidth="1"/>
    <col min="26" max="37" width="9.109375" style="303" hidden="1" customWidth="1"/>
    <col min="38" max="16384" width="8.77734375" style="303"/>
  </cols>
  <sheetData>
    <row r="1" spans="1:37" ht="24.6" x14ac:dyDescent="0.25">
      <c r="A1" s="475" t="str">
        <f>[8]Altalanos!$A$6</f>
        <v>OB</v>
      </c>
      <c r="B1" s="475"/>
      <c r="C1" s="475"/>
      <c r="D1" s="475"/>
      <c r="E1" s="475"/>
      <c r="F1" s="475"/>
      <c r="G1" s="218"/>
      <c r="H1" s="221" t="s">
        <v>39</v>
      </c>
      <c r="I1" s="219"/>
      <c r="J1" s="220"/>
      <c r="L1" s="222"/>
      <c r="M1" s="223"/>
      <c r="N1" s="389"/>
      <c r="O1" s="389" t="s">
        <v>12</v>
      </c>
      <c r="P1" s="389"/>
      <c r="Q1" s="387"/>
      <c r="R1" s="389"/>
      <c r="AB1" s="226" t="e">
        <f>IF(Y5=1,CONCATENATE(VLOOKUP(Y3,AA16:AH27,2)),CONCATENATE(VLOOKUP(Y3,AA2:AK13,2)))</f>
        <v>#N/A</v>
      </c>
      <c r="AC1" s="226" t="e">
        <f>IF(Y5=1,CONCATENATE(VLOOKUP(Y3,AA16:AK27,3)),CONCATENATE(VLOOKUP(Y3,AA2:AK13,3)))</f>
        <v>#N/A</v>
      </c>
      <c r="AD1" s="226" t="e">
        <f>IF(Y5=1,CONCATENATE(VLOOKUP(Y3,AA16:AK27,4)),CONCATENATE(VLOOKUP(Y3,AA2:AK13,4)))</f>
        <v>#N/A</v>
      </c>
      <c r="AE1" s="226" t="e">
        <f>IF(Y5=1,CONCATENATE(VLOOKUP(Y3,AA16:AK27,5)),CONCATENATE(VLOOKUP(Y3,AA2:AK13,5)))</f>
        <v>#N/A</v>
      </c>
      <c r="AF1" s="226" t="e">
        <f>IF(Y5=1,CONCATENATE(VLOOKUP(Y3,AA16:AK27,6)),CONCATENATE(VLOOKUP(Y3,AA2:AK13,6)))</f>
        <v>#N/A</v>
      </c>
      <c r="AG1" s="226" t="e">
        <f>IF(Y5=1,CONCATENATE(VLOOKUP(Y3,AA16:AK27,7)),CONCATENATE(VLOOKUP(Y3,AA2:AK13,7)))</f>
        <v>#N/A</v>
      </c>
      <c r="AH1" s="226" t="e">
        <f>IF(Y5=1,CONCATENATE(VLOOKUP(Y3,AA16:AK27,8)),CONCATENATE(VLOOKUP(Y3,AA2:AK13,8)))</f>
        <v>#N/A</v>
      </c>
      <c r="AI1" s="226" t="e">
        <f>IF(Y5=1,CONCATENATE(VLOOKUP(Y3,AA16:AK27,9)),CONCATENATE(VLOOKUP(Y3,AA2:AK13,9)))</f>
        <v>#N/A</v>
      </c>
      <c r="AJ1" s="226" t="e">
        <f>IF(Y5=1,CONCATENATE(VLOOKUP(Y3,AA16:AK27,10)),CONCATENATE(VLOOKUP(Y3,AA2:AK13,10)))</f>
        <v>#N/A</v>
      </c>
      <c r="AK1" s="226" t="e">
        <f>IF(Y5=1,CONCATENATE(VLOOKUP(Y3,AA16:AK27,11)),CONCATENATE(VLOOKUP(Y3,AA2:AK13,11)))</f>
        <v>#N/A</v>
      </c>
    </row>
    <row r="2" spans="1:37" x14ac:dyDescent="0.25">
      <c r="A2" s="228" t="s">
        <v>38</v>
      </c>
      <c r="B2" s="229"/>
      <c r="C2" s="229"/>
      <c r="D2" s="229"/>
      <c r="E2" s="229">
        <f>[8]Altalanos!$A$8</f>
        <v>0</v>
      </c>
      <c r="F2" s="229"/>
      <c r="G2" s="230"/>
      <c r="H2" s="231"/>
      <c r="I2" s="231"/>
      <c r="J2" s="232"/>
      <c r="K2" s="222"/>
      <c r="L2" s="222"/>
      <c r="M2" s="222"/>
      <c r="N2" s="397"/>
      <c r="O2" s="396"/>
      <c r="P2" s="397"/>
      <c r="Q2" s="396"/>
      <c r="R2" s="397"/>
      <c r="Y2" s="235"/>
      <c r="Z2" s="236"/>
      <c r="AA2" s="236" t="s">
        <v>52</v>
      </c>
      <c r="AB2" s="237">
        <v>150</v>
      </c>
      <c r="AC2" s="237">
        <v>120</v>
      </c>
      <c r="AD2" s="237">
        <v>100</v>
      </c>
      <c r="AE2" s="237">
        <v>80</v>
      </c>
      <c r="AF2" s="237">
        <v>70</v>
      </c>
      <c r="AG2" s="237">
        <v>60</v>
      </c>
      <c r="AH2" s="237">
        <v>55</v>
      </c>
      <c r="AI2" s="237">
        <v>50</v>
      </c>
      <c r="AJ2" s="237">
        <v>45</v>
      </c>
      <c r="AK2" s="237">
        <v>40</v>
      </c>
    </row>
    <row r="3" spans="1:37" x14ac:dyDescent="0.25">
      <c r="A3" s="238" t="s">
        <v>20</v>
      </c>
      <c r="B3" s="238"/>
      <c r="C3" s="238"/>
      <c r="D3" s="238"/>
      <c r="E3" s="238" t="s">
        <v>17</v>
      </c>
      <c r="F3" s="238"/>
      <c r="G3" s="238"/>
      <c r="H3" s="238" t="s">
        <v>25</v>
      </c>
      <c r="I3" s="238"/>
      <c r="J3" s="239"/>
      <c r="K3" s="238"/>
      <c r="L3" s="240" t="s">
        <v>26</v>
      </c>
      <c r="M3" s="238"/>
      <c r="N3" s="476"/>
      <c r="O3" s="477"/>
      <c r="P3" s="476"/>
      <c r="Y3" s="236">
        <f>IF(H4="OB","A",IF(H4="IX","W",H4))</f>
        <v>0</v>
      </c>
      <c r="Z3" s="236"/>
      <c r="AA3" s="236" t="s">
        <v>82</v>
      </c>
      <c r="AB3" s="237">
        <v>120</v>
      </c>
      <c r="AC3" s="237">
        <v>90</v>
      </c>
      <c r="AD3" s="237">
        <v>65</v>
      </c>
      <c r="AE3" s="237">
        <v>55</v>
      </c>
      <c r="AF3" s="237">
        <v>50</v>
      </c>
      <c r="AG3" s="237">
        <v>45</v>
      </c>
      <c r="AH3" s="237">
        <v>40</v>
      </c>
      <c r="AI3" s="237">
        <v>35</v>
      </c>
      <c r="AJ3" s="237">
        <v>25</v>
      </c>
      <c r="AK3" s="237">
        <v>20</v>
      </c>
    </row>
    <row r="4" spans="1:37" ht="13.8" thickBot="1" x14ac:dyDescent="0.3">
      <c r="A4" s="243">
        <f>[8]Altalanos!$A$10</f>
        <v>0</v>
      </c>
      <c r="B4" s="243"/>
      <c r="C4" s="243"/>
      <c r="D4" s="244"/>
      <c r="E4" s="245">
        <f>[8]Altalanos!$C$10</f>
        <v>0</v>
      </c>
      <c r="F4" s="245"/>
      <c r="G4" s="245"/>
      <c r="H4" s="137"/>
      <c r="I4" s="245"/>
      <c r="J4" s="247"/>
      <c r="K4" s="137"/>
      <c r="L4" s="249">
        <f>[8]Altalanos!$E$10</f>
        <v>0</v>
      </c>
      <c r="M4" s="137"/>
      <c r="N4" s="478"/>
      <c r="O4" s="479"/>
      <c r="P4" s="478"/>
      <c r="Y4" s="236"/>
      <c r="Z4" s="236"/>
      <c r="AA4" s="236" t="s">
        <v>83</v>
      </c>
      <c r="AB4" s="237">
        <v>90</v>
      </c>
      <c r="AC4" s="237">
        <v>60</v>
      </c>
      <c r="AD4" s="237">
        <v>45</v>
      </c>
      <c r="AE4" s="237">
        <v>34</v>
      </c>
      <c r="AF4" s="237">
        <v>27</v>
      </c>
      <c r="AG4" s="237">
        <v>22</v>
      </c>
      <c r="AH4" s="237">
        <v>18</v>
      </c>
      <c r="AI4" s="237">
        <v>15</v>
      </c>
      <c r="AJ4" s="237">
        <v>12</v>
      </c>
      <c r="AK4" s="237">
        <v>9</v>
      </c>
    </row>
    <row r="5" spans="1:37" x14ac:dyDescent="0.25">
      <c r="A5" s="480"/>
      <c r="B5" s="480" t="s">
        <v>37</v>
      </c>
      <c r="C5" s="481" t="s">
        <v>50</v>
      </c>
      <c r="D5" s="480" t="s">
        <v>32</v>
      </c>
      <c r="E5" s="480" t="s">
        <v>55</v>
      </c>
      <c r="F5" s="480"/>
      <c r="G5" s="480" t="s">
        <v>24</v>
      </c>
      <c r="H5" s="480"/>
      <c r="I5" s="480" t="s">
        <v>27</v>
      </c>
      <c r="J5" s="480"/>
      <c r="K5" s="482" t="s">
        <v>56</v>
      </c>
      <c r="L5" s="482" t="s">
        <v>57</v>
      </c>
      <c r="M5" s="482" t="s">
        <v>58</v>
      </c>
      <c r="N5" s="483" t="s">
        <v>66</v>
      </c>
      <c r="O5" s="237" t="s">
        <v>72</v>
      </c>
      <c r="P5" s="237" t="s">
        <v>67</v>
      </c>
      <c r="Y5" s="236">
        <f>IF(OR([8]Altalanos!$A$8="F1",[8]Altalanos!$A$8="F2",[8]Altalanos!$A$8="N1",[8]Altalanos!$A$8="N2"),1,2)</f>
        <v>2</v>
      </c>
      <c r="Z5" s="236"/>
      <c r="AA5" s="236" t="s">
        <v>84</v>
      </c>
      <c r="AB5" s="237">
        <v>60</v>
      </c>
      <c r="AC5" s="237">
        <v>40</v>
      </c>
      <c r="AD5" s="237">
        <v>30</v>
      </c>
      <c r="AE5" s="237">
        <v>20</v>
      </c>
      <c r="AF5" s="237">
        <v>18</v>
      </c>
      <c r="AG5" s="237">
        <v>15</v>
      </c>
      <c r="AH5" s="237">
        <v>12</v>
      </c>
      <c r="AI5" s="237">
        <v>10</v>
      </c>
      <c r="AJ5" s="237">
        <v>8</v>
      </c>
      <c r="AK5" s="237">
        <v>6</v>
      </c>
    </row>
    <row r="6" spans="1:37" x14ac:dyDescent="0.25">
      <c r="A6" s="385"/>
      <c r="B6" s="385"/>
      <c r="C6" s="234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484" t="s">
        <v>73</v>
      </c>
      <c r="O6" s="485" t="s">
        <v>68</v>
      </c>
      <c r="P6" s="485" t="s">
        <v>69</v>
      </c>
      <c r="Y6" s="236"/>
      <c r="Z6" s="236"/>
      <c r="AA6" s="236" t="s">
        <v>85</v>
      </c>
      <c r="AB6" s="237">
        <v>40</v>
      </c>
      <c r="AC6" s="237">
        <v>25</v>
      </c>
      <c r="AD6" s="237">
        <v>18</v>
      </c>
      <c r="AE6" s="237">
        <v>13</v>
      </c>
      <c r="AF6" s="237">
        <v>10</v>
      </c>
      <c r="AG6" s="237">
        <v>8</v>
      </c>
      <c r="AH6" s="237">
        <v>6</v>
      </c>
      <c r="AI6" s="237">
        <v>5</v>
      </c>
      <c r="AJ6" s="237">
        <v>4</v>
      </c>
      <c r="AK6" s="237">
        <v>3</v>
      </c>
    </row>
    <row r="7" spans="1:37" x14ac:dyDescent="0.25">
      <c r="A7" s="486" t="s">
        <v>52</v>
      </c>
      <c r="B7" s="487"/>
      <c r="C7" s="271" t="str">
        <f>IF($B7="","",VLOOKUP($B7,'[8]1MD ELO'!$A$7:$O$22,5))</f>
        <v/>
      </c>
      <c r="D7" s="271" t="str">
        <f>IF($B7="","",VLOOKUP($B7,'[8]1MD ELO'!$A$7:$O$22,15))</f>
        <v/>
      </c>
      <c r="E7" s="312" t="s">
        <v>201</v>
      </c>
      <c r="F7" s="488"/>
      <c r="G7" s="312" t="str">
        <f>IF($B7="","",VLOOKUP($B7,'[8]1MD ELO'!$A$7:$O$22,3))</f>
        <v/>
      </c>
      <c r="H7" s="488"/>
      <c r="I7" s="312" t="s">
        <v>202</v>
      </c>
      <c r="J7" s="385"/>
      <c r="K7" s="489">
        <v>2</v>
      </c>
      <c r="L7" s="490" t="e">
        <f>IF(K7="","",CONCATENATE(VLOOKUP($Y$3,$AB$1:$AK$1,K7)," pont"))</f>
        <v>#N/A</v>
      </c>
      <c r="M7" s="491"/>
      <c r="N7" s="492" t="s">
        <v>74</v>
      </c>
      <c r="O7" s="493" t="s">
        <v>70</v>
      </c>
      <c r="P7" s="493" t="s">
        <v>71</v>
      </c>
      <c r="Y7" s="236"/>
      <c r="Z7" s="236"/>
      <c r="AA7" s="236" t="s">
        <v>86</v>
      </c>
      <c r="AB7" s="237">
        <v>25</v>
      </c>
      <c r="AC7" s="237">
        <v>15</v>
      </c>
      <c r="AD7" s="237">
        <v>13</v>
      </c>
      <c r="AE7" s="237">
        <v>8</v>
      </c>
      <c r="AF7" s="237">
        <v>6</v>
      </c>
      <c r="AG7" s="237">
        <v>4</v>
      </c>
      <c r="AH7" s="237">
        <v>3</v>
      </c>
      <c r="AI7" s="237">
        <v>2</v>
      </c>
      <c r="AJ7" s="237">
        <v>1</v>
      </c>
      <c r="AK7" s="237">
        <v>0</v>
      </c>
    </row>
    <row r="8" spans="1:37" x14ac:dyDescent="0.25">
      <c r="A8" s="494"/>
      <c r="B8" s="495"/>
      <c r="C8" s="385"/>
      <c r="D8" s="385"/>
      <c r="E8" s="385"/>
      <c r="F8" s="385"/>
      <c r="G8" s="385"/>
      <c r="H8" s="385"/>
      <c r="I8" s="385"/>
      <c r="J8" s="385"/>
      <c r="K8" s="494"/>
      <c r="L8" s="494"/>
      <c r="M8" s="496"/>
      <c r="Y8" s="236"/>
      <c r="Z8" s="236"/>
      <c r="AA8" s="236" t="s">
        <v>87</v>
      </c>
      <c r="AB8" s="237">
        <v>15</v>
      </c>
      <c r="AC8" s="237">
        <v>10</v>
      </c>
      <c r="AD8" s="237">
        <v>7</v>
      </c>
      <c r="AE8" s="237">
        <v>5</v>
      </c>
      <c r="AF8" s="237">
        <v>4</v>
      </c>
      <c r="AG8" s="237">
        <v>3</v>
      </c>
      <c r="AH8" s="237">
        <v>2</v>
      </c>
      <c r="AI8" s="237">
        <v>1</v>
      </c>
      <c r="AJ8" s="237">
        <v>0</v>
      </c>
      <c r="AK8" s="237">
        <v>0</v>
      </c>
    </row>
    <row r="9" spans="1:37" x14ac:dyDescent="0.25">
      <c r="A9" s="494" t="s">
        <v>53</v>
      </c>
      <c r="B9" s="497"/>
      <c r="C9" s="271" t="str">
        <f>IF($B9="","",VLOOKUP($B9,'[8]1MD ELO'!$A$7:$O$22,5))</f>
        <v/>
      </c>
      <c r="D9" s="271" t="str">
        <f>IF($B9="","",VLOOKUP($B9,'[8]1MD ELO'!$A$7:$O$22,15))</f>
        <v/>
      </c>
      <c r="E9" s="294" t="s">
        <v>203</v>
      </c>
      <c r="F9" s="498"/>
      <c r="G9" s="294" t="str">
        <f>IF($B9="","",VLOOKUP($B9,'[8]1MD ELO'!$A$7:$O$22,3))</f>
        <v/>
      </c>
      <c r="H9" s="498"/>
      <c r="I9" s="294" t="s">
        <v>204</v>
      </c>
      <c r="J9" s="385"/>
      <c r="K9" s="489">
        <v>4</v>
      </c>
      <c r="L9" s="490" t="e">
        <f>IF(K9="","",CONCATENATE(VLOOKUP($Y$3,$AB$1:$AK$1,K9)," pont"))</f>
        <v>#N/A</v>
      </c>
      <c r="M9" s="491"/>
      <c r="N9" s="483" t="s">
        <v>66</v>
      </c>
      <c r="O9" s="237" t="s">
        <v>101</v>
      </c>
      <c r="P9" s="237" t="s">
        <v>103</v>
      </c>
      <c r="Y9" s="236"/>
      <c r="Z9" s="236"/>
      <c r="AA9" s="236" t="s">
        <v>88</v>
      </c>
      <c r="AB9" s="237">
        <v>10</v>
      </c>
      <c r="AC9" s="237">
        <v>6</v>
      </c>
      <c r="AD9" s="237">
        <v>4</v>
      </c>
      <c r="AE9" s="237">
        <v>2</v>
      </c>
      <c r="AF9" s="237">
        <v>1</v>
      </c>
      <c r="AG9" s="237">
        <v>0</v>
      </c>
      <c r="AH9" s="237">
        <v>0</v>
      </c>
      <c r="AI9" s="237">
        <v>0</v>
      </c>
      <c r="AJ9" s="237">
        <v>0</v>
      </c>
      <c r="AK9" s="237">
        <v>0</v>
      </c>
    </row>
    <row r="10" spans="1:37" x14ac:dyDescent="0.25">
      <c r="A10" s="494"/>
      <c r="B10" s="495"/>
      <c r="C10" s="385"/>
      <c r="D10" s="385"/>
      <c r="E10" s="385"/>
      <c r="F10" s="385"/>
      <c r="G10" s="385"/>
      <c r="H10" s="385"/>
      <c r="I10" s="385"/>
      <c r="J10" s="385"/>
      <c r="K10" s="494"/>
      <c r="L10" s="494"/>
      <c r="M10" s="496"/>
      <c r="N10" s="484" t="s">
        <v>73</v>
      </c>
      <c r="O10" s="485" t="s">
        <v>102</v>
      </c>
      <c r="P10" s="485" t="s">
        <v>104</v>
      </c>
      <c r="Y10" s="236"/>
      <c r="Z10" s="236"/>
      <c r="AA10" s="236" t="s">
        <v>89</v>
      </c>
      <c r="AB10" s="237">
        <v>6</v>
      </c>
      <c r="AC10" s="237">
        <v>3</v>
      </c>
      <c r="AD10" s="237">
        <v>2</v>
      </c>
      <c r="AE10" s="237">
        <v>1</v>
      </c>
      <c r="AF10" s="237">
        <v>0</v>
      </c>
      <c r="AG10" s="237">
        <v>0</v>
      </c>
      <c r="AH10" s="237">
        <v>0</v>
      </c>
      <c r="AI10" s="237">
        <v>0</v>
      </c>
      <c r="AJ10" s="237">
        <v>0</v>
      </c>
      <c r="AK10" s="237">
        <v>0</v>
      </c>
    </row>
    <row r="11" spans="1:37" x14ac:dyDescent="0.25">
      <c r="A11" s="494" t="s">
        <v>54</v>
      </c>
      <c r="B11" s="497"/>
      <c r="C11" s="271" t="str">
        <f>IF($B11="","",VLOOKUP($B11,'[8]1MD ELO'!$A$7:$O$22,5))</f>
        <v/>
      </c>
      <c r="D11" s="271" t="str">
        <f>IF($B11="","",VLOOKUP($B11,'[8]1MD ELO'!$A$7:$O$22,15))</f>
        <v/>
      </c>
      <c r="E11" s="294" t="s">
        <v>205</v>
      </c>
      <c r="F11" s="498"/>
      <c r="G11" s="294" t="str">
        <f>IF($B11="","",VLOOKUP($B11,'[8]1MD ELO'!$A$7:$O$22,3))</f>
        <v/>
      </c>
      <c r="H11" s="498"/>
      <c r="I11" s="294" t="s">
        <v>204</v>
      </c>
      <c r="J11" s="385"/>
      <c r="K11" s="489"/>
      <c r="L11" s="490" t="str">
        <f>IF(K11="","",CONCATENATE(VLOOKUP($Y$3,$AB$1:$AK$1,K11)," pont"))</f>
        <v/>
      </c>
      <c r="M11" s="491"/>
      <c r="N11" s="492" t="s">
        <v>74</v>
      </c>
      <c r="O11" s="493" t="s">
        <v>78</v>
      </c>
      <c r="P11" s="493" t="s">
        <v>105</v>
      </c>
      <c r="Y11" s="236"/>
      <c r="Z11" s="236"/>
      <c r="AA11" s="236" t="s">
        <v>94</v>
      </c>
      <c r="AB11" s="237">
        <v>3</v>
      </c>
      <c r="AC11" s="237">
        <v>2</v>
      </c>
      <c r="AD11" s="237">
        <v>1</v>
      </c>
      <c r="AE11" s="237">
        <v>0</v>
      </c>
      <c r="AF11" s="237">
        <v>0</v>
      </c>
      <c r="AG11" s="237">
        <v>0</v>
      </c>
      <c r="AH11" s="237">
        <v>0</v>
      </c>
      <c r="AI11" s="237">
        <v>0</v>
      </c>
      <c r="AJ11" s="237">
        <v>0</v>
      </c>
      <c r="AK11" s="237">
        <v>0</v>
      </c>
    </row>
    <row r="12" spans="1:37" x14ac:dyDescent="0.25">
      <c r="A12" s="385"/>
      <c r="B12" s="486"/>
      <c r="C12" s="234"/>
      <c r="D12" s="385"/>
      <c r="E12" s="385"/>
      <c r="F12" s="385"/>
      <c r="G12" s="385"/>
      <c r="H12" s="385"/>
      <c r="I12" s="385"/>
      <c r="J12" s="385"/>
      <c r="K12" s="234"/>
      <c r="L12" s="234"/>
      <c r="M12" s="496"/>
      <c r="Y12" s="236"/>
      <c r="Z12" s="236"/>
      <c r="AA12" s="236" t="s">
        <v>90</v>
      </c>
      <c r="AB12" s="499">
        <v>0</v>
      </c>
      <c r="AC12" s="499">
        <v>0</v>
      </c>
      <c r="AD12" s="499">
        <v>0</v>
      </c>
      <c r="AE12" s="499">
        <v>0</v>
      </c>
      <c r="AF12" s="499">
        <v>0</v>
      </c>
      <c r="AG12" s="499">
        <v>0</v>
      </c>
      <c r="AH12" s="499">
        <v>0</v>
      </c>
      <c r="AI12" s="499">
        <v>0</v>
      </c>
      <c r="AJ12" s="499">
        <v>0</v>
      </c>
      <c r="AK12" s="499">
        <v>0</v>
      </c>
    </row>
    <row r="13" spans="1:37" x14ac:dyDescent="0.25">
      <c r="A13" s="486" t="s">
        <v>59</v>
      </c>
      <c r="B13" s="487"/>
      <c r="C13" s="271" t="str">
        <f>IF($B13="","",VLOOKUP($B13,'[8]1MD ELO'!$A$7:$O$22,5))</f>
        <v/>
      </c>
      <c r="D13" s="271" t="str">
        <f>IF($B13="","",VLOOKUP($B13,'[8]1MD ELO'!$A$7:$O$22,15))</f>
        <v/>
      </c>
      <c r="E13" s="312" t="s">
        <v>206</v>
      </c>
      <c r="F13" s="488"/>
      <c r="G13" s="312" t="str">
        <f>IF($B13="","",VLOOKUP($B13,'[8]1MD ELO'!$A$7:$O$22,3))</f>
        <v/>
      </c>
      <c r="H13" s="488"/>
      <c r="I13" s="312" t="s">
        <v>204</v>
      </c>
      <c r="J13" s="385"/>
      <c r="K13" s="489"/>
      <c r="L13" s="490" t="str">
        <f>IF(K13="","",CONCATENATE(VLOOKUP($Y$3,$AB$1:$AK$1,K13)," pont"))</f>
        <v/>
      </c>
      <c r="M13" s="491"/>
      <c r="Y13" s="236"/>
      <c r="Z13" s="236"/>
      <c r="AA13" s="236" t="s">
        <v>91</v>
      </c>
      <c r="AB13" s="499">
        <v>0</v>
      </c>
      <c r="AC13" s="499">
        <v>0</v>
      </c>
      <c r="AD13" s="499">
        <v>0</v>
      </c>
      <c r="AE13" s="499">
        <v>0</v>
      </c>
      <c r="AF13" s="499">
        <v>0</v>
      </c>
      <c r="AG13" s="499">
        <v>0</v>
      </c>
      <c r="AH13" s="499">
        <v>0</v>
      </c>
      <c r="AI13" s="499">
        <v>0</v>
      </c>
      <c r="AJ13" s="499">
        <v>0</v>
      </c>
      <c r="AK13" s="499">
        <v>0</v>
      </c>
    </row>
    <row r="14" spans="1:37" x14ac:dyDescent="0.25">
      <c r="A14" s="494"/>
      <c r="B14" s="495"/>
      <c r="C14" s="385"/>
      <c r="D14" s="385"/>
      <c r="E14" s="385"/>
      <c r="F14" s="385"/>
      <c r="G14" s="385"/>
      <c r="H14" s="385"/>
      <c r="I14" s="385"/>
      <c r="J14" s="385"/>
      <c r="K14" s="494"/>
      <c r="L14" s="494"/>
      <c r="M14" s="49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</row>
    <row r="15" spans="1:37" x14ac:dyDescent="0.25">
      <c r="A15" s="494" t="s">
        <v>60</v>
      </c>
      <c r="B15" s="497"/>
      <c r="C15" s="271" t="str">
        <f>IF($B15="","",VLOOKUP($B15,'[8]1MD ELO'!$A$7:$O$22,5))</f>
        <v/>
      </c>
      <c r="D15" s="271" t="str">
        <f>IF($B15="","",VLOOKUP($B15,'[8]1MD ELO'!$A$7:$O$22,15))</f>
        <v/>
      </c>
      <c r="E15" s="294" t="s">
        <v>207</v>
      </c>
      <c r="F15" s="498"/>
      <c r="G15" s="294" t="str">
        <f>IF($B15="","",VLOOKUP($B15,'[8]1MD ELO'!$A$7:$O$22,3))</f>
        <v/>
      </c>
      <c r="H15" s="498"/>
      <c r="I15" s="294" t="s">
        <v>204</v>
      </c>
      <c r="J15" s="385"/>
      <c r="K15" s="489">
        <v>3</v>
      </c>
      <c r="L15" s="490" t="e">
        <f>IF(K15="","",CONCATENATE(VLOOKUP($Y$3,$AB$1:$AK$1,K15)," pont"))</f>
        <v>#N/A</v>
      </c>
      <c r="M15" s="491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</row>
    <row r="16" spans="1:37" x14ac:dyDescent="0.25">
      <c r="A16" s="494"/>
      <c r="B16" s="495"/>
      <c r="C16" s="385"/>
      <c r="D16" s="385"/>
      <c r="E16" s="385"/>
      <c r="F16" s="385"/>
      <c r="G16" s="385"/>
      <c r="H16" s="385"/>
      <c r="I16" s="385"/>
      <c r="J16" s="385"/>
      <c r="K16" s="494"/>
      <c r="L16" s="494"/>
      <c r="M16" s="496"/>
      <c r="Y16" s="236"/>
      <c r="Z16" s="236"/>
      <c r="AA16" s="236" t="s">
        <v>52</v>
      </c>
      <c r="AB16" s="236">
        <v>300</v>
      </c>
      <c r="AC16" s="236">
        <v>250</v>
      </c>
      <c r="AD16" s="236">
        <v>220</v>
      </c>
      <c r="AE16" s="236">
        <v>180</v>
      </c>
      <c r="AF16" s="236">
        <v>160</v>
      </c>
      <c r="AG16" s="236">
        <v>150</v>
      </c>
      <c r="AH16" s="236">
        <v>140</v>
      </c>
      <c r="AI16" s="236">
        <v>130</v>
      </c>
      <c r="AJ16" s="236">
        <v>120</v>
      </c>
      <c r="AK16" s="236">
        <v>110</v>
      </c>
    </row>
    <row r="17" spans="1:37" x14ac:dyDescent="0.25">
      <c r="A17" s="494" t="s">
        <v>61</v>
      </c>
      <c r="B17" s="497"/>
      <c r="C17" s="271" t="str">
        <f>IF($B17="","",VLOOKUP($B17,'[8]1MD ELO'!$A$7:$O$22,5))</f>
        <v/>
      </c>
      <c r="D17" s="271" t="str">
        <f>IF($B17="","",VLOOKUP($B17,'[8]1MD ELO'!$A$7:$O$22,15))</f>
        <v/>
      </c>
      <c r="E17" s="294" t="s">
        <v>208</v>
      </c>
      <c r="F17" s="498"/>
      <c r="G17" s="294" t="str">
        <f>IF($B17="","",VLOOKUP($B17,'[8]1MD ELO'!$A$7:$O$22,3))</f>
        <v/>
      </c>
      <c r="H17" s="498"/>
      <c r="I17" s="294" t="s">
        <v>209</v>
      </c>
      <c r="J17" s="385"/>
      <c r="K17" s="489"/>
      <c r="L17" s="490" t="str">
        <f>IF(K17="","",CONCATENATE(VLOOKUP($Y$3,$AB$1:$AK$1,K17)," pont"))</f>
        <v/>
      </c>
      <c r="M17" s="491"/>
      <c r="Y17" s="236"/>
      <c r="Z17" s="236"/>
      <c r="AA17" s="236" t="s">
        <v>82</v>
      </c>
      <c r="AB17" s="236">
        <v>250</v>
      </c>
      <c r="AC17" s="236">
        <v>200</v>
      </c>
      <c r="AD17" s="236">
        <v>160</v>
      </c>
      <c r="AE17" s="236">
        <v>140</v>
      </c>
      <c r="AF17" s="236">
        <v>120</v>
      </c>
      <c r="AG17" s="236">
        <v>110</v>
      </c>
      <c r="AH17" s="236">
        <v>100</v>
      </c>
      <c r="AI17" s="236">
        <v>90</v>
      </c>
      <c r="AJ17" s="236">
        <v>80</v>
      </c>
      <c r="AK17" s="236">
        <v>70</v>
      </c>
    </row>
    <row r="18" spans="1:37" x14ac:dyDescent="0.25">
      <c r="A18" s="494"/>
      <c r="B18" s="495"/>
      <c r="C18" s="385"/>
      <c r="D18" s="385"/>
      <c r="E18" s="385"/>
      <c r="F18" s="385"/>
      <c r="G18" s="385"/>
      <c r="H18" s="385"/>
      <c r="I18" s="385"/>
      <c r="J18" s="385"/>
      <c r="K18" s="494"/>
      <c r="L18" s="494"/>
      <c r="M18" s="496"/>
      <c r="Y18" s="236"/>
      <c r="Z18" s="236"/>
      <c r="AA18" s="236" t="s">
        <v>83</v>
      </c>
      <c r="AB18" s="236">
        <v>200</v>
      </c>
      <c r="AC18" s="236">
        <v>150</v>
      </c>
      <c r="AD18" s="236">
        <v>130</v>
      </c>
      <c r="AE18" s="236">
        <v>110</v>
      </c>
      <c r="AF18" s="236">
        <v>95</v>
      </c>
      <c r="AG18" s="236">
        <v>80</v>
      </c>
      <c r="AH18" s="236">
        <v>70</v>
      </c>
      <c r="AI18" s="236">
        <v>60</v>
      </c>
      <c r="AJ18" s="236">
        <v>55</v>
      </c>
      <c r="AK18" s="236">
        <v>50</v>
      </c>
    </row>
    <row r="19" spans="1:37" x14ac:dyDescent="0.25">
      <c r="A19" s="538" t="s">
        <v>65</v>
      </c>
      <c r="B19" s="497"/>
      <c r="C19" s="271" t="str">
        <f>IF($B19="","",VLOOKUP($B19,'[8]1MD ELO'!$A$7:$O$22,5))</f>
        <v/>
      </c>
      <c r="D19" s="271" t="str">
        <f>IF($B19="","",VLOOKUP($B19,'[8]1MD ELO'!$A$7:$O$22,15))</f>
        <v/>
      </c>
      <c r="E19" s="294" t="s">
        <v>210</v>
      </c>
      <c r="F19" s="498"/>
      <c r="G19" s="294" t="str">
        <f>IF($B19="","",VLOOKUP($B19,'[8]1MD ELO'!$A$7:$O$22,3))</f>
        <v/>
      </c>
      <c r="H19" s="498"/>
      <c r="I19" s="294" t="s">
        <v>211</v>
      </c>
      <c r="J19" s="385"/>
      <c r="K19" s="489">
        <v>1</v>
      </c>
      <c r="L19" s="490" t="e">
        <f>IF(K19="","",CONCATENATE(VLOOKUP($Y$3,$AB$1:$AK$1,K19)," pont"))</f>
        <v>#N/A</v>
      </c>
      <c r="M19" s="491"/>
      <c r="Y19" s="236"/>
      <c r="Z19" s="236"/>
      <c r="AA19" s="236" t="s">
        <v>84</v>
      </c>
      <c r="AB19" s="236">
        <v>150</v>
      </c>
      <c r="AC19" s="236">
        <v>120</v>
      </c>
      <c r="AD19" s="236">
        <v>100</v>
      </c>
      <c r="AE19" s="236">
        <v>80</v>
      </c>
      <c r="AF19" s="236">
        <v>70</v>
      </c>
      <c r="AG19" s="236">
        <v>60</v>
      </c>
      <c r="AH19" s="236">
        <v>55</v>
      </c>
      <c r="AI19" s="236">
        <v>50</v>
      </c>
      <c r="AJ19" s="236">
        <v>45</v>
      </c>
      <c r="AK19" s="236">
        <v>40</v>
      </c>
    </row>
    <row r="20" spans="1:37" x14ac:dyDescent="0.25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Y20" s="236"/>
      <c r="Z20" s="236"/>
      <c r="AA20" s="236" t="s">
        <v>85</v>
      </c>
      <c r="AB20" s="236">
        <v>120</v>
      </c>
      <c r="AC20" s="236">
        <v>90</v>
      </c>
      <c r="AD20" s="236">
        <v>65</v>
      </c>
      <c r="AE20" s="236">
        <v>55</v>
      </c>
      <c r="AF20" s="236">
        <v>50</v>
      </c>
      <c r="AG20" s="236">
        <v>45</v>
      </c>
      <c r="AH20" s="236">
        <v>40</v>
      </c>
      <c r="AI20" s="236">
        <v>35</v>
      </c>
      <c r="AJ20" s="236">
        <v>25</v>
      </c>
      <c r="AK20" s="236">
        <v>20</v>
      </c>
    </row>
    <row r="21" spans="1:37" x14ac:dyDescent="0.25">
      <c r="A21" s="385"/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Y21" s="236"/>
      <c r="Z21" s="236"/>
      <c r="AA21" s="236" t="s">
        <v>86</v>
      </c>
      <c r="AB21" s="236">
        <v>90</v>
      </c>
      <c r="AC21" s="236">
        <v>60</v>
      </c>
      <c r="AD21" s="236">
        <v>45</v>
      </c>
      <c r="AE21" s="236">
        <v>34</v>
      </c>
      <c r="AF21" s="236">
        <v>27</v>
      </c>
      <c r="AG21" s="236">
        <v>22</v>
      </c>
      <c r="AH21" s="236">
        <v>18</v>
      </c>
      <c r="AI21" s="236">
        <v>15</v>
      </c>
      <c r="AJ21" s="236">
        <v>12</v>
      </c>
      <c r="AK21" s="236">
        <v>9</v>
      </c>
    </row>
    <row r="22" spans="1:37" ht="18.75" customHeight="1" x14ac:dyDescent="0.25">
      <c r="A22" s="385"/>
      <c r="B22" s="500"/>
      <c r="C22" s="500"/>
      <c r="D22" s="501" t="str">
        <f>E7</f>
        <v>Gérnyi Zoé</v>
      </c>
      <c r="E22" s="501"/>
      <c r="F22" s="501" t="str">
        <f>E9</f>
        <v>Jászberényi Tamara</v>
      </c>
      <c r="G22" s="501"/>
      <c r="H22" s="501" t="str">
        <f>E11</f>
        <v>Puskás Dóra</v>
      </c>
      <c r="I22" s="501"/>
      <c r="J22" s="385"/>
      <c r="K22" s="385"/>
      <c r="L22" s="385"/>
      <c r="M22" s="502" t="s">
        <v>56</v>
      </c>
      <c r="Y22" s="236"/>
      <c r="Z22" s="236"/>
      <c r="AA22" s="236" t="s">
        <v>87</v>
      </c>
      <c r="AB22" s="236">
        <v>60</v>
      </c>
      <c r="AC22" s="236">
        <v>40</v>
      </c>
      <c r="AD22" s="236">
        <v>30</v>
      </c>
      <c r="AE22" s="236">
        <v>20</v>
      </c>
      <c r="AF22" s="236">
        <v>18</v>
      </c>
      <c r="AG22" s="236">
        <v>15</v>
      </c>
      <c r="AH22" s="236">
        <v>12</v>
      </c>
      <c r="AI22" s="236">
        <v>10</v>
      </c>
      <c r="AJ22" s="236">
        <v>8</v>
      </c>
      <c r="AK22" s="236">
        <v>6</v>
      </c>
    </row>
    <row r="23" spans="1:37" ht="18.75" customHeight="1" x14ac:dyDescent="0.25">
      <c r="A23" s="503" t="s">
        <v>52</v>
      </c>
      <c r="B23" s="504" t="str">
        <f>E7</f>
        <v>Gérnyi Zoé</v>
      </c>
      <c r="C23" s="504"/>
      <c r="D23" s="505"/>
      <c r="E23" s="505"/>
      <c r="F23" s="506" t="s">
        <v>115</v>
      </c>
      <c r="G23" s="507"/>
      <c r="H23" s="506" t="s">
        <v>114</v>
      </c>
      <c r="I23" s="507"/>
      <c r="J23" s="385"/>
      <c r="K23" s="385"/>
      <c r="L23" s="385"/>
      <c r="M23" s="508">
        <v>1</v>
      </c>
      <c r="Y23" s="236"/>
      <c r="Z23" s="236"/>
      <c r="AA23" s="236" t="s">
        <v>88</v>
      </c>
      <c r="AB23" s="236">
        <v>40</v>
      </c>
      <c r="AC23" s="236">
        <v>25</v>
      </c>
      <c r="AD23" s="236">
        <v>18</v>
      </c>
      <c r="AE23" s="236">
        <v>13</v>
      </c>
      <c r="AF23" s="236">
        <v>8</v>
      </c>
      <c r="AG23" s="236">
        <v>7</v>
      </c>
      <c r="AH23" s="236">
        <v>6</v>
      </c>
      <c r="AI23" s="236">
        <v>5</v>
      </c>
      <c r="AJ23" s="236">
        <v>4</v>
      </c>
      <c r="AK23" s="236">
        <v>3</v>
      </c>
    </row>
    <row r="24" spans="1:37" ht="18.75" customHeight="1" x14ac:dyDescent="0.25">
      <c r="A24" s="503" t="s">
        <v>53</v>
      </c>
      <c r="B24" s="504" t="str">
        <f>E9</f>
        <v>Jászberényi Tamara</v>
      </c>
      <c r="C24" s="504"/>
      <c r="D24" s="506" t="s">
        <v>121</v>
      </c>
      <c r="E24" s="507"/>
      <c r="F24" s="505"/>
      <c r="G24" s="505"/>
      <c r="H24" s="506" t="s">
        <v>178</v>
      </c>
      <c r="I24" s="507"/>
      <c r="J24" s="385"/>
      <c r="K24" s="385"/>
      <c r="L24" s="385"/>
      <c r="M24" s="508">
        <v>2</v>
      </c>
      <c r="Y24" s="236"/>
      <c r="Z24" s="236"/>
      <c r="AA24" s="236" t="s">
        <v>89</v>
      </c>
      <c r="AB24" s="236">
        <v>25</v>
      </c>
      <c r="AC24" s="236">
        <v>15</v>
      </c>
      <c r="AD24" s="236">
        <v>13</v>
      </c>
      <c r="AE24" s="236">
        <v>7</v>
      </c>
      <c r="AF24" s="236">
        <v>6</v>
      </c>
      <c r="AG24" s="236">
        <v>5</v>
      </c>
      <c r="AH24" s="236">
        <v>4</v>
      </c>
      <c r="AI24" s="236">
        <v>3</v>
      </c>
      <c r="AJ24" s="236">
        <v>2</v>
      </c>
      <c r="AK24" s="236">
        <v>1</v>
      </c>
    </row>
    <row r="25" spans="1:37" ht="18.75" customHeight="1" x14ac:dyDescent="0.25">
      <c r="A25" s="503" t="s">
        <v>54</v>
      </c>
      <c r="B25" s="504" t="str">
        <f>E11</f>
        <v>Puskás Dóra</v>
      </c>
      <c r="C25" s="504"/>
      <c r="D25" s="506" t="s">
        <v>116</v>
      </c>
      <c r="E25" s="507"/>
      <c r="F25" s="506" t="s">
        <v>212</v>
      </c>
      <c r="G25" s="507"/>
      <c r="H25" s="505"/>
      <c r="I25" s="505"/>
      <c r="J25" s="385"/>
      <c r="K25" s="385"/>
      <c r="L25" s="385"/>
      <c r="M25" s="508">
        <v>3</v>
      </c>
      <c r="Y25" s="236"/>
      <c r="Z25" s="236"/>
      <c r="AA25" s="236" t="s">
        <v>94</v>
      </c>
      <c r="AB25" s="236">
        <v>15</v>
      </c>
      <c r="AC25" s="236">
        <v>10</v>
      </c>
      <c r="AD25" s="236">
        <v>8</v>
      </c>
      <c r="AE25" s="236">
        <v>4</v>
      </c>
      <c r="AF25" s="236">
        <v>3</v>
      </c>
      <c r="AG25" s="236">
        <v>2</v>
      </c>
      <c r="AH25" s="236">
        <v>1</v>
      </c>
      <c r="AI25" s="236">
        <v>0</v>
      </c>
      <c r="AJ25" s="236">
        <v>0</v>
      </c>
      <c r="AK25" s="236">
        <v>0</v>
      </c>
    </row>
    <row r="26" spans="1:37" x14ac:dyDescent="0.25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509"/>
      <c r="Y26" s="236"/>
      <c r="Z26" s="236"/>
      <c r="AA26" s="236" t="s">
        <v>90</v>
      </c>
      <c r="AB26" s="236">
        <v>10</v>
      </c>
      <c r="AC26" s="236">
        <v>6</v>
      </c>
      <c r="AD26" s="236">
        <v>4</v>
      </c>
      <c r="AE26" s="236">
        <v>2</v>
      </c>
      <c r="AF26" s="236">
        <v>1</v>
      </c>
      <c r="AG26" s="236">
        <v>0</v>
      </c>
      <c r="AH26" s="236">
        <v>0</v>
      </c>
      <c r="AI26" s="236">
        <v>0</v>
      </c>
      <c r="AJ26" s="236">
        <v>0</v>
      </c>
      <c r="AK26" s="236">
        <v>0</v>
      </c>
    </row>
    <row r="27" spans="1:37" ht="18.75" customHeight="1" x14ac:dyDescent="0.25">
      <c r="A27" s="385"/>
      <c r="B27" s="500"/>
      <c r="C27" s="500"/>
      <c r="D27" s="501" t="str">
        <f>E13</f>
        <v>Májerhoffer Kamilla</v>
      </c>
      <c r="E27" s="501"/>
      <c r="F27" s="501" t="str">
        <f>E15</f>
        <v>Czóbel Diána</v>
      </c>
      <c r="G27" s="501"/>
      <c r="H27" s="501" t="str">
        <f>E17</f>
        <v>Tavasz Lola</v>
      </c>
      <c r="I27" s="501"/>
      <c r="J27" s="501" t="str">
        <f>E19</f>
        <v>Bariska Fruzsina</v>
      </c>
      <c r="K27" s="501"/>
      <c r="L27" s="385"/>
      <c r="M27" s="509"/>
      <c r="Y27" s="236"/>
      <c r="Z27" s="236"/>
      <c r="AA27" s="236" t="s">
        <v>91</v>
      </c>
      <c r="AB27" s="236">
        <v>3</v>
      </c>
      <c r="AC27" s="236">
        <v>2</v>
      </c>
      <c r="AD27" s="236">
        <v>1</v>
      </c>
      <c r="AE27" s="236">
        <v>0</v>
      </c>
      <c r="AF27" s="236">
        <v>0</v>
      </c>
      <c r="AG27" s="236">
        <v>0</v>
      </c>
      <c r="AH27" s="236">
        <v>0</v>
      </c>
      <c r="AI27" s="236">
        <v>0</v>
      </c>
      <c r="AJ27" s="236">
        <v>0</v>
      </c>
      <c r="AK27" s="236">
        <v>0</v>
      </c>
    </row>
    <row r="28" spans="1:37" ht="18.75" customHeight="1" x14ac:dyDescent="0.25">
      <c r="A28" s="503" t="s">
        <v>59</v>
      </c>
      <c r="B28" s="504" t="str">
        <f>E13</f>
        <v>Májerhoffer Kamilla</v>
      </c>
      <c r="C28" s="504"/>
      <c r="D28" s="505"/>
      <c r="E28" s="505"/>
      <c r="F28" s="506" t="s">
        <v>196</v>
      </c>
      <c r="G28" s="507"/>
      <c r="H28" s="506" t="s">
        <v>213</v>
      </c>
      <c r="I28" s="507"/>
      <c r="J28" s="539" t="s">
        <v>121</v>
      </c>
      <c r="K28" s="501"/>
      <c r="L28" s="385"/>
      <c r="M28" s="508">
        <v>3</v>
      </c>
    </row>
    <row r="29" spans="1:37" ht="18.75" customHeight="1" x14ac:dyDescent="0.25">
      <c r="A29" s="503" t="s">
        <v>60</v>
      </c>
      <c r="B29" s="504" t="str">
        <f>E15</f>
        <v>Czóbel Diána</v>
      </c>
      <c r="C29" s="504"/>
      <c r="D29" s="506" t="s">
        <v>214</v>
      </c>
      <c r="E29" s="507"/>
      <c r="F29" s="505"/>
      <c r="G29" s="505"/>
      <c r="H29" s="506" t="s">
        <v>198</v>
      </c>
      <c r="I29" s="507"/>
      <c r="J29" s="506" t="s">
        <v>122</v>
      </c>
      <c r="K29" s="507"/>
      <c r="L29" s="385"/>
      <c r="M29" s="508">
        <v>2</v>
      </c>
    </row>
    <row r="30" spans="1:37" ht="18.75" customHeight="1" x14ac:dyDescent="0.25">
      <c r="A30" s="503" t="s">
        <v>61</v>
      </c>
      <c r="B30" s="504" t="str">
        <f>E17</f>
        <v>Tavasz Lola</v>
      </c>
      <c r="C30" s="504"/>
      <c r="D30" s="506" t="s">
        <v>215</v>
      </c>
      <c r="E30" s="507"/>
      <c r="F30" s="506" t="s">
        <v>197</v>
      </c>
      <c r="G30" s="507"/>
      <c r="H30" s="505"/>
      <c r="I30" s="505"/>
      <c r="J30" s="506" t="s">
        <v>116</v>
      </c>
      <c r="K30" s="507"/>
      <c r="L30" s="385"/>
      <c r="M30" s="508">
        <v>4</v>
      </c>
    </row>
    <row r="31" spans="1:37" ht="18.75" customHeight="1" x14ac:dyDescent="0.25">
      <c r="A31" s="503" t="s">
        <v>65</v>
      </c>
      <c r="B31" s="504" t="str">
        <f>E19</f>
        <v>Bariska Fruzsina</v>
      </c>
      <c r="C31" s="504"/>
      <c r="D31" s="506" t="s">
        <v>115</v>
      </c>
      <c r="E31" s="507"/>
      <c r="F31" s="506" t="s">
        <v>115</v>
      </c>
      <c r="G31" s="507"/>
      <c r="H31" s="539" t="s">
        <v>114</v>
      </c>
      <c r="I31" s="501"/>
      <c r="J31" s="505"/>
      <c r="K31" s="505"/>
      <c r="L31" s="385"/>
      <c r="M31" s="508">
        <v>1</v>
      </c>
    </row>
    <row r="32" spans="1:37" ht="18.75" customHeight="1" x14ac:dyDescent="0.25">
      <c r="A32" s="509"/>
      <c r="B32" s="540"/>
      <c r="C32" s="540"/>
      <c r="D32" s="509"/>
      <c r="E32" s="509"/>
      <c r="F32" s="509"/>
      <c r="G32" s="509"/>
      <c r="H32" s="509"/>
      <c r="I32" s="509"/>
      <c r="J32" s="385"/>
      <c r="K32" s="385"/>
      <c r="L32" s="385"/>
      <c r="M32" s="541"/>
    </row>
    <row r="33" spans="1:18" x14ac:dyDescent="0.25">
      <c r="A33" s="385"/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</row>
    <row r="34" spans="1:18" x14ac:dyDescent="0.25">
      <c r="A34" s="385" t="s">
        <v>45</v>
      </c>
      <c r="B34" s="385"/>
      <c r="C34" s="510" t="str">
        <f>IF(M23=1,B23,IF(M24=1,B24,IF(M25=1,B25,"")))</f>
        <v>Gérnyi Zoé</v>
      </c>
      <c r="D34" s="510"/>
      <c r="E34" s="494" t="s">
        <v>63</v>
      </c>
      <c r="F34" s="510" t="str">
        <f>IF(M28=1,B28,IF(M29=1,B29,IF(M30=1,B30,IF(M31=1,B31,""))))</f>
        <v>Bariska Fruzsina</v>
      </c>
      <c r="G34" s="510"/>
      <c r="H34" s="385"/>
      <c r="I34" s="512" t="s">
        <v>122</v>
      </c>
      <c r="J34" s="385"/>
      <c r="K34" s="385"/>
      <c r="L34" s="385"/>
      <c r="M34" s="385"/>
    </row>
    <row r="35" spans="1:18" x14ac:dyDescent="0.25">
      <c r="A35" s="385"/>
      <c r="B35" s="385"/>
      <c r="C35" s="385"/>
      <c r="D35" s="385"/>
      <c r="E35" s="385"/>
      <c r="F35" s="494"/>
      <c r="G35" s="494"/>
      <c r="H35" s="385"/>
      <c r="I35" s="385"/>
      <c r="J35" s="385"/>
      <c r="K35" s="385"/>
      <c r="L35" s="385"/>
      <c r="M35" s="385"/>
    </row>
    <row r="36" spans="1:18" x14ac:dyDescent="0.25">
      <c r="A36" s="385" t="s">
        <v>62</v>
      </c>
      <c r="B36" s="385"/>
      <c r="C36" s="510" t="str">
        <f>IF(M23=2,B23,IF(M24=2,B24,IF(M25=2,B25,"")))</f>
        <v>Jászberényi Tamara</v>
      </c>
      <c r="D36" s="510"/>
      <c r="E36" s="494" t="s">
        <v>63</v>
      </c>
      <c r="F36" s="510" t="str">
        <f>IF(M28=2,B28,IF(M29=2,B29,IF(M30=2,B30,IF(M31=2,B31,""))))</f>
        <v>Czóbel Diána</v>
      </c>
      <c r="G36" s="510"/>
      <c r="H36" s="385"/>
      <c r="I36" s="512" t="s">
        <v>122</v>
      </c>
      <c r="J36" s="385"/>
      <c r="K36" s="385"/>
      <c r="L36" s="385"/>
      <c r="M36" s="385"/>
    </row>
    <row r="37" spans="1:18" x14ac:dyDescent="0.25">
      <c r="A37" s="385"/>
      <c r="B37" s="385"/>
      <c r="C37" s="494"/>
      <c r="D37" s="494"/>
      <c r="E37" s="494"/>
      <c r="F37" s="494"/>
      <c r="G37" s="494"/>
      <c r="H37" s="385"/>
      <c r="I37" s="385"/>
      <c r="J37" s="385"/>
      <c r="K37" s="385"/>
      <c r="L37" s="385"/>
      <c r="M37" s="385"/>
    </row>
    <row r="38" spans="1:18" x14ac:dyDescent="0.25">
      <c r="A38" s="385" t="s">
        <v>64</v>
      </c>
      <c r="B38" s="385"/>
      <c r="C38" s="510" t="str">
        <f>IF(M23=3,B23,IF(M24=3,B24,IF(M25=3,B25,"")))</f>
        <v>Puskás Dóra</v>
      </c>
      <c r="D38" s="510"/>
      <c r="E38" s="494" t="s">
        <v>63</v>
      </c>
      <c r="F38" s="510" t="str">
        <f>IF(M28=3,B28,IF(M29=3,B29,IF(M30=3,B30,IF(M31=3,B31,""))))</f>
        <v>Májerhoffer Kamilla</v>
      </c>
      <c r="G38" s="510"/>
      <c r="H38" s="385"/>
      <c r="I38" s="498"/>
      <c r="J38" s="385"/>
      <c r="K38" s="385"/>
      <c r="L38" s="385"/>
      <c r="M38" s="385"/>
    </row>
    <row r="39" spans="1:18" x14ac:dyDescent="0.25">
      <c r="A39" s="385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</row>
    <row r="40" spans="1:18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498"/>
      <c r="M40" s="385"/>
    </row>
    <row r="41" spans="1:18" x14ac:dyDescent="0.25">
      <c r="A41" s="328" t="s">
        <v>32</v>
      </c>
      <c r="B41" s="329"/>
      <c r="C41" s="330"/>
      <c r="D41" s="513" t="s">
        <v>3</v>
      </c>
      <c r="E41" s="514" t="s">
        <v>34</v>
      </c>
      <c r="F41" s="515"/>
      <c r="G41" s="513" t="s">
        <v>3</v>
      </c>
      <c r="H41" s="514" t="s">
        <v>41</v>
      </c>
      <c r="I41" s="516"/>
      <c r="J41" s="514" t="s">
        <v>42</v>
      </c>
      <c r="K41" s="517" t="s">
        <v>43</v>
      </c>
      <c r="L41" s="480"/>
      <c r="M41" s="515"/>
      <c r="P41" s="518"/>
      <c r="Q41" s="518"/>
      <c r="R41" s="519"/>
    </row>
    <row r="42" spans="1:18" x14ac:dyDescent="0.25">
      <c r="A42" s="343" t="s">
        <v>33</v>
      </c>
      <c r="B42" s="344"/>
      <c r="C42" s="346"/>
      <c r="D42" s="520">
        <v>1</v>
      </c>
      <c r="E42" s="521" t="str">
        <f>IF(D42&gt;$R$44,,UPPER(VLOOKUP(D42,'[8]1MD ELO'!$A$7:$Q$134,2)))</f>
        <v/>
      </c>
      <c r="F42" s="521"/>
      <c r="G42" s="522" t="s">
        <v>4</v>
      </c>
      <c r="H42" s="344"/>
      <c r="I42" s="523"/>
      <c r="J42" s="524"/>
      <c r="K42" s="353" t="s">
        <v>35</v>
      </c>
      <c r="L42" s="525"/>
      <c r="M42" s="526"/>
      <c r="P42" s="527"/>
      <c r="Q42" s="527"/>
      <c r="R42" s="461"/>
    </row>
    <row r="43" spans="1:18" x14ac:dyDescent="0.25">
      <c r="A43" s="355" t="s">
        <v>40</v>
      </c>
      <c r="B43" s="356"/>
      <c r="C43" s="358"/>
      <c r="D43" s="528">
        <v>2</v>
      </c>
      <c r="E43" s="529" t="str">
        <f>IF(D43&gt;$R$44,,UPPER(VLOOKUP(D43,'[8]1MD ELO'!$A$7:$Q$134,2)))</f>
        <v/>
      </c>
      <c r="F43" s="529"/>
      <c r="G43" s="530" t="s">
        <v>5</v>
      </c>
      <c r="H43" s="350"/>
      <c r="I43" s="351"/>
      <c r="J43" s="348"/>
      <c r="K43" s="531"/>
      <c r="L43" s="498"/>
      <c r="M43" s="532"/>
      <c r="P43" s="461"/>
      <c r="Q43" s="460"/>
      <c r="R43" s="461"/>
    </row>
    <row r="44" spans="1:18" x14ac:dyDescent="0.25">
      <c r="A44" s="362"/>
      <c r="B44" s="363"/>
      <c r="C44" s="365"/>
      <c r="D44" s="528"/>
      <c r="E44" s="341"/>
      <c r="F44" s="385"/>
      <c r="G44" s="530" t="s">
        <v>6</v>
      </c>
      <c r="H44" s="350"/>
      <c r="I44" s="351"/>
      <c r="J44" s="348"/>
      <c r="K44" s="353" t="s">
        <v>36</v>
      </c>
      <c r="L44" s="525"/>
      <c r="M44" s="526"/>
      <c r="P44" s="527"/>
      <c r="Q44" s="527"/>
      <c r="R44" s="537">
        <f>MIN(4,'[8]1MD ELO'!Q2)</f>
        <v>4</v>
      </c>
    </row>
    <row r="45" spans="1:18" x14ac:dyDescent="0.25">
      <c r="A45" s="366"/>
      <c r="B45" s="252"/>
      <c r="C45" s="367"/>
      <c r="D45" s="528"/>
      <c r="E45" s="341"/>
      <c r="F45" s="385"/>
      <c r="G45" s="530" t="s">
        <v>7</v>
      </c>
      <c r="H45" s="350"/>
      <c r="I45" s="351"/>
      <c r="J45" s="348"/>
      <c r="K45" s="533"/>
      <c r="L45" s="385"/>
      <c r="M45" s="534"/>
      <c r="P45" s="461"/>
      <c r="Q45" s="460"/>
      <c r="R45" s="461"/>
    </row>
    <row r="46" spans="1:18" x14ac:dyDescent="0.25">
      <c r="A46" s="368"/>
      <c r="B46" s="369"/>
      <c r="C46" s="370"/>
      <c r="D46" s="528"/>
      <c r="E46" s="341"/>
      <c r="F46" s="385"/>
      <c r="G46" s="530" t="s">
        <v>8</v>
      </c>
      <c r="H46" s="350"/>
      <c r="I46" s="351"/>
      <c r="J46" s="348"/>
      <c r="K46" s="355"/>
      <c r="L46" s="498"/>
      <c r="M46" s="532"/>
      <c r="P46" s="461"/>
      <c r="Q46" s="460"/>
      <c r="R46" s="461"/>
    </row>
    <row r="47" spans="1:18" x14ac:dyDescent="0.25">
      <c r="A47" s="371"/>
      <c r="B47" s="372"/>
      <c r="C47" s="367"/>
      <c r="D47" s="528"/>
      <c r="E47" s="341"/>
      <c r="F47" s="385"/>
      <c r="G47" s="530" t="s">
        <v>9</v>
      </c>
      <c r="H47" s="350"/>
      <c r="I47" s="351"/>
      <c r="J47" s="348"/>
      <c r="K47" s="353" t="s">
        <v>28</v>
      </c>
      <c r="L47" s="525"/>
      <c r="M47" s="526"/>
      <c r="P47" s="527"/>
      <c r="Q47" s="527"/>
      <c r="R47" s="461"/>
    </row>
    <row r="48" spans="1:18" x14ac:dyDescent="0.25">
      <c r="A48" s="371"/>
      <c r="B48" s="372"/>
      <c r="C48" s="374"/>
      <c r="D48" s="528"/>
      <c r="E48" s="341"/>
      <c r="F48" s="385"/>
      <c r="G48" s="530" t="s">
        <v>10</v>
      </c>
      <c r="H48" s="350"/>
      <c r="I48" s="351"/>
      <c r="J48" s="348"/>
      <c r="K48" s="533"/>
      <c r="L48" s="385"/>
      <c r="M48" s="534"/>
      <c r="P48" s="461"/>
      <c r="Q48" s="460"/>
      <c r="R48" s="461"/>
    </row>
    <row r="49" spans="1:18" x14ac:dyDescent="0.25">
      <c r="A49" s="375"/>
      <c r="B49" s="376"/>
      <c r="C49" s="378"/>
      <c r="D49" s="535"/>
      <c r="E49" s="359"/>
      <c r="F49" s="498"/>
      <c r="G49" s="536" t="s">
        <v>11</v>
      </c>
      <c r="H49" s="356"/>
      <c r="I49" s="360"/>
      <c r="J49" s="380"/>
      <c r="K49" s="355">
        <f>L4</f>
        <v>0</v>
      </c>
      <c r="L49" s="498"/>
      <c r="M49" s="532"/>
      <c r="P49" s="461"/>
      <c r="Q49" s="460"/>
      <c r="R49" s="537"/>
    </row>
  </sheetData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E7 E9 E11 E13 E15 E17 E19">
    <cfRule type="cellIs" dxfId="85" priority="2" stopIfTrue="1" operator="equal">
      <formula>"Bye"</formula>
    </cfRule>
  </conditionalFormatting>
  <conditionalFormatting sqref="R44 R49">
    <cfRule type="expression" dxfId="8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D65A-1CAF-4D3F-8511-D7893F616789}">
  <sheetPr>
    <tabColor indexed="11"/>
  </sheetPr>
  <dimension ref="A1:AK41"/>
  <sheetViews>
    <sheetView workbookViewId="0">
      <selection activeCell="K14" sqref="K14"/>
    </sheetView>
  </sheetViews>
  <sheetFormatPr defaultColWidth="8.77734375" defaultRowHeight="13.2" x14ac:dyDescent="0.25"/>
  <cols>
    <col min="1" max="1" width="5.44140625" style="303" customWidth="1"/>
    <col min="2" max="2" width="4.44140625" style="303" customWidth="1"/>
    <col min="3" max="3" width="8.33203125" style="303" customWidth="1"/>
    <col min="4" max="4" width="7.109375" style="303" customWidth="1"/>
    <col min="5" max="5" width="9.33203125" style="303" customWidth="1"/>
    <col min="6" max="6" width="7.109375" style="303" customWidth="1"/>
    <col min="7" max="7" width="9.33203125" style="303" customWidth="1"/>
    <col min="8" max="8" width="7.109375" style="303" customWidth="1"/>
    <col min="9" max="9" width="9.33203125" style="303" customWidth="1"/>
    <col min="10" max="10" width="7.77734375" style="303" customWidth="1"/>
    <col min="11" max="12" width="8.44140625" style="303" customWidth="1"/>
    <col min="13" max="13" width="7.77734375" style="303" customWidth="1"/>
    <col min="14" max="14" width="8.77734375" style="303"/>
    <col min="15" max="16" width="4.44140625" style="303" customWidth="1"/>
    <col min="17" max="17" width="12.109375" style="303" customWidth="1"/>
    <col min="18" max="18" width="7.77734375" style="303" customWidth="1"/>
    <col min="19" max="19" width="7.44140625" style="303" customWidth="1"/>
    <col min="20" max="24" width="8.77734375" style="303"/>
    <col min="25" max="37" width="0" style="303" hidden="1" customWidth="1"/>
    <col min="38" max="16384" width="8.77734375" style="303"/>
  </cols>
  <sheetData>
    <row r="1" spans="1:37" ht="24.6" x14ac:dyDescent="0.25">
      <c r="A1" s="475" t="str">
        <f>[9]Altalanos!$A$6</f>
        <v>OB</v>
      </c>
      <c r="B1" s="475"/>
      <c r="C1" s="475"/>
      <c r="D1" s="475"/>
      <c r="E1" s="475"/>
      <c r="F1" s="475"/>
      <c r="G1" s="218"/>
      <c r="H1" s="221" t="s">
        <v>39</v>
      </c>
      <c r="I1" s="219"/>
      <c r="J1" s="220"/>
      <c r="L1" s="222"/>
      <c r="M1" s="223"/>
      <c r="N1" s="389"/>
      <c r="O1" s="389" t="s">
        <v>12</v>
      </c>
      <c r="P1" s="389"/>
      <c r="Q1" s="387"/>
      <c r="R1" s="389"/>
      <c r="AB1" s="226" t="e">
        <f>IF(Y5=1,CONCATENATE(VLOOKUP(Y3,AA16:AH27,2)),CONCATENATE(VLOOKUP(Y3,AA2:AK13,2)))</f>
        <v>#N/A</v>
      </c>
      <c r="AC1" s="226" t="e">
        <f>IF(Y5=1,CONCATENATE(VLOOKUP(Y3,AA16:AK27,3)),CONCATENATE(VLOOKUP(Y3,AA2:AK13,3)))</f>
        <v>#N/A</v>
      </c>
      <c r="AD1" s="226" t="e">
        <f>IF(Y5=1,CONCATENATE(VLOOKUP(Y3,AA16:AK27,4)),CONCATENATE(VLOOKUP(Y3,AA2:AK13,4)))</f>
        <v>#N/A</v>
      </c>
      <c r="AE1" s="226" t="e">
        <f>IF(Y5=1,CONCATENATE(VLOOKUP(Y3,AA16:AK27,5)),CONCATENATE(VLOOKUP(Y3,AA2:AK13,5)))</f>
        <v>#N/A</v>
      </c>
      <c r="AF1" s="226" t="e">
        <f>IF(Y5=1,CONCATENATE(VLOOKUP(Y3,AA16:AK27,6)),CONCATENATE(VLOOKUP(Y3,AA2:AK13,6)))</f>
        <v>#N/A</v>
      </c>
      <c r="AG1" s="226" t="e">
        <f>IF(Y5=1,CONCATENATE(VLOOKUP(Y3,AA16:AK27,7)),CONCATENATE(VLOOKUP(Y3,AA2:AK13,7)))</f>
        <v>#N/A</v>
      </c>
      <c r="AH1" s="226" t="e">
        <f>IF(Y5=1,CONCATENATE(VLOOKUP(Y3,AA16:AK27,8)),CONCATENATE(VLOOKUP(Y3,AA2:AK13,8)))</f>
        <v>#N/A</v>
      </c>
      <c r="AI1" s="226" t="e">
        <f>IF(Y5=1,CONCATENATE(VLOOKUP(Y3,AA16:AK27,9)),CONCATENATE(VLOOKUP(Y3,AA2:AK13,9)))</f>
        <v>#N/A</v>
      </c>
      <c r="AJ1" s="226" t="e">
        <f>IF(Y5=1,CONCATENATE(VLOOKUP(Y3,AA16:AK27,10)),CONCATENATE(VLOOKUP(Y3,AA2:AK13,10)))</f>
        <v>#N/A</v>
      </c>
      <c r="AK1" s="226" t="e">
        <f>IF(Y5=1,CONCATENATE(VLOOKUP(Y3,AA16:AK27,11)),CONCATENATE(VLOOKUP(Y3,AA2:AK13,11)))</f>
        <v>#N/A</v>
      </c>
    </row>
    <row r="2" spans="1:37" x14ac:dyDescent="0.25">
      <c r="A2" s="228" t="s">
        <v>38</v>
      </c>
      <c r="B2" s="229"/>
      <c r="C2" s="229"/>
      <c r="D2" s="229"/>
      <c r="E2" s="229">
        <f>[9]Altalanos!$A$8</f>
        <v>0</v>
      </c>
      <c r="F2" s="229"/>
      <c r="G2" s="230"/>
      <c r="H2" s="231"/>
      <c r="I2" s="231"/>
      <c r="J2" s="232"/>
      <c r="K2" s="222"/>
      <c r="L2" s="222"/>
      <c r="M2" s="222"/>
      <c r="N2" s="397"/>
      <c r="O2" s="396"/>
      <c r="P2" s="397"/>
      <c r="Q2" s="396"/>
      <c r="R2" s="397"/>
      <c r="Y2" s="235"/>
      <c r="Z2" s="236"/>
      <c r="AA2" s="236" t="s">
        <v>52</v>
      </c>
      <c r="AB2" s="237">
        <v>150</v>
      </c>
      <c r="AC2" s="237">
        <v>120</v>
      </c>
      <c r="AD2" s="237">
        <v>100</v>
      </c>
      <c r="AE2" s="237">
        <v>80</v>
      </c>
      <c r="AF2" s="237">
        <v>70</v>
      </c>
      <c r="AG2" s="237">
        <v>60</v>
      </c>
      <c r="AH2" s="237">
        <v>55</v>
      </c>
      <c r="AI2" s="237">
        <v>50</v>
      </c>
      <c r="AJ2" s="237">
        <v>45</v>
      </c>
      <c r="AK2" s="237">
        <v>40</v>
      </c>
    </row>
    <row r="3" spans="1:37" x14ac:dyDescent="0.25">
      <c r="A3" s="238" t="s">
        <v>20</v>
      </c>
      <c r="B3" s="238"/>
      <c r="C3" s="238"/>
      <c r="D3" s="238"/>
      <c r="E3" s="238" t="s">
        <v>17</v>
      </c>
      <c r="F3" s="238"/>
      <c r="G3" s="238"/>
      <c r="H3" s="238" t="s">
        <v>25</v>
      </c>
      <c r="I3" s="238"/>
      <c r="J3" s="239"/>
      <c r="K3" s="238"/>
      <c r="L3" s="240"/>
      <c r="M3" s="240" t="s">
        <v>26</v>
      </c>
      <c r="N3" s="483" t="s">
        <v>66</v>
      </c>
      <c r="O3" s="237" t="s">
        <v>72</v>
      </c>
      <c r="P3" s="237" t="s">
        <v>67</v>
      </c>
      <c r="Y3" s="236">
        <f>IF(H4="OB","A",IF(H4="IX","W",H4))</f>
        <v>0</v>
      </c>
      <c r="Z3" s="236"/>
      <c r="AA3" s="236" t="s">
        <v>82</v>
      </c>
      <c r="AB3" s="237">
        <v>120</v>
      </c>
      <c r="AC3" s="237">
        <v>90</v>
      </c>
      <c r="AD3" s="237">
        <v>65</v>
      </c>
      <c r="AE3" s="237">
        <v>55</v>
      </c>
      <c r="AF3" s="237">
        <v>50</v>
      </c>
      <c r="AG3" s="237">
        <v>45</v>
      </c>
      <c r="AH3" s="237">
        <v>40</v>
      </c>
      <c r="AI3" s="237">
        <v>35</v>
      </c>
      <c r="AJ3" s="237">
        <v>25</v>
      </c>
      <c r="AK3" s="237">
        <v>20</v>
      </c>
    </row>
    <row r="4" spans="1:37" ht="13.8" thickBot="1" x14ac:dyDescent="0.3">
      <c r="A4" s="243">
        <f>[9]Altalanos!$A$10</f>
        <v>0</v>
      </c>
      <c r="B4" s="243"/>
      <c r="C4" s="243"/>
      <c r="D4" s="244"/>
      <c r="E4" s="245">
        <f>[9]Altalanos!$C$10</f>
        <v>0</v>
      </c>
      <c r="F4" s="245"/>
      <c r="G4" s="245"/>
      <c r="H4" s="137"/>
      <c r="I4" s="245"/>
      <c r="J4" s="247"/>
      <c r="K4" s="137"/>
      <c r="L4" s="542"/>
      <c r="M4" s="249">
        <f>[9]Altalanos!$E$10</f>
        <v>0</v>
      </c>
      <c r="N4" s="484" t="s">
        <v>73</v>
      </c>
      <c r="O4" s="485" t="s">
        <v>68</v>
      </c>
      <c r="P4" s="485" t="s">
        <v>69</v>
      </c>
      <c r="Y4" s="236"/>
      <c r="Z4" s="236"/>
      <c r="AA4" s="236" t="s">
        <v>83</v>
      </c>
      <c r="AB4" s="237">
        <v>90</v>
      </c>
      <c r="AC4" s="237">
        <v>60</v>
      </c>
      <c r="AD4" s="237">
        <v>45</v>
      </c>
      <c r="AE4" s="237">
        <v>34</v>
      </c>
      <c r="AF4" s="237">
        <v>27</v>
      </c>
      <c r="AG4" s="237">
        <v>22</v>
      </c>
      <c r="AH4" s="237">
        <v>18</v>
      </c>
      <c r="AI4" s="237">
        <v>15</v>
      </c>
      <c r="AJ4" s="237">
        <v>12</v>
      </c>
      <c r="AK4" s="237">
        <v>9</v>
      </c>
    </row>
    <row r="5" spans="1:37" x14ac:dyDescent="0.25">
      <c r="A5" s="480"/>
      <c r="B5" s="480" t="s">
        <v>37</v>
      </c>
      <c r="C5" s="481" t="s">
        <v>50</v>
      </c>
      <c r="D5" s="480" t="s">
        <v>32</v>
      </c>
      <c r="E5" s="480" t="s">
        <v>55</v>
      </c>
      <c r="F5" s="480"/>
      <c r="G5" s="480" t="s">
        <v>24</v>
      </c>
      <c r="H5" s="480"/>
      <c r="I5" s="480" t="s">
        <v>27</v>
      </c>
      <c r="J5" s="480"/>
      <c r="K5" s="482" t="s">
        <v>56</v>
      </c>
      <c r="L5" s="482" t="s">
        <v>57</v>
      </c>
      <c r="M5" s="482" t="s">
        <v>58</v>
      </c>
      <c r="N5" s="492" t="s">
        <v>74</v>
      </c>
      <c r="O5" s="493" t="s">
        <v>70</v>
      </c>
      <c r="P5" s="493" t="s">
        <v>71</v>
      </c>
      <c r="Y5" s="236">
        <f>IF(OR([9]Altalanos!$A$8="F1",[9]Altalanos!$A$8="F2",[9]Altalanos!$A$8="N1",[9]Altalanos!$A$8="N2"),1,2)</f>
        <v>2</v>
      </c>
      <c r="Z5" s="236"/>
      <c r="AA5" s="236" t="s">
        <v>84</v>
      </c>
      <c r="AB5" s="237">
        <v>60</v>
      </c>
      <c r="AC5" s="237">
        <v>40</v>
      </c>
      <c r="AD5" s="237">
        <v>30</v>
      </c>
      <c r="AE5" s="237">
        <v>20</v>
      </c>
      <c r="AF5" s="237">
        <v>18</v>
      </c>
      <c r="AG5" s="237">
        <v>15</v>
      </c>
      <c r="AH5" s="237">
        <v>12</v>
      </c>
      <c r="AI5" s="237">
        <v>10</v>
      </c>
      <c r="AJ5" s="237">
        <v>8</v>
      </c>
      <c r="AK5" s="237">
        <v>6</v>
      </c>
    </row>
    <row r="6" spans="1:37" x14ac:dyDescent="0.25">
      <c r="A6" s="385"/>
      <c r="B6" s="385"/>
      <c r="C6" s="234"/>
      <c r="D6" s="385"/>
      <c r="E6" s="385"/>
      <c r="F6" s="385"/>
      <c r="G6" s="385"/>
      <c r="H6" s="385"/>
      <c r="I6" s="385"/>
      <c r="J6" s="385"/>
      <c r="K6" s="385"/>
      <c r="L6" s="385"/>
      <c r="M6" s="385"/>
      <c r="Y6" s="236"/>
      <c r="Z6" s="236"/>
      <c r="AA6" s="236" t="s">
        <v>85</v>
      </c>
      <c r="AB6" s="237">
        <v>40</v>
      </c>
      <c r="AC6" s="237">
        <v>25</v>
      </c>
      <c r="AD6" s="237">
        <v>18</v>
      </c>
      <c r="AE6" s="237">
        <v>13</v>
      </c>
      <c r="AF6" s="237">
        <v>10</v>
      </c>
      <c r="AG6" s="237">
        <v>8</v>
      </c>
      <c r="AH6" s="237">
        <v>6</v>
      </c>
      <c r="AI6" s="237">
        <v>5</v>
      </c>
      <c r="AJ6" s="237">
        <v>4</v>
      </c>
      <c r="AK6" s="237">
        <v>3</v>
      </c>
    </row>
    <row r="7" spans="1:37" x14ac:dyDescent="0.25">
      <c r="A7" s="494" t="s">
        <v>52</v>
      </c>
      <c r="B7" s="543"/>
      <c r="C7" s="544" t="str">
        <f>IF($B7="","",VLOOKUP($B7,'[9]1MD ELO'!$A$7:$O$22,5))</f>
        <v/>
      </c>
      <c r="D7" s="544" t="str">
        <f>IF($B7="","",VLOOKUP($B7,'[9]1MD ELO'!$A$7:$O$22,15))</f>
        <v/>
      </c>
      <c r="E7" s="545" t="s">
        <v>216</v>
      </c>
      <c r="F7" s="545"/>
      <c r="G7" s="545">
        <v>64</v>
      </c>
      <c r="H7" s="545"/>
      <c r="I7" s="303" t="s">
        <v>112</v>
      </c>
      <c r="J7" s="385"/>
      <c r="K7" s="489">
        <v>1</v>
      </c>
      <c r="L7" s="490" t="e">
        <f>IF(K7="","",CONCATENATE(VLOOKUP($Y$3,$AB$1:$AK$1,K7)," pont"))</f>
        <v>#N/A</v>
      </c>
      <c r="M7" s="491"/>
      <c r="Y7" s="236"/>
      <c r="Z7" s="236"/>
      <c r="AA7" s="236" t="s">
        <v>86</v>
      </c>
      <c r="AB7" s="237">
        <v>25</v>
      </c>
      <c r="AC7" s="237">
        <v>15</v>
      </c>
      <c r="AD7" s="237">
        <v>13</v>
      </c>
      <c r="AE7" s="237">
        <v>8</v>
      </c>
      <c r="AF7" s="237">
        <v>6</v>
      </c>
      <c r="AG7" s="237">
        <v>4</v>
      </c>
      <c r="AH7" s="237">
        <v>3</v>
      </c>
      <c r="AI7" s="237">
        <v>2</v>
      </c>
      <c r="AJ7" s="237">
        <v>1</v>
      </c>
      <c r="AK7" s="237">
        <v>0</v>
      </c>
    </row>
    <row r="8" spans="1:37" x14ac:dyDescent="0.25">
      <c r="A8" s="494"/>
      <c r="B8" s="546"/>
      <c r="C8" s="547"/>
      <c r="D8" s="547"/>
      <c r="E8" s="547"/>
      <c r="F8" s="547"/>
      <c r="G8" s="547"/>
      <c r="H8" s="547"/>
      <c r="J8" s="385"/>
      <c r="K8" s="494"/>
      <c r="L8" s="494"/>
      <c r="M8" s="496"/>
      <c r="Y8" s="236"/>
      <c r="Z8" s="236"/>
      <c r="AA8" s="236" t="s">
        <v>87</v>
      </c>
      <c r="AB8" s="237">
        <v>15</v>
      </c>
      <c r="AC8" s="237">
        <v>10</v>
      </c>
      <c r="AD8" s="237">
        <v>7</v>
      </c>
      <c r="AE8" s="237">
        <v>5</v>
      </c>
      <c r="AF8" s="237">
        <v>4</v>
      </c>
      <c r="AG8" s="237">
        <v>3</v>
      </c>
      <c r="AH8" s="237">
        <v>2</v>
      </c>
      <c r="AI8" s="237">
        <v>1</v>
      </c>
      <c r="AJ8" s="237">
        <v>0</v>
      </c>
      <c r="AK8" s="237">
        <v>0</v>
      </c>
    </row>
    <row r="9" spans="1:37" x14ac:dyDescent="0.25">
      <c r="A9" s="494" t="s">
        <v>53</v>
      </c>
      <c r="B9" s="543"/>
      <c r="C9" s="544" t="str">
        <f>IF($B9="","",VLOOKUP($B9,'[9]1MD ELO'!$A$7:$O$22,5))</f>
        <v/>
      </c>
      <c r="D9" s="544" t="str">
        <f>IF($B9="","",VLOOKUP($B9,'[9]1MD ELO'!$A$7:$O$22,15))</f>
        <v/>
      </c>
      <c r="E9" s="545" t="s">
        <v>217</v>
      </c>
      <c r="F9" s="545"/>
      <c r="G9" s="545">
        <v>122</v>
      </c>
      <c r="H9" s="545"/>
      <c r="I9" s="303" t="s">
        <v>218</v>
      </c>
      <c r="J9" s="385"/>
      <c r="K9" s="489">
        <v>3</v>
      </c>
      <c r="L9" s="490" t="e">
        <f>IF(K9="","",CONCATENATE(VLOOKUP($Y$3,$AB$1:$AK$1,K9)," pont"))</f>
        <v>#N/A</v>
      </c>
      <c r="M9" s="491"/>
      <c r="Y9" s="236"/>
      <c r="Z9" s="236"/>
      <c r="AA9" s="236" t="s">
        <v>88</v>
      </c>
      <c r="AB9" s="237">
        <v>10</v>
      </c>
      <c r="AC9" s="237">
        <v>6</v>
      </c>
      <c r="AD9" s="237">
        <v>4</v>
      </c>
      <c r="AE9" s="237">
        <v>2</v>
      </c>
      <c r="AF9" s="237">
        <v>1</v>
      </c>
      <c r="AG9" s="237">
        <v>0</v>
      </c>
      <c r="AH9" s="237">
        <v>0</v>
      </c>
      <c r="AI9" s="237">
        <v>0</v>
      </c>
      <c r="AJ9" s="237">
        <v>0</v>
      </c>
      <c r="AK9" s="237">
        <v>0</v>
      </c>
    </row>
    <row r="10" spans="1:37" x14ac:dyDescent="0.25">
      <c r="A10" s="494"/>
      <c r="B10" s="546"/>
      <c r="C10" s="547"/>
      <c r="D10" s="547"/>
      <c r="E10" s="547"/>
      <c r="F10" s="547"/>
      <c r="G10" s="547"/>
      <c r="H10" s="547"/>
      <c r="I10" s="547"/>
      <c r="J10" s="385"/>
      <c r="K10" s="494"/>
      <c r="L10" s="494"/>
      <c r="M10" s="496"/>
      <c r="Y10" s="236"/>
      <c r="Z10" s="236"/>
      <c r="AA10" s="236" t="s">
        <v>89</v>
      </c>
      <c r="AB10" s="237">
        <v>6</v>
      </c>
      <c r="AC10" s="237">
        <v>3</v>
      </c>
      <c r="AD10" s="237">
        <v>2</v>
      </c>
      <c r="AE10" s="237">
        <v>1</v>
      </c>
      <c r="AF10" s="237">
        <v>0</v>
      </c>
      <c r="AG10" s="237">
        <v>0</v>
      </c>
      <c r="AH10" s="237">
        <v>0</v>
      </c>
      <c r="AI10" s="237">
        <v>0</v>
      </c>
      <c r="AJ10" s="237">
        <v>0</v>
      </c>
      <c r="AK10" s="237">
        <v>0</v>
      </c>
    </row>
    <row r="11" spans="1:37" x14ac:dyDescent="0.25">
      <c r="A11" s="494" t="s">
        <v>54</v>
      </c>
      <c r="B11" s="543"/>
      <c r="C11" s="544" t="str">
        <f>IF($B11="","",VLOOKUP($B11,'[9]1MD ELO'!$A$7:$O$22,5))</f>
        <v/>
      </c>
      <c r="D11" s="544" t="str">
        <f>IF($B11="","",VLOOKUP($B11,'[9]1MD ELO'!$A$7:$O$22,15))</f>
        <v/>
      </c>
      <c r="E11" s="545" t="s">
        <v>219</v>
      </c>
      <c r="F11" s="545"/>
      <c r="G11" s="545" t="str">
        <f>IF($B11="","",VLOOKUP($B11,'[9]1MD ELO'!$A$7:$O$22,3))</f>
        <v/>
      </c>
      <c r="H11" s="545"/>
      <c r="I11" s="303" t="s">
        <v>112</v>
      </c>
      <c r="J11" s="385"/>
      <c r="K11" s="489">
        <v>2</v>
      </c>
      <c r="L11" s="490" t="e">
        <f>IF(K11="","",CONCATENATE(VLOOKUP($Y$3,$AB$1:$AK$1,K11)," pont"))</f>
        <v>#N/A</v>
      </c>
      <c r="M11" s="491"/>
      <c r="Y11" s="236"/>
      <c r="Z11" s="236"/>
      <c r="AA11" s="236" t="s">
        <v>94</v>
      </c>
      <c r="AB11" s="237">
        <v>3</v>
      </c>
      <c r="AC11" s="237">
        <v>2</v>
      </c>
      <c r="AD11" s="237">
        <v>1</v>
      </c>
      <c r="AE11" s="237">
        <v>0</v>
      </c>
      <c r="AF11" s="237">
        <v>0</v>
      </c>
      <c r="AG11" s="237">
        <v>0</v>
      </c>
      <c r="AH11" s="237">
        <v>0</v>
      </c>
      <c r="AI11" s="237">
        <v>0</v>
      </c>
      <c r="AJ11" s="237">
        <v>0</v>
      </c>
      <c r="AK11" s="237">
        <v>0</v>
      </c>
    </row>
    <row r="12" spans="1:37" x14ac:dyDescent="0.25">
      <c r="A12" s="494"/>
      <c r="B12" s="546"/>
      <c r="C12" s="547"/>
      <c r="D12" s="547"/>
      <c r="E12" s="547"/>
      <c r="F12" s="547"/>
      <c r="G12" s="547"/>
      <c r="H12" s="547"/>
      <c r="I12" s="547"/>
      <c r="J12" s="385"/>
      <c r="K12" s="234"/>
      <c r="L12" s="234"/>
      <c r="M12" s="496"/>
      <c r="Y12" s="236"/>
      <c r="Z12" s="236"/>
      <c r="AA12" s="236" t="s">
        <v>90</v>
      </c>
      <c r="AB12" s="499">
        <v>0</v>
      </c>
      <c r="AC12" s="499">
        <v>0</v>
      </c>
      <c r="AD12" s="499">
        <v>0</v>
      </c>
      <c r="AE12" s="499">
        <v>0</v>
      </c>
      <c r="AF12" s="499">
        <v>0</v>
      </c>
      <c r="AG12" s="499">
        <v>0</v>
      </c>
      <c r="AH12" s="499">
        <v>0</v>
      </c>
      <c r="AI12" s="499">
        <v>0</v>
      </c>
      <c r="AJ12" s="499">
        <v>0</v>
      </c>
      <c r="AK12" s="499">
        <v>0</v>
      </c>
    </row>
    <row r="13" spans="1:37" x14ac:dyDescent="0.25">
      <c r="A13" s="494" t="s">
        <v>59</v>
      </c>
      <c r="B13" s="543"/>
      <c r="C13" s="544" t="str">
        <f>IF($B13="","",VLOOKUP($B13,'[9]1MD ELO'!$A$7:$O$22,5))</f>
        <v/>
      </c>
      <c r="D13" s="544" t="str">
        <f>IF($B13="","",VLOOKUP($B13,'[9]1MD ELO'!$A$7:$O$22,15))</f>
        <v/>
      </c>
      <c r="E13" s="545" t="s">
        <v>220</v>
      </c>
      <c r="F13" s="545"/>
      <c r="G13" s="545" t="str">
        <f>IF($B13="","",VLOOKUP($B13,'[9]1MD ELO'!$A$7:$O$22,3))</f>
        <v/>
      </c>
      <c r="H13" s="545"/>
      <c r="I13" s="303" t="s">
        <v>218</v>
      </c>
      <c r="J13" s="385"/>
      <c r="K13" s="489">
        <v>4</v>
      </c>
      <c r="L13" s="490" t="e">
        <f>IF(K13="","",CONCATENATE(VLOOKUP($Y$3,$AB$1:$AK$1,K13)," pont"))</f>
        <v>#N/A</v>
      </c>
      <c r="M13" s="491"/>
      <c r="Y13" s="236"/>
      <c r="Z13" s="236"/>
      <c r="AA13" s="236" t="s">
        <v>91</v>
      </c>
      <c r="AB13" s="499">
        <v>0</v>
      </c>
      <c r="AC13" s="499">
        <v>0</v>
      </c>
      <c r="AD13" s="499">
        <v>0</v>
      </c>
      <c r="AE13" s="499">
        <v>0</v>
      </c>
      <c r="AF13" s="499">
        <v>0</v>
      </c>
      <c r="AG13" s="499">
        <v>0</v>
      </c>
      <c r="AH13" s="499">
        <v>0</v>
      </c>
      <c r="AI13" s="499">
        <v>0</v>
      </c>
      <c r="AJ13" s="499">
        <v>0</v>
      </c>
      <c r="AK13" s="499">
        <v>0</v>
      </c>
    </row>
    <row r="14" spans="1:37" x14ac:dyDescent="0.25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</row>
    <row r="15" spans="1:37" x14ac:dyDescent="0.25">
      <c r="A15" s="385"/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</row>
    <row r="16" spans="1:37" x14ac:dyDescent="0.25">
      <c r="A16" s="385"/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Y16" s="236"/>
      <c r="Z16" s="236"/>
      <c r="AA16" s="236" t="s">
        <v>52</v>
      </c>
      <c r="AB16" s="236">
        <v>300</v>
      </c>
      <c r="AC16" s="236">
        <v>250</v>
      </c>
      <c r="AD16" s="236">
        <v>220</v>
      </c>
      <c r="AE16" s="236">
        <v>180</v>
      </c>
      <c r="AF16" s="236">
        <v>160</v>
      </c>
      <c r="AG16" s="236">
        <v>150</v>
      </c>
      <c r="AH16" s="236">
        <v>140</v>
      </c>
      <c r="AI16" s="236">
        <v>130</v>
      </c>
      <c r="AJ16" s="236">
        <v>120</v>
      </c>
      <c r="AK16" s="236">
        <v>110</v>
      </c>
    </row>
    <row r="17" spans="1:37" x14ac:dyDescent="0.25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Y17" s="236"/>
      <c r="Z17" s="236"/>
      <c r="AA17" s="236" t="s">
        <v>82</v>
      </c>
      <c r="AB17" s="236">
        <v>250</v>
      </c>
      <c r="AC17" s="236">
        <v>200</v>
      </c>
      <c r="AD17" s="236">
        <v>160</v>
      </c>
      <c r="AE17" s="236">
        <v>140</v>
      </c>
      <c r="AF17" s="236">
        <v>120</v>
      </c>
      <c r="AG17" s="236">
        <v>110</v>
      </c>
      <c r="AH17" s="236">
        <v>100</v>
      </c>
      <c r="AI17" s="236">
        <v>90</v>
      </c>
      <c r="AJ17" s="236">
        <v>80</v>
      </c>
      <c r="AK17" s="236">
        <v>70</v>
      </c>
    </row>
    <row r="18" spans="1:37" ht="18.75" customHeight="1" x14ac:dyDescent="0.25">
      <c r="A18" s="385"/>
      <c r="B18" s="500"/>
      <c r="C18" s="500"/>
      <c r="D18" s="501" t="str">
        <f>E7</f>
        <v>Kunecz Kornél Ádám</v>
      </c>
      <c r="E18" s="501"/>
      <c r="F18" s="501" t="str">
        <f>E9</f>
        <v>Török Bence</v>
      </c>
      <c r="G18" s="501"/>
      <c r="H18" s="501" t="str">
        <f>E11</f>
        <v>Horváth Flórián</v>
      </c>
      <c r="I18" s="501"/>
      <c r="J18" s="501" t="str">
        <f>E13</f>
        <v>Németh Kristóf</v>
      </c>
      <c r="K18" s="501"/>
      <c r="L18" s="385"/>
      <c r="M18" s="385"/>
      <c r="Y18" s="236"/>
      <c r="Z18" s="236"/>
      <c r="AA18" s="236" t="s">
        <v>83</v>
      </c>
      <c r="AB18" s="236">
        <v>200</v>
      </c>
      <c r="AC18" s="236">
        <v>150</v>
      </c>
      <c r="AD18" s="236">
        <v>130</v>
      </c>
      <c r="AE18" s="236">
        <v>110</v>
      </c>
      <c r="AF18" s="236">
        <v>95</v>
      </c>
      <c r="AG18" s="236">
        <v>80</v>
      </c>
      <c r="AH18" s="236">
        <v>70</v>
      </c>
      <c r="AI18" s="236">
        <v>60</v>
      </c>
      <c r="AJ18" s="236">
        <v>55</v>
      </c>
      <c r="AK18" s="236">
        <v>50</v>
      </c>
    </row>
    <row r="19" spans="1:37" ht="18.75" customHeight="1" x14ac:dyDescent="0.25">
      <c r="A19" s="503" t="s">
        <v>52</v>
      </c>
      <c r="B19" s="504" t="str">
        <f>E7</f>
        <v>Kunecz Kornél Ádám</v>
      </c>
      <c r="C19" s="504"/>
      <c r="D19" s="505"/>
      <c r="E19" s="505"/>
      <c r="F19" s="506" t="s">
        <v>114</v>
      </c>
      <c r="G19" s="507"/>
      <c r="H19" s="506" t="s">
        <v>221</v>
      </c>
      <c r="I19" s="507"/>
      <c r="J19" s="539" t="s">
        <v>117</v>
      </c>
      <c r="K19" s="501"/>
      <c r="L19" s="385"/>
      <c r="M19" s="385"/>
      <c r="Y19" s="236"/>
      <c r="Z19" s="236"/>
      <c r="AA19" s="236" t="s">
        <v>84</v>
      </c>
      <c r="AB19" s="236">
        <v>150</v>
      </c>
      <c r="AC19" s="236">
        <v>120</v>
      </c>
      <c r="AD19" s="236">
        <v>100</v>
      </c>
      <c r="AE19" s="236">
        <v>80</v>
      </c>
      <c r="AF19" s="236">
        <v>70</v>
      </c>
      <c r="AG19" s="236">
        <v>60</v>
      </c>
      <c r="AH19" s="236">
        <v>55</v>
      </c>
      <c r="AI19" s="236">
        <v>50</v>
      </c>
      <c r="AJ19" s="236">
        <v>45</v>
      </c>
      <c r="AK19" s="236">
        <v>40</v>
      </c>
    </row>
    <row r="20" spans="1:37" ht="18.75" customHeight="1" x14ac:dyDescent="0.25">
      <c r="A20" s="503" t="s">
        <v>53</v>
      </c>
      <c r="B20" s="504" t="str">
        <f>E9</f>
        <v>Török Bence</v>
      </c>
      <c r="C20" s="504"/>
      <c r="D20" s="506" t="s">
        <v>116</v>
      </c>
      <c r="E20" s="507"/>
      <c r="F20" s="505"/>
      <c r="G20" s="505"/>
      <c r="H20" s="506" t="s">
        <v>121</v>
      </c>
      <c r="I20" s="507"/>
      <c r="J20" s="506" t="s">
        <v>222</v>
      </c>
      <c r="K20" s="507"/>
      <c r="L20" s="385"/>
      <c r="M20" s="385"/>
      <c r="Y20" s="236"/>
      <c r="Z20" s="236"/>
      <c r="AA20" s="236" t="s">
        <v>85</v>
      </c>
      <c r="AB20" s="236">
        <v>120</v>
      </c>
      <c r="AC20" s="236">
        <v>90</v>
      </c>
      <c r="AD20" s="236">
        <v>65</v>
      </c>
      <c r="AE20" s="236">
        <v>55</v>
      </c>
      <c r="AF20" s="236">
        <v>50</v>
      </c>
      <c r="AG20" s="236">
        <v>45</v>
      </c>
      <c r="AH20" s="236">
        <v>40</v>
      </c>
      <c r="AI20" s="236">
        <v>35</v>
      </c>
      <c r="AJ20" s="236">
        <v>25</v>
      </c>
      <c r="AK20" s="236">
        <v>20</v>
      </c>
    </row>
    <row r="21" spans="1:37" ht="18.75" customHeight="1" x14ac:dyDescent="0.25">
      <c r="A21" s="503" t="s">
        <v>54</v>
      </c>
      <c r="B21" s="504" t="str">
        <f>E11</f>
        <v>Horváth Flórián</v>
      </c>
      <c r="C21" s="504"/>
      <c r="D21" s="506" t="s">
        <v>223</v>
      </c>
      <c r="E21" s="507"/>
      <c r="F21" s="506" t="s">
        <v>115</v>
      </c>
      <c r="G21" s="507"/>
      <c r="H21" s="505"/>
      <c r="I21" s="505"/>
      <c r="J21" s="506" t="s">
        <v>128</v>
      </c>
      <c r="K21" s="507"/>
      <c r="L21" s="385"/>
      <c r="M21" s="385"/>
      <c r="Y21" s="236"/>
      <c r="Z21" s="236"/>
      <c r="AA21" s="236" t="s">
        <v>86</v>
      </c>
      <c r="AB21" s="236">
        <v>90</v>
      </c>
      <c r="AC21" s="236">
        <v>60</v>
      </c>
      <c r="AD21" s="236">
        <v>45</v>
      </c>
      <c r="AE21" s="236">
        <v>34</v>
      </c>
      <c r="AF21" s="236">
        <v>27</v>
      </c>
      <c r="AG21" s="236">
        <v>22</v>
      </c>
      <c r="AH21" s="236">
        <v>18</v>
      </c>
      <c r="AI21" s="236">
        <v>15</v>
      </c>
      <c r="AJ21" s="236">
        <v>12</v>
      </c>
      <c r="AK21" s="236">
        <v>9</v>
      </c>
    </row>
    <row r="22" spans="1:37" ht="18.75" customHeight="1" x14ac:dyDescent="0.25">
      <c r="A22" s="503" t="s">
        <v>59</v>
      </c>
      <c r="B22" s="504" t="str">
        <f>E13</f>
        <v>Németh Kristóf</v>
      </c>
      <c r="C22" s="504"/>
      <c r="D22" s="506" t="s">
        <v>122</v>
      </c>
      <c r="E22" s="507"/>
      <c r="F22" s="506" t="s">
        <v>224</v>
      </c>
      <c r="G22" s="507"/>
      <c r="H22" s="539" t="s">
        <v>120</v>
      </c>
      <c r="I22" s="501"/>
      <c r="J22" s="505"/>
      <c r="K22" s="505"/>
      <c r="L22" s="385"/>
      <c r="M22" s="385"/>
      <c r="Y22" s="236"/>
      <c r="Z22" s="236"/>
      <c r="AA22" s="236" t="s">
        <v>87</v>
      </c>
      <c r="AB22" s="236">
        <v>60</v>
      </c>
      <c r="AC22" s="236">
        <v>40</v>
      </c>
      <c r="AD22" s="236">
        <v>30</v>
      </c>
      <c r="AE22" s="236">
        <v>20</v>
      </c>
      <c r="AF22" s="236">
        <v>18</v>
      </c>
      <c r="AG22" s="236">
        <v>15</v>
      </c>
      <c r="AH22" s="236">
        <v>12</v>
      </c>
      <c r="AI22" s="236">
        <v>10</v>
      </c>
      <c r="AJ22" s="236">
        <v>8</v>
      </c>
      <c r="AK22" s="236">
        <v>6</v>
      </c>
    </row>
    <row r="23" spans="1:37" x14ac:dyDescent="0.25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Y23" s="236"/>
      <c r="Z23" s="236"/>
      <c r="AA23" s="236" t="s">
        <v>88</v>
      </c>
      <c r="AB23" s="236">
        <v>40</v>
      </c>
      <c r="AC23" s="236">
        <v>25</v>
      </c>
      <c r="AD23" s="236">
        <v>18</v>
      </c>
      <c r="AE23" s="236">
        <v>13</v>
      </c>
      <c r="AF23" s="236">
        <v>8</v>
      </c>
      <c r="AG23" s="236">
        <v>7</v>
      </c>
      <c r="AH23" s="236">
        <v>6</v>
      </c>
      <c r="AI23" s="236">
        <v>5</v>
      </c>
      <c r="AJ23" s="236">
        <v>4</v>
      </c>
      <c r="AK23" s="236">
        <v>3</v>
      </c>
    </row>
    <row r="24" spans="1:37" x14ac:dyDescent="0.25">
      <c r="A24" s="385"/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Y24" s="236"/>
      <c r="Z24" s="236"/>
      <c r="AA24" s="236" t="s">
        <v>89</v>
      </c>
      <c r="AB24" s="236">
        <v>25</v>
      </c>
      <c r="AC24" s="236">
        <v>15</v>
      </c>
      <c r="AD24" s="236">
        <v>13</v>
      </c>
      <c r="AE24" s="236">
        <v>7</v>
      </c>
      <c r="AF24" s="236">
        <v>6</v>
      </c>
      <c r="AG24" s="236">
        <v>5</v>
      </c>
      <c r="AH24" s="236">
        <v>4</v>
      </c>
      <c r="AI24" s="236">
        <v>3</v>
      </c>
      <c r="AJ24" s="236">
        <v>2</v>
      </c>
      <c r="AK24" s="236">
        <v>1</v>
      </c>
    </row>
    <row r="25" spans="1:37" x14ac:dyDescent="0.25">
      <c r="A25" s="385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Y25" s="236"/>
      <c r="Z25" s="236"/>
      <c r="AA25" s="236" t="s">
        <v>94</v>
      </c>
      <c r="AB25" s="236">
        <v>15</v>
      </c>
      <c r="AC25" s="236">
        <v>10</v>
      </c>
      <c r="AD25" s="236">
        <v>8</v>
      </c>
      <c r="AE25" s="236">
        <v>4</v>
      </c>
      <c r="AF25" s="236">
        <v>3</v>
      </c>
      <c r="AG25" s="236">
        <v>2</v>
      </c>
      <c r="AH25" s="236">
        <v>1</v>
      </c>
      <c r="AI25" s="236">
        <v>0</v>
      </c>
      <c r="AJ25" s="236">
        <v>0</v>
      </c>
      <c r="AK25" s="236">
        <v>0</v>
      </c>
    </row>
    <row r="26" spans="1:37" x14ac:dyDescent="0.25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Y26" s="236"/>
      <c r="Z26" s="236"/>
      <c r="AA26" s="236" t="s">
        <v>90</v>
      </c>
      <c r="AB26" s="236">
        <v>10</v>
      </c>
      <c r="AC26" s="236">
        <v>6</v>
      </c>
      <c r="AD26" s="236">
        <v>4</v>
      </c>
      <c r="AE26" s="236">
        <v>2</v>
      </c>
      <c r="AF26" s="236">
        <v>1</v>
      </c>
      <c r="AG26" s="236">
        <v>0</v>
      </c>
      <c r="AH26" s="236">
        <v>0</v>
      </c>
      <c r="AI26" s="236">
        <v>0</v>
      </c>
      <c r="AJ26" s="236">
        <v>0</v>
      </c>
      <c r="AK26" s="236">
        <v>0</v>
      </c>
    </row>
    <row r="27" spans="1:37" x14ac:dyDescent="0.25">
      <c r="A27" s="385"/>
      <c r="B27" s="385"/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Y27" s="236"/>
      <c r="Z27" s="236"/>
      <c r="AA27" s="236" t="s">
        <v>91</v>
      </c>
      <c r="AB27" s="236">
        <v>3</v>
      </c>
      <c r="AC27" s="236">
        <v>2</v>
      </c>
      <c r="AD27" s="236">
        <v>1</v>
      </c>
      <c r="AE27" s="236">
        <v>0</v>
      </c>
      <c r="AF27" s="236">
        <v>0</v>
      </c>
      <c r="AG27" s="236">
        <v>0</v>
      </c>
      <c r="AH27" s="236">
        <v>0</v>
      </c>
      <c r="AI27" s="236">
        <v>0</v>
      </c>
      <c r="AJ27" s="236">
        <v>0</v>
      </c>
      <c r="AK27" s="236">
        <v>0</v>
      </c>
    </row>
    <row r="28" spans="1:37" x14ac:dyDescent="0.25">
      <c r="A28" s="385"/>
      <c r="B28" s="385"/>
      <c r="C28" s="385"/>
      <c r="D28" s="385"/>
      <c r="E28" s="385"/>
      <c r="F28" s="385"/>
      <c r="G28" s="385"/>
      <c r="H28" s="385"/>
      <c r="I28" s="385"/>
      <c r="J28" s="385"/>
      <c r="K28" s="385"/>
      <c r="L28" s="385"/>
      <c r="M28" s="385"/>
    </row>
    <row r="29" spans="1:37" x14ac:dyDescent="0.25">
      <c r="A29" s="385"/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</row>
    <row r="30" spans="1:37" x14ac:dyDescent="0.25">
      <c r="A30" s="385"/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</row>
    <row r="31" spans="1:37" x14ac:dyDescent="0.25">
      <c r="A31" s="385"/>
      <c r="B31" s="385"/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</row>
    <row r="32" spans="1:37" x14ac:dyDescent="0.25">
      <c r="A32" s="385"/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98"/>
      <c r="M32" s="385"/>
    </row>
    <row r="33" spans="1:18" x14ac:dyDescent="0.25">
      <c r="A33" s="328" t="s">
        <v>32</v>
      </c>
      <c r="B33" s="329"/>
      <c r="C33" s="330"/>
      <c r="D33" s="513" t="s">
        <v>3</v>
      </c>
      <c r="E33" s="514" t="s">
        <v>34</v>
      </c>
      <c r="F33" s="515"/>
      <c r="G33" s="513" t="s">
        <v>3</v>
      </c>
      <c r="H33" s="514" t="s">
        <v>41</v>
      </c>
      <c r="I33" s="516"/>
      <c r="J33" s="514" t="s">
        <v>42</v>
      </c>
      <c r="K33" s="517" t="s">
        <v>43</v>
      </c>
      <c r="L33" s="480"/>
      <c r="M33" s="515"/>
      <c r="P33" s="518"/>
      <c r="Q33" s="518"/>
      <c r="R33" s="519"/>
    </row>
    <row r="34" spans="1:18" x14ac:dyDescent="0.25">
      <c r="A34" s="343" t="s">
        <v>33</v>
      </c>
      <c r="B34" s="344"/>
      <c r="C34" s="346"/>
      <c r="D34" s="520"/>
      <c r="E34" s="521"/>
      <c r="F34" s="521"/>
      <c r="G34" s="522" t="s">
        <v>4</v>
      </c>
      <c r="H34" s="344"/>
      <c r="I34" s="523"/>
      <c r="J34" s="524"/>
      <c r="K34" s="353" t="s">
        <v>35</v>
      </c>
      <c r="L34" s="525"/>
      <c r="M34" s="526"/>
      <c r="P34" s="527"/>
      <c r="Q34" s="527"/>
      <c r="R34" s="461"/>
    </row>
    <row r="35" spans="1:18" x14ac:dyDescent="0.25">
      <c r="A35" s="355" t="s">
        <v>40</v>
      </c>
      <c r="B35" s="356"/>
      <c r="C35" s="358"/>
      <c r="D35" s="528"/>
      <c r="E35" s="529"/>
      <c r="F35" s="529"/>
      <c r="G35" s="530" t="s">
        <v>5</v>
      </c>
      <c r="H35" s="350"/>
      <c r="I35" s="351"/>
      <c r="J35" s="348"/>
      <c r="K35" s="531"/>
      <c r="L35" s="498"/>
      <c r="M35" s="532"/>
      <c r="P35" s="461"/>
      <c r="Q35" s="460"/>
      <c r="R35" s="461"/>
    </row>
    <row r="36" spans="1:18" x14ac:dyDescent="0.25">
      <c r="A36" s="362"/>
      <c r="B36" s="363"/>
      <c r="C36" s="365"/>
      <c r="D36" s="528"/>
      <c r="E36" s="341"/>
      <c r="F36" s="385"/>
      <c r="G36" s="530" t="s">
        <v>6</v>
      </c>
      <c r="H36" s="350"/>
      <c r="I36" s="351"/>
      <c r="J36" s="348"/>
      <c r="K36" s="353" t="s">
        <v>36</v>
      </c>
      <c r="L36" s="525"/>
      <c r="M36" s="526"/>
      <c r="P36" s="527"/>
      <c r="Q36" s="527"/>
      <c r="R36" s="461"/>
    </row>
    <row r="37" spans="1:18" x14ac:dyDescent="0.25">
      <c r="A37" s="366"/>
      <c r="B37" s="252"/>
      <c r="C37" s="367"/>
      <c r="D37" s="528"/>
      <c r="E37" s="341"/>
      <c r="F37" s="385"/>
      <c r="G37" s="530" t="s">
        <v>7</v>
      </c>
      <c r="H37" s="350"/>
      <c r="I37" s="351"/>
      <c r="J37" s="348"/>
      <c r="K37" s="533"/>
      <c r="L37" s="385"/>
      <c r="M37" s="534"/>
      <c r="P37" s="461"/>
      <c r="Q37" s="460"/>
      <c r="R37" s="461"/>
    </row>
    <row r="38" spans="1:18" x14ac:dyDescent="0.25">
      <c r="A38" s="368"/>
      <c r="B38" s="369"/>
      <c r="C38" s="370"/>
      <c r="D38" s="528"/>
      <c r="E38" s="341"/>
      <c r="F38" s="385"/>
      <c r="G38" s="530" t="s">
        <v>8</v>
      </c>
      <c r="H38" s="350"/>
      <c r="I38" s="351"/>
      <c r="J38" s="348"/>
      <c r="K38" s="355"/>
      <c r="L38" s="498"/>
      <c r="M38" s="532"/>
      <c r="P38" s="461"/>
      <c r="Q38" s="460"/>
      <c r="R38" s="461"/>
    </row>
    <row r="39" spans="1:18" x14ac:dyDescent="0.25">
      <c r="A39" s="371"/>
      <c r="B39" s="372"/>
      <c r="C39" s="367"/>
      <c r="D39" s="528"/>
      <c r="E39" s="341"/>
      <c r="F39" s="385"/>
      <c r="G39" s="530" t="s">
        <v>9</v>
      </c>
      <c r="H39" s="350"/>
      <c r="I39" s="351"/>
      <c r="J39" s="348"/>
      <c r="K39" s="353" t="s">
        <v>28</v>
      </c>
      <c r="L39" s="525"/>
      <c r="M39" s="526"/>
      <c r="P39" s="527"/>
      <c r="Q39" s="527"/>
      <c r="R39" s="461"/>
    </row>
    <row r="40" spans="1:18" x14ac:dyDescent="0.25">
      <c r="A40" s="371"/>
      <c r="B40" s="372"/>
      <c r="C40" s="374"/>
      <c r="D40" s="528"/>
      <c r="E40" s="341"/>
      <c r="F40" s="385"/>
      <c r="G40" s="530" t="s">
        <v>10</v>
      </c>
      <c r="H40" s="350"/>
      <c r="I40" s="351"/>
      <c r="J40" s="348"/>
      <c r="K40" s="533"/>
      <c r="L40" s="385"/>
      <c r="M40" s="534"/>
      <c r="P40" s="461"/>
      <c r="Q40" s="460"/>
      <c r="R40" s="461"/>
    </row>
    <row r="41" spans="1:18" x14ac:dyDescent="0.25">
      <c r="A41" s="375"/>
      <c r="B41" s="376"/>
      <c r="C41" s="378"/>
      <c r="D41" s="535"/>
      <c r="E41" s="359"/>
      <c r="F41" s="498"/>
      <c r="G41" s="536" t="s">
        <v>11</v>
      </c>
      <c r="H41" s="356"/>
      <c r="I41" s="360"/>
      <c r="J41" s="380"/>
      <c r="K41" s="355">
        <f>M4</f>
        <v>0</v>
      </c>
      <c r="L41" s="498"/>
      <c r="M41" s="532"/>
      <c r="P41" s="461"/>
      <c r="Q41" s="460"/>
      <c r="R41" s="537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83" priority="1" stopIfTrue="1" operator="equal">
      <formula>"Bye"</formula>
    </cfRule>
  </conditionalFormatting>
  <conditionalFormatting sqref="R41">
    <cfRule type="expression" dxfId="82" priority="2" stopIfTrue="1">
      <formula>$O$1="CU"</formula>
    </cfRule>
  </conditionalFormatting>
  <printOptions horizontalCentered="1" verticalCentered="1"/>
  <pageMargins left="0.25" right="0.25" top="0.75" bottom="0.75" header="0.3" footer="0.3"/>
  <pageSetup paperSize="9" scale="95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6E53-BF76-4E1D-A355-199B03527718}">
  <sheetPr>
    <tabColor indexed="11"/>
  </sheetPr>
  <dimension ref="A1:AS140"/>
  <sheetViews>
    <sheetView workbookViewId="0">
      <selection activeCell="O19" sqref="O19"/>
    </sheetView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33203125" style="303" customWidth="1"/>
    <col min="5" max="5" width="4.33203125" style="303" customWidth="1"/>
    <col min="6" max="6" width="17" style="303" customWidth="1"/>
    <col min="7" max="7" width="2.6640625" style="303" customWidth="1"/>
    <col min="8" max="8" width="24.77734375" style="303" bestFit="1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27" width="0" style="303" hidden="1" customWidth="1"/>
    <col min="28" max="28" width="10.33203125" style="303" hidden="1" customWidth="1"/>
    <col min="29" max="34" width="0" style="303" hidden="1" customWidth="1"/>
    <col min="35" max="37" width="9.109375" style="385" customWidth="1"/>
    <col min="38" max="16384" width="8.77734375" style="303"/>
  </cols>
  <sheetData>
    <row r="1" spans="1:45" s="224" customFormat="1" ht="21.75" customHeight="1" x14ac:dyDescent="0.25">
      <c r="A1" s="217" t="str">
        <f>[10]Altalanos!$A$6</f>
        <v>OB</v>
      </c>
      <c r="B1" s="217"/>
      <c r="C1" s="218"/>
      <c r="D1" s="218"/>
      <c r="E1" s="218"/>
      <c r="F1" s="218"/>
      <c r="G1" s="218"/>
      <c r="H1" s="217"/>
      <c r="I1" s="219"/>
      <c r="J1" s="220"/>
      <c r="K1" s="221" t="s">
        <v>39</v>
      </c>
      <c r="L1" s="222"/>
      <c r="M1" s="223"/>
      <c r="N1" s="220"/>
      <c r="O1" s="220" t="s">
        <v>12</v>
      </c>
      <c r="P1" s="220"/>
      <c r="Q1" s="218"/>
      <c r="R1" s="220"/>
      <c r="T1" s="225"/>
      <c r="U1" s="225"/>
      <c r="V1" s="225"/>
      <c r="W1" s="225"/>
      <c r="X1" s="225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  <c r="AI1" s="227"/>
      <c r="AJ1" s="227"/>
      <c r="AK1" s="227"/>
    </row>
    <row r="2" spans="1:45" s="233" customFormat="1" x14ac:dyDescent="0.25">
      <c r="A2" s="228" t="s">
        <v>38</v>
      </c>
      <c r="B2" s="229"/>
      <c r="C2" s="229"/>
      <c r="D2" s="229"/>
      <c r="E2" s="229">
        <f>[10]Altalanos!$A$8</f>
        <v>0</v>
      </c>
      <c r="F2" s="229"/>
      <c r="G2" s="230"/>
      <c r="H2" s="231"/>
      <c r="I2" s="231"/>
      <c r="J2" s="232"/>
      <c r="K2" s="222"/>
      <c r="L2" s="222"/>
      <c r="M2" s="222"/>
      <c r="N2" s="232"/>
      <c r="O2" s="231"/>
      <c r="P2" s="232"/>
      <c r="Q2" s="231"/>
      <c r="R2" s="232"/>
      <c r="T2" s="234"/>
      <c r="U2" s="234"/>
      <c r="V2" s="234"/>
      <c r="W2" s="234"/>
      <c r="X2" s="234"/>
      <c r="Y2" s="235"/>
      <c r="Z2" s="236"/>
      <c r="AA2" s="236" t="s">
        <v>52</v>
      </c>
      <c r="AB2" s="237">
        <v>300</v>
      </c>
      <c r="AC2" s="237">
        <v>250</v>
      </c>
      <c r="AD2" s="237">
        <v>200</v>
      </c>
      <c r="AE2" s="237">
        <v>150</v>
      </c>
      <c r="AF2" s="237">
        <v>120</v>
      </c>
      <c r="AG2" s="237">
        <v>90</v>
      </c>
      <c r="AH2" s="237">
        <v>40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</row>
    <row r="3" spans="1:45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T3" s="242"/>
      <c r="U3" s="242"/>
      <c r="V3" s="242"/>
      <c r="W3" s="242"/>
      <c r="X3" s="242"/>
      <c r="Y3" s="236" t="str">
        <f>IF(K4="OB","A",IF(K4="IX","W",IF(K4="","",K4)))</f>
        <v/>
      </c>
      <c r="Z3" s="236"/>
      <c r="AA3" s="236" t="s">
        <v>53</v>
      </c>
      <c r="AB3" s="237">
        <v>280</v>
      </c>
      <c r="AC3" s="237">
        <v>230</v>
      </c>
      <c r="AD3" s="237">
        <v>180</v>
      </c>
      <c r="AE3" s="237">
        <v>140</v>
      </c>
      <c r="AF3" s="237">
        <v>80</v>
      </c>
      <c r="AG3" s="237">
        <v>0</v>
      </c>
      <c r="AH3" s="237">
        <v>0</v>
      </c>
      <c r="AI3" s="234"/>
      <c r="AJ3" s="234"/>
      <c r="AK3" s="234"/>
      <c r="AL3" s="242"/>
      <c r="AM3" s="242"/>
      <c r="AN3" s="242"/>
      <c r="AO3" s="242"/>
      <c r="AP3" s="242"/>
      <c r="AQ3" s="242"/>
      <c r="AR3" s="242"/>
      <c r="AS3" s="242"/>
    </row>
    <row r="4" spans="1:45" s="250" customFormat="1" ht="11.25" customHeight="1" thickBot="1" x14ac:dyDescent="0.3">
      <c r="A4" s="243">
        <f>[10]Altalanos!$A$10</f>
        <v>0</v>
      </c>
      <c r="B4" s="243"/>
      <c r="C4" s="243"/>
      <c r="D4" s="244"/>
      <c r="E4" s="245"/>
      <c r="F4" s="245"/>
      <c r="G4" s="245">
        <f>[10]Altalanos!$C$10</f>
        <v>0</v>
      </c>
      <c r="H4" s="246"/>
      <c r="I4" s="245"/>
      <c r="J4" s="247"/>
      <c r="K4" s="137"/>
      <c r="L4" s="247"/>
      <c r="M4" s="248"/>
      <c r="N4" s="247"/>
      <c r="O4" s="245"/>
      <c r="P4" s="247"/>
      <c r="Q4" s="245"/>
      <c r="R4" s="249">
        <f>[10]Altalanos!$E$10</f>
        <v>0</v>
      </c>
      <c r="T4" s="251"/>
      <c r="U4" s="251"/>
      <c r="V4" s="251"/>
      <c r="W4" s="251"/>
      <c r="X4" s="251"/>
      <c r="Y4" s="236"/>
      <c r="Z4" s="236"/>
      <c r="AA4" s="236" t="s">
        <v>82</v>
      </c>
      <c r="AB4" s="237">
        <v>250</v>
      </c>
      <c r="AC4" s="237">
        <v>200</v>
      </c>
      <c r="AD4" s="237">
        <v>150</v>
      </c>
      <c r="AE4" s="237">
        <v>120</v>
      </c>
      <c r="AF4" s="237">
        <v>90</v>
      </c>
      <c r="AG4" s="237">
        <v>60</v>
      </c>
      <c r="AH4" s="237">
        <v>25</v>
      </c>
      <c r="AI4" s="234"/>
      <c r="AJ4" s="234"/>
      <c r="AK4" s="234"/>
      <c r="AL4" s="251"/>
      <c r="AM4" s="251"/>
      <c r="AN4" s="251"/>
      <c r="AO4" s="251"/>
      <c r="AP4" s="251"/>
      <c r="AQ4" s="251"/>
      <c r="AR4" s="251"/>
      <c r="AS4" s="251"/>
    </row>
    <row r="5" spans="1:45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45</v>
      </c>
      <c r="N5" s="256"/>
      <c r="O5" s="253" t="s">
        <v>44</v>
      </c>
      <c r="P5" s="256"/>
      <c r="Q5" s="253"/>
      <c r="R5" s="257"/>
      <c r="T5" s="242"/>
      <c r="U5" s="242"/>
      <c r="V5" s="242"/>
      <c r="W5" s="242"/>
      <c r="X5" s="242"/>
      <c r="Y5" s="236">
        <f>IF(OR([10]Altalanos!$A$8="F1",[10]Altalanos!$A$8="F2",[10]Altalanos!$A$8="N1",[10]Altalanos!$A$8="N2"),1,2)</f>
        <v>2</v>
      </c>
      <c r="Z5" s="236"/>
      <c r="AA5" s="236" t="s">
        <v>83</v>
      </c>
      <c r="AB5" s="237">
        <v>200</v>
      </c>
      <c r="AC5" s="237">
        <v>150</v>
      </c>
      <c r="AD5" s="237">
        <v>120</v>
      </c>
      <c r="AE5" s="237">
        <v>90</v>
      </c>
      <c r="AF5" s="237">
        <v>60</v>
      </c>
      <c r="AG5" s="237">
        <v>40</v>
      </c>
      <c r="AH5" s="237">
        <v>15</v>
      </c>
      <c r="AI5" s="234"/>
      <c r="AJ5" s="234"/>
      <c r="AK5" s="234"/>
      <c r="AL5" s="242"/>
      <c r="AM5" s="242"/>
      <c r="AN5" s="242"/>
      <c r="AO5" s="242"/>
      <c r="AP5" s="242"/>
      <c r="AQ5" s="242"/>
      <c r="AR5" s="242"/>
      <c r="AS5" s="242"/>
    </row>
    <row r="6" spans="1:45" s="264" customFormat="1" ht="10.95" customHeight="1" thickBot="1" x14ac:dyDescent="0.3">
      <c r="A6" s="258"/>
      <c r="B6" s="259"/>
      <c r="C6" s="259"/>
      <c r="D6" s="259"/>
      <c r="E6" s="259"/>
      <c r="F6" s="258" t="str">
        <f>IF(Y3="","",CONCATENATE(VLOOKUP(Y3,AB1:AH1,4)," pont"))</f>
        <v/>
      </c>
      <c r="G6" s="260"/>
      <c r="H6" s="261"/>
      <c r="I6" s="260"/>
      <c r="J6" s="262"/>
      <c r="K6" s="259" t="str">
        <f>IF(Y3="","",CONCATENATE(VLOOKUP(Y3,AB1:AH1,3)," pont"))</f>
        <v/>
      </c>
      <c r="L6" s="262"/>
      <c r="M6" s="259" t="str">
        <f>IF(Y3="","",CONCATENATE(VLOOKUP(Y3,AB1:AH1,2)," pont"))</f>
        <v/>
      </c>
      <c r="N6" s="262"/>
      <c r="O6" s="259" t="str">
        <f>IF(Y3="","",CONCATENATE(VLOOKUP(Y3,AB1:AH1,1)," pont"))</f>
        <v/>
      </c>
      <c r="P6" s="262"/>
      <c r="Q6" s="259"/>
      <c r="R6" s="263"/>
      <c r="T6" s="265"/>
      <c r="U6" s="265"/>
      <c r="V6" s="265"/>
      <c r="W6" s="265"/>
      <c r="X6" s="265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268"/>
      <c r="AJ6" s="268"/>
      <c r="AK6" s="268"/>
      <c r="AL6" s="265"/>
      <c r="AM6" s="265"/>
      <c r="AN6" s="265"/>
      <c r="AO6" s="265"/>
      <c r="AP6" s="265"/>
      <c r="AQ6" s="265"/>
      <c r="AR6" s="265"/>
      <c r="AS6" s="265"/>
    </row>
    <row r="7" spans="1:45" s="282" customFormat="1" ht="13.05" customHeight="1" x14ac:dyDescent="0.25">
      <c r="A7" s="269">
        <v>1</v>
      </c>
      <c r="B7" s="270" t="str">
        <f>IF($E7="","",VLOOKUP($E7,'[10]1MD ELO'!$A$7:$O$22,14))</f>
        <v/>
      </c>
      <c r="C7" s="271" t="str">
        <f>IF($E7="","",VLOOKUP($E7,'[10]1MD ELO'!$A$7:$O$22,15))</f>
        <v/>
      </c>
      <c r="D7" s="271" t="str">
        <f>IF($E7="","",VLOOKUP($E7,'[10]1MD ELO'!$A$7:$O$22,5))</f>
        <v/>
      </c>
      <c r="E7" s="272"/>
      <c r="F7" s="273"/>
      <c r="G7" s="273"/>
      <c r="H7" s="273"/>
      <c r="I7" s="273" t="str">
        <f>IF($E7="","",VLOOKUP($E7,'[10]1MD ELO'!$A$7:$O$22,4))</f>
        <v/>
      </c>
      <c r="J7" s="274"/>
      <c r="K7" s="275"/>
      <c r="L7" s="275"/>
      <c r="M7" s="275"/>
      <c r="N7" s="275"/>
      <c r="O7" s="276"/>
      <c r="P7" s="277"/>
      <c r="Q7" s="278"/>
      <c r="R7" s="279"/>
      <c r="S7" s="280"/>
      <c r="T7" s="280"/>
      <c r="U7" s="281" t="str">
        <f>[10]Birók!P21</f>
        <v>Bíró</v>
      </c>
      <c r="V7" s="280"/>
      <c r="W7" s="280"/>
      <c r="X7" s="280"/>
      <c r="Y7" s="236"/>
      <c r="Z7" s="236"/>
      <c r="AA7" s="236" t="s">
        <v>85</v>
      </c>
      <c r="AB7" s="237">
        <v>120</v>
      </c>
      <c r="AC7" s="237">
        <v>90</v>
      </c>
      <c r="AD7" s="237">
        <v>60</v>
      </c>
      <c r="AE7" s="237">
        <v>40</v>
      </c>
      <c r="AF7" s="237">
        <v>25</v>
      </c>
      <c r="AG7" s="237">
        <v>10</v>
      </c>
      <c r="AH7" s="237">
        <v>5</v>
      </c>
      <c r="AI7" s="234"/>
      <c r="AJ7" s="234"/>
      <c r="AK7" s="234"/>
      <c r="AL7" s="280"/>
      <c r="AM7" s="280"/>
      <c r="AN7" s="280"/>
      <c r="AO7" s="280"/>
      <c r="AP7" s="280"/>
      <c r="AQ7" s="280"/>
      <c r="AR7" s="280"/>
      <c r="AS7" s="280"/>
    </row>
    <row r="8" spans="1:45" s="282" customFormat="1" ht="13.05" customHeight="1" x14ac:dyDescent="0.25">
      <c r="A8" s="283"/>
      <c r="B8" s="284"/>
      <c r="C8" s="285"/>
      <c r="D8" s="285"/>
      <c r="E8" s="286"/>
      <c r="F8" s="287"/>
      <c r="G8" s="287"/>
      <c r="H8" s="288"/>
      <c r="I8" s="289" t="s">
        <v>0</v>
      </c>
      <c r="J8" s="290"/>
      <c r="K8" s="291" t="str">
        <f>UPPER(IF(OR(J8="a",J8="as"),F7,IF(OR(J8="b",J8="bs"),F9,)))</f>
        <v/>
      </c>
      <c r="L8" s="291"/>
      <c r="M8" s="275"/>
      <c r="N8" s="275"/>
      <c r="O8" s="276"/>
      <c r="P8" s="277"/>
      <c r="Q8" s="278"/>
      <c r="R8" s="279"/>
      <c r="S8" s="280"/>
      <c r="T8" s="280"/>
      <c r="U8" s="292" t="str">
        <f>[10]Birók!P22</f>
        <v xml:space="preserve"> </v>
      </c>
      <c r="V8" s="280"/>
      <c r="W8" s="280"/>
      <c r="X8" s="280"/>
      <c r="Y8" s="236"/>
      <c r="Z8" s="236"/>
      <c r="AA8" s="236" t="s">
        <v>86</v>
      </c>
      <c r="AB8" s="237">
        <v>90</v>
      </c>
      <c r="AC8" s="237">
        <v>60</v>
      </c>
      <c r="AD8" s="237">
        <v>40</v>
      </c>
      <c r="AE8" s="237">
        <v>25</v>
      </c>
      <c r="AF8" s="237">
        <v>10</v>
      </c>
      <c r="AG8" s="237">
        <v>5</v>
      </c>
      <c r="AH8" s="237">
        <v>2</v>
      </c>
      <c r="AI8" s="234"/>
      <c r="AJ8" s="234"/>
      <c r="AK8" s="234"/>
      <c r="AL8" s="280"/>
      <c r="AM8" s="280"/>
      <c r="AN8" s="280"/>
      <c r="AO8" s="280"/>
      <c r="AP8" s="280"/>
      <c r="AQ8" s="280"/>
      <c r="AR8" s="280"/>
      <c r="AS8" s="280"/>
    </row>
    <row r="9" spans="1:45" s="282" customFormat="1" ht="13.05" customHeight="1" x14ac:dyDescent="0.25">
      <c r="A9" s="283">
        <v>2</v>
      </c>
      <c r="B9" s="270" t="str">
        <f>IF($E9="","",VLOOKUP($E9,'[10]1MD ELO'!$A$7:$O$22,14))</f>
        <v/>
      </c>
      <c r="C9" s="271" t="str">
        <f>IF($E9="","",VLOOKUP($E9,'[10]1MD ELO'!$A$7:$O$22,15))</f>
        <v/>
      </c>
      <c r="D9" s="271" t="str">
        <f>IF($E9="","",VLOOKUP($E9,'[10]1MD ELO'!$A$7:$O$22,5))</f>
        <v/>
      </c>
      <c r="E9" s="293"/>
      <c r="F9" s="294"/>
      <c r="G9" s="294"/>
      <c r="H9" s="294"/>
      <c r="I9" s="294" t="str">
        <f>IF($E9="","",VLOOKUP($E9,'[10]1MD ELO'!$A$7:$O$22,4))</f>
        <v/>
      </c>
      <c r="J9" s="295"/>
      <c r="K9" s="275"/>
      <c r="L9" s="296"/>
      <c r="M9" s="275"/>
      <c r="N9" s="275"/>
      <c r="O9" s="276"/>
      <c r="P9" s="277"/>
      <c r="Q9" s="278"/>
      <c r="R9" s="279"/>
      <c r="S9" s="280"/>
      <c r="T9" s="280"/>
      <c r="U9" s="292" t="str">
        <f>[10]Birók!P23</f>
        <v xml:space="preserve"> </v>
      </c>
      <c r="V9" s="280"/>
      <c r="W9" s="280"/>
      <c r="X9" s="280"/>
      <c r="Y9" s="236"/>
      <c r="Z9" s="236"/>
      <c r="AA9" s="236" t="s">
        <v>87</v>
      </c>
      <c r="AB9" s="237">
        <v>60</v>
      </c>
      <c r="AC9" s="237">
        <v>40</v>
      </c>
      <c r="AD9" s="237">
        <v>25</v>
      </c>
      <c r="AE9" s="237">
        <v>10</v>
      </c>
      <c r="AF9" s="237">
        <v>5</v>
      </c>
      <c r="AG9" s="237">
        <v>2</v>
      </c>
      <c r="AH9" s="237">
        <v>1</v>
      </c>
      <c r="AI9" s="234"/>
      <c r="AJ9" s="234"/>
      <c r="AK9" s="234"/>
      <c r="AL9" s="280"/>
      <c r="AM9" s="280"/>
      <c r="AN9" s="280"/>
      <c r="AO9" s="280"/>
      <c r="AP9" s="280"/>
      <c r="AQ9" s="280"/>
      <c r="AR9" s="280"/>
      <c r="AS9" s="280"/>
    </row>
    <row r="10" spans="1:45" s="282" customFormat="1" ht="13.05" customHeight="1" x14ac:dyDescent="0.25">
      <c r="A10" s="283"/>
      <c r="B10" s="284"/>
      <c r="C10" s="285"/>
      <c r="D10" s="285"/>
      <c r="E10" s="297"/>
      <c r="F10" s="287"/>
      <c r="G10" s="287"/>
      <c r="H10" s="288"/>
      <c r="I10" s="287"/>
      <c r="J10" s="298"/>
      <c r="K10" s="289" t="s">
        <v>0</v>
      </c>
      <c r="L10" s="299"/>
      <c r="M10" s="291"/>
      <c r="N10" s="300"/>
      <c r="O10" s="301"/>
      <c r="P10" s="301"/>
      <c r="Q10" s="278"/>
      <c r="R10" s="279"/>
      <c r="S10" s="280"/>
      <c r="T10" s="280"/>
      <c r="U10" s="292" t="str">
        <f>[10]Birók!P24</f>
        <v xml:space="preserve"> </v>
      </c>
      <c r="V10" s="280"/>
      <c r="W10" s="280"/>
      <c r="X10" s="280"/>
      <c r="Y10" s="236"/>
      <c r="Z10" s="236"/>
      <c r="AA10" s="236" t="s">
        <v>88</v>
      </c>
      <c r="AB10" s="237">
        <v>40</v>
      </c>
      <c r="AC10" s="237">
        <v>25</v>
      </c>
      <c r="AD10" s="237">
        <v>15</v>
      </c>
      <c r="AE10" s="237">
        <v>7</v>
      </c>
      <c r="AF10" s="237">
        <v>4</v>
      </c>
      <c r="AG10" s="237">
        <v>1</v>
      </c>
      <c r="AH10" s="237">
        <v>0</v>
      </c>
      <c r="AI10" s="234"/>
      <c r="AJ10" s="234"/>
      <c r="AK10" s="234"/>
      <c r="AL10" s="280"/>
      <c r="AM10" s="280"/>
      <c r="AN10" s="280"/>
      <c r="AO10" s="280"/>
      <c r="AP10" s="280"/>
      <c r="AQ10" s="280"/>
      <c r="AR10" s="280"/>
      <c r="AS10" s="280"/>
    </row>
    <row r="11" spans="1:45" s="282" customFormat="1" ht="13.05" customHeight="1" x14ac:dyDescent="0.25">
      <c r="A11" s="283">
        <v>3</v>
      </c>
      <c r="B11" s="270" t="str">
        <f>IF($E11="","",VLOOKUP($E11,'[10]1MD ELO'!$A$7:$O$22,14))</f>
        <v/>
      </c>
      <c r="C11" s="271" t="str">
        <f>IF($E11="","",VLOOKUP($E11,'[10]1MD ELO'!$A$7:$O$22,15))</f>
        <v/>
      </c>
      <c r="D11" s="271" t="str">
        <f>IF($E11="","",VLOOKUP($E11,'[10]1MD ELO'!$A$7:$O$22,5))</f>
        <v/>
      </c>
      <c r="E11" s="293"/>
      <c r="F11" s="294"/>
      <c r="G11" s="294"/>
      <c r="H11" s="294"/>
      <c r="I11" s="294" t="str">
        <f>IF($E11="","",VLOOKUP($E11,'[10]1MD ELO'!$A$7:$O$22,4))</f>
        <v/>
      </c>
      <c r="J11" s="274"/>
      <c r="K11" s="275"/>
      <c r="L11" s="302"/>
      <c r="M11" s="275"/>
      <c r="N11" s="304"/>
      <c r="O11" s="301"/>
      <c r="P11" s="301"/>
      <c r="Q11" s="278"/>
      <c r="R11" s="279"/>
      <c r="S11" s="280"/>
      <c r="T11" s="280"/>
      <c r="U11" s="292" t="str">
        <f>[10]Birók!P25</f>
        <v xml:space="preserve"> </v>
      </c>
      <c r="V11" s="280"/>
      <c r="W11" s="280"/>
      <c r="X11" s="280"/>
      <c r="Y11" s="236"/>
      <c r="Z11" s="236"/>
      <c r="AA11" s="236" t="s">
        <v>89</v>
      </c>
      <c r="AB11" s="237">
        <v>25</v>
      </c>
      <c r="AC11" s="237">
        <v>15</v>
      </c>
      <c r="AD11" s="237">
        <v>10</v>
      </c>
      <c r="AE11" s="237">
        <v>6</v>
      </c>
      <c r="AF11" s="237">
        <v>3</v>
      </c>
      <c r="AG11" s="237">
        <v>1</v>
      </c>
      <c r="AH11" s="237">
        <v>0</v>
      </c>
      <c r="AI11" s="234"/>
      <c r="AJ11" s="234"/>
      <c r="AK11" s="234"/>
      <c r="AL11" s="280"/>
      <c r="AM11" s="280"/>
      <c r="AN11" s="280"/>
      <c r="AO11" s="280"/>
      <c r="AP11" s="280"/>
      <c r="AQ11" s="280"/>
      <c r="AR11" s="280"/>
      <c r="AS11" s="280"/>
    </row>
    <row r="12" spans="1:45" s="282" customFormat="1" ht="13.05" customHeight="1" x14ac:dyDescent="0.25">
      <c r="A12" s="283"/>
      <c r="B12" s="284"/>
      <c r="C12" s="285"/>
      <c r="D12" s="285"/>
      <c r="E12" s="297"/>
      <c r="F12" s="287"/>
      <c r="G12" s="287"/>
      <c r="H12" s="288"/>
      <c r="I12" s="289" t="s">
        <v>0</v>
      </c>
      <c r="J12" s="290"/>
      <c r="K12" s="291" t="str">
        <f>UPPER(IF(OR(J12="a",J12="as"),F11,IF(OR(J12="b",J12="bs"),F13,)))</f>
        <v/>
      </c>
      <c r="L12" s="305"/>
      <c r="M12" s="275"/>
      <c r="N12" s="304"/>
      <c r="O12" s="301"/>
      <c r="P12" s="301"/>
      <c r="Q12" s="278"/>
      <c r="R12" s="279"/>
      <c r="S12" s="280"/>
      <c r="T12" s="280"/>
      <c r="U12" s="292" t="str">
        <f>[10]Birók!P26</f>
        <v xml:space="preserve"> </v>
      </c>
      <c r="V12" s="280"/>
      <c r="W12" s="280"/>
      <c r="X12" s="280"/>
      <c r="Y12" s="236"/>
      <c r="Z12" s="236"/>
      <c r="AA12" s="236" t="s">
        <v>94</v>
      </c>
      <c r="AB12" s="237">
        <v>15</v>
      </c>
      <c r="AC12" s="237">
        <v>10</v>
      </c>
      <c r="AD12" s="237">
        <v>6</v>
      </c>
      <c r="AE12" s="237">
        <v>3</v>
      </c>
      <c r="AF12" s="237">
        <v>1</v>
      </c>
      <c r="AG12" s="237">
        <v>0</v>
      </c>
      <c r="AH12" s="237">
        <v>0</v>
      </c>
      <c r="AI12" s="234"/>
      <c r="AJ12" s="234"/>
      <c r="AK12" s="234"/>
      <c r="AL12" s="280"/>
      <c r="AM12" s="280"/>
      <c r="AN12" s="280"/>
      <c r="AO12" s="280"/>
      <c r="AP12" s="280"/>
      <c r="AQ12" s="280"/>
      <c r="AR12" s="280"/>
      <c r="AS12" s="280"/>
    </row>
    <row r="13" spans="1:45" s="282" customFormat="1" ht="13.05" customHeight="1" x14ac:dyDescent="0.25">
      <c r="A13" s="283">
        <v>4</v>
      </c>
      <c r="B13" s="270" t="str">
        <f>IF($E13="","",VLOOKUP($E13,'[10]1MD ELO'!$A$7:$O$22,14))</f>
        <v/>
      </c>
      <c r="C13" s="271" t="str">
        <f>IF($E13="","",VLOOKUP($E13,'[10]1MD ELO'!$A$7:$O$22,15))</f>
        <v/>
      </c>
      <c r="D13" s="271" t="str">
        <f>IF($E13="","",VLOOKUP($E13,'[10]1MD ELO'!$A$7:$O$22,5))</f>
        <v/>
      </c>
      <c r="E13" s="293"/>
      <c r="F13" s="294"/>
      <c r="G13" s="294"/>
      <c r="H13" s="294"/>
      <c r="I13" s="294" t="str">
        <f>IF($E13="","",VLOOKUP($E13,'[10]1MD ELO'!$A$7:$O$22,4))</f>
        <v/>
      </c>
      <c r="J13" s="306"/>
      <c r="K13" s="275"/>
      <c r="L13" s="275"/>
      <c r="M13" s="275"/>
      <c r="N13" s="304"/>
      <c r="O13" s="301"/>
      <c r="P13" s="301"/>
      <c r="Q13" s="278"/>
      <c r="R13" s="279"/>
      <c r="S13" s="280"/>
      <c r="T13" s="280"/>
      <c r="U13" s="292" t="str">
        <f>[10]Birók!P27</f>
        <v xml:space="preserve"> </v>
      </c>
      <c r="V13" s="280"/>
      <c r="W13" s="280"/>
      <c r="X13" s="280"/>
      <c r="Y13" s="236"/>
      <c r="Z13" s="236"/>
      <c r="AA13" s="236" t="s">
        <v>90</v>
      </c>
      <c r="AB13" s="237">
        <v>10</v>
      </c>
      <c r="AC13" s="237">
        <v>6</v>
      </c>
      <c r="AD13" s="237">
        <v>3</v>
      </c>
      <c r="AE13" s="237">
        <v>1</v>
      </c>
      <c r="AF13" s="237">
        <v>0</v>
      </c>
      <c r="AG13" s="237">
        <v>0</v>
      </c>
      <c r="AH13" s="237">
        <v>0</v>
      </c>
      <c r="AI13" s="234"/>
      <c r="AJ13" s="234"/>
      <c r="AK13" s="234"/>
      <c r="AL13" s="280"/>
      <c r="AM13" s="280"/>
      <c r="AN13" s="280"/>
      <c r="AO13" s="280"/>
      <c r="AP13" s="280"/>
      <c r="AQ13" s="280"/>
      <c r="AR13" s="280"/>
      <c r="AS13" s="280"/>
    </row>
    <row r="14" spans="1:45" s="282" customFormat="1" ht="13.05" customHeight="1" x14ac:dyDescent="0.25">
      <c r="A14" s="283"/>
      <c r="B14" s="284"/>
      <c r="C14" s="285"/>
      <c r="D14" s="285"/>
      <c r="E14" s="297"/>
      <c r="F14" s="287"/>
      <c r="G14" s="287"/>
      <c r="H14" s="288"/>
      <c r="I14" s="287"/>
      <c r="J14" s="298"/>
      <c r="K14" s="275"/>
      <c r="L14" s="275"/>
      <c r="M14" s="289" t="s">
        <v>0</v>
      </c>
      <c r="N14" s="299"/>
      <c r="O14" s="291" t="s">
        <v>225</v>
      </c>
      <c r="P14" s="300"/>
      <c r="Q14" s="278"/>
      <c r="R14" s="279"/>
      <c r="S14" s="280"/>
      <c r="T14" s="280"/>
      <c r="U14" s="292" t="str">
        <f>[10]Birók!P28</f>
        <v xml:space="preserve"> </v>
      </c>
      <c r="V14" s="280"/>
      <c r="W14" s="280"/>
      <c r="X14" s="280"/>
      <c r="Y14" s="236"/>
      <c r="Z14" s="236"/>
      <c r="AA14" s="236" t="s">
        <v>91</v>
      </c>
      <c r="AB14" s="237">
        <v>3</v>
      </c>
      <c r="AC14" s="237">
        <v>2</v>
      </c>
      <c r="AD14" s="237">
        <v>1</v>
      </c>
      <c r="AE14" s="237">
        <v>0</v>
      </c>
      <c r="AF14" s="237">
        <v>0</v>
      </c>
      <c r="AG14" s="237">
        <v>0</v>
      </c>
      <c r="AH14" s="237">
        <v>0</v>
      </c>
      <c r="AI14" s="234"/>
      <c r="AJ14" s="234"/>
      <c r="AK14" s="234"/>
      <c r="AL14" s="280"/>
      <c r="AM14" s="280"/>
      <c r="AN14" s="280"/>
      <c r="AO14" s="280"/>
      <c r="AP14" s="280"/>
      <c r="AQ14" s="280"/>
      <c r="AR14" s="280"/>
      <c r="AS14" s="280"/>
    </row>
    <row r="15" spans="1:45" s="282" customFormat="1" ht="13.05" customHeight="1" x14ac:dyDescent="0.25">
      <c r="A15" s="307">
        <v>5</v>
      </c>
      <c r="B15" s="270" t="str">
        <f>IF($E15="","",VLOOKUP($E15,'[10]1MD ELO'!$A$7:$O$22,14))</f>
        <v/>
      </c>
      <c r="C15" s="271" t="str">
        <f>IF($E15="","",VLOOKUP($E15,'[10]1MD ELO'!$A$7:$O$22,15))</f>
        <v/>
      </c>
      <c r="D15" s="271" t="str">
        <f>IF($E15="","",VLOOKUP($E15,'[10]1MD ELO'!$A$7:$O$22,5))</f>
        <v/>
      </c>
      <c r="E15" s="293"/>
      <c r="F15" s="294"/>
      <c r="G15" s="294"/>
      <c r="H15" s="294"/>
      <c r="I15" s="294" t="str">
        <f>IF($E15="","",VLOOKUP($E15,'[10]1MD ELO'!$A$7:$O$22,4))</f>
        <v/>
      </c>
      <c r="J15" s="308"/>
      <c r="K15" s="275"/>
      <c r="L15" s="275"/>
      <c r="M15" s="275"/>
      <c r="N15" s="304"/>
      <c r="O15" s="275" t="s">
        <v>187</v>
      </c>
      <c r="P15" s="301"/>
      <c r="Q15" s="278"/>
      <c r="R15" s="279"/>
      <c r="S15" s="280"/>
      <c r="T15" s="280"/>
      <c r="U15" s="292" t="str">
        <f>[10]Birók!P29</f>
        <v xml:space="preserve"> </v>
      </c>
      <c r="V15" s="280"/>
      <c r="W15" s="280"/>
      <c r="X15" s="280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4"/>
      <c r="AJ15" s="234"/>
      <c r="AK15" s="234"/>
      <c r="AL15" s="280"/>
      <c r="AM15" s="280"/>
      <c r="AN15" s="280"/>
      <c r="AO15" s="280"/>
      <c r="AP15" s="280"/>
      <c r="AQ15" s="280"/>
      <c r="AR15" s="280"/>
      <c r="AS15" s="280"/>
    </row>
    <row r="16" spans="1:45" s="282" customFormat="1" ht="13.05" customHeight="1" thickBot="1" x14ac:dyDescent="0.3">
      <c r="A16" s="283"/>
      <c r="B16" s="284"/>
      <c r="C16" s="285"/>
      <c r="D16" s="285"/>
      <c r="E16" s="297"/>
      <c r="F16" s="287"/>
      <c r="G16" s="287"/>
      <c r="H16" s="288"/>
      <c r="I16" s="289" t="s">
        <v>0</v>
      </c>
      <c r="J16" s="290"/>
      <c r="K16" s="291" t="str">
        <f>UPPER(IF(OR(J16="a",J16="as"),F15,IF(OR(J16="b",J16="bs"),F17,)))</f>
        <v/>
      </c>
      <c r="L16" s="291"/>
      <c r="M16" s="275"/>
      <c r="N16" s="304"/>
      <c r="O16" s="289"/>
      <c r="P16" s="301"/>
      <c r="Q16" s="278"/>
      <c r="R16" s="279"/>
      <c r="S16" s="280"/>
      <c r="T16" s="280"/>
      <c r="U16" s="309" t="str">
        <f>[10]Birók!P30</f>
        <v>Egyik sem</v>
      </c>
      <c r="V16" s="280"/>
      <c r="W16" s="280"/>
      <c r="X16" s="280"/>
      <c r="Y16" s="236"/>
      <c r="Z16" s="236"/>
      <c r="AA16" s="236" t="s">
        <v>52</v>
      </c>
      <c r="AB16" s="237">
        <v>150</v>
      </c>
      <c r="AC16" s="237">
        <v>120</v>
      </c>
      <c r="AD16" s="237">
        <v>90</v>
      </c>
      <c r="AE16" s="237">
        <v>60</v>
      </c>
      <c r="AF16" s="237">
        <v>40</v>
      </c>
      <c r="AG16" s="237">
        <v>25</v>
      </c>
      <c r="AH16" s="237">
        <v>15</v>
      </c>
      <c r="AI16" s="234"/>
      <c r="AJ16" s="234"/>
      <c r="AK16" s="234"/>
      <c r="AL16" s="280"/>
      <c r="AM16" s="280"/>
      <c r="AN16" s="280"/>
      <c r="AO16" s="280"/>
      <c r="AP16" s="280"/>
      <c r="AQ16" s="280"/>
      <c r="AR16" s="280"/>
      <c r="AS16" s="280"/>
    </row>
    <row r="17" spans="1:45" s="282" customFormat="1" ht="13.05" customHeight="1" x14ac:dyDescent="0.25">
      <c r="A17" s="283">
        <v>6</v>
      </c>
      <c r="B17" s="270" t="str">
        <f>IF($E17="","",VLOOKUP($E17,'[10]1MD ELO'!$A$7:$O$22,14))</f>
        <v/>
      </c>
      <c r="C17" s="271" t="str">
        <f>IF($E17="","",VLOOKUP($E17,'[10]1MD ELO'!$A$7:$O$22,15))</f>
        <v/>
      </c>
      <c r="D17" s="271" t="str">
        <f>IF($E17="","",VLOOKUP($E17,'[10]1MD ELO'!$A$7:$O$22,5))</f>
        <v/>
      </c>
      <c r="E17" s="293"/>
      <c r="F17" s="294"/>
      <c r="G17" s="294"/>
      <c r="H17" s="294"/>
      <c r="I17" s="294" t="str">
        <f>IF($E17="","",VLOOKUP($E17,'[10]1MD ELO'!$A$7:$O$22,4))</f>
        <v/>
      </c>
      <c r="J17" s="295"/>
      <c r="K17" s="275"/>
      <c r="L17" s="296"/>
      <c r="M17" s="275"/>
      <c r="N17" s="304"/>
      <c r="O17" s="301"/>
      <c r="P17" s="301"/>
      <c r="Q17" s="278"/>
      <c r="R17" s="279"/>
      <c r="S17" s="280"/>
      <c r="T17" s="280"/>
      <c r="U17" s="280"/>
      <c r="V17" s="280"/>
      <c r="W17" s="280"/>
      <c r="X17" s="280"/>
      <c r="Y17" s="236"/>
      <c r="Z17" s="236"/>
      <c r="AA17" s="236" t="s">
        <v>82</v>
      </c>
      <c r="AB17" s="237">
        <v>120</v>
      </c>
      <c r="AC17" s="237">
        <v>90</v>
      </c>
      <c r="AD17" s="237">
        <v>60</v>
      </c>
      <c r="AE17" s="237">
        <v>40</v>
      </c>
      <c r="AF17" s="237">
        <v>25</v>
      </c>
      <c r="AG17" s="237">
        <v>15</v>
      </c>
      <c r="AH17" s="237">
        <v>8</v>
      </c>
      <c r="AI17" s="234"/>
      <c r="AJ17" s="234"/>
      <c r="AK17" s="234"/>
      <c r="AL17" s="280"/>
      <c r="AM17" s="280"/>
      <c r="AN17" s="280"/>
      <c r="AO17" s="280"/>
      <c r="AP17" s="280"/>
      <c r="AQ17" s="280"/>
      <c r="AR17" s="280"/>
      <c r="AS17" s="280"/>
    </row>
    <row r="18" spans="1:45" s="282" customFormat="1" ht="13.05" customHeight="1" x14ac:dyDescent="0.25">
      <c r="A18" s="283"/>
      <c r="B18" s="284"/>
      <c r="C18" s="285"/>
      <c r="D18" s="285"/>
      <c r="E18" s="297"/>
      <c r="F18" s="287"/>
      <c r="G18" s="287"/>
      <c r="H18" s="288"/>
      <c r="I18" s="287"/>
      <c r="J18" s="298"/>
      <c r="K18" s="289" t="s">
        <v>0</v>
      </c>
      <c r="L18" s="299"/>
      <c r="M18" s="291"/>
      <c r="N18" s="310"/>
      <c r="O18" s="301"/>
      <c r="P18" s="301"/>
      <c r="Q18" s="278"/>
      <c r="R18" s="279"/>
      <c r="S18" s="280"/>
      <c r="T18" s="280"/>
      <c r="U18" s="280"/>
      <c r="V18" s="280"/>
      <c r="W18" s="280"/>
      <c r="X18" s="280"/>
      <c r="Y18" s="236"/>
      <c r="Z18" s="236"/>
      <c r="AA18" s="236" t="s">
        <v>83</v>
      </c>
      <c r="AB18" s="237">
        <v>90</v>
      </c>
      <c r="AC18" s="237">
        <v>60</v>
      </c>
      <c r="AD18" s="237">
        <v>40</v>
      </c>
      <c r="AE18" s="237">
        <v>25</v>
      </c>
      <c r="AF18" s="237">
        <v>15</v>
      </c>
      <c r="AG18" s="237">
        <v>8</v>
      </c>
      <c r="AH18" s="237">
        <v>4</v>
      </c>
      <c r="AI18" s="234"/>
      <c r="AJ18" s="234"/>
      <c r="AK18" s="234"/>
      <c r="AL18" s="280"/>
      <c r="AM18" s="280"/>
      <c r="AN18" s="280"/>
      <c r="AO18" s="280"/>
      <c r="AP18" s="280"/>
      <c r="AQ18" s="280"/>
      <c r="AR18" s="280"/>
      <c r="AS18" s="280"/>
    </row>
    <row r="19" spans="1:45" s="282" customFormat="1" ht="13.05" customHeight="1" x14ac:dyDescent="0.25">
      <c r="A19" s="283">
        <v>7</v>
      </c>
      <c r="B19" s="270" t="str">
        <f>IF($E19="","",VLOOKUP($E19,'[10]1MD ELO'!$A$7:$O$22,14))</f>
        <v/>
      </c>
      <c r="C19" s="271" t="str">
        <f>IF($E19="","",VLOOKUP($E19,'[10]1MD ELO'!$A$7:$O$22,15))</f>
        <v/>
      </c>
      <c r="D19" s="271" t="str">
        <f>IF($E19="","",VLOOKUP($E19,'[10]1MD ELO'!$A$7:$O$22,5))</f>
        <v/>
      </c>
      <c r="E19" s="293"/>
      <c r="F19" s="294"/>
      <c r="G19" s="294"/>
      <c r="H19" s="294"/>
      <c r="I19" s="294" t="str">
        <f>IF($E19="","",VLOOKUP($E19,'[10]1MD ELO'!$A$7:$O$22,4))</f>
        <v/>
      </c>
      <c r="J19" s="274"/>
      <c r="K19" s="275"/>
      <c r="L19" s="302"/>
      <c r="M19" s="275"/>
      <c r="N19" s="301"/>
      <c r="O19" s="301"/>
      <c r="P19" s="301"/>
      <c r="Q19" s="278"/>
      <c r="R19" s="279"/>
      <c r="S19" s="280"/>
      <c r="T19" s="280"/>
      <c r="U19" s="280"/>
      <c r="V19" s="280"/>
      <c r="W19" s="280"/>
      <c r="X19" s="280"/>
      <c r="Y19" s="236"/>
      <c r="Z19" s="236"/>
      <c r="AA19" s="236" t="s">
        <v>84</v>
      </c>
      <c r="AB19" s="237">
        <v>60</v>
      </c>
      <c r="AC19" s="237">
        <v>40</v>
      </c>
      <c r="AD19" s="237">
        <v>25</v>
      </c>
      <c r="AE19" s="237">
        <v>15</v>
      </c>
      <c r="AF19" s="237">
        <v>8</v>
      </c>
      <c r="AG19" s="237">
        <v>4</v>
      </c>
      <c r="AH19" s="237">
        <v>2</v>
      </c>
      <c r="AI19" s="234"/>
      <c r="AJ19" s="234"/>
      <c r="AK19" s="234"/>
      <c r="AL19" s="280"/>
      <c r="AM19" s="280"/>
      <c r="AN19" s="280"/>
      <c r="AO19" s="280"/>
      <c r="AP19" s="280"/>
      <c r="AQ19" s="280"/>
      <c r="AR19" s="280"/>
      <c r="AS19" s="280"/>
    </row>
    <row r="20" spans="1:45" s="282" customFormat="1" ht="13.05" customHeight="1" x14ac:dyDescent="0.25">
      <c r="A20" s="283"/>
      <c r="B20" s="284"/>
      <c r="C20" s="285"/>
      <c r="D20" s="285"/>
      <c r="E20" s="286"/>
      <c r="F20" s="287"/>
      <c r="G20" s="287"/>
      <c r="H20" s="288"/>
      <c r="I20" s="289" t="s">
        <v>0</v>
      </c>
      <c r="J20" s="290"/>
      <c r="K20" s="291" t="str">
        <f>UPPER(IF(OR(J20="a",J20="as"),F19,IF(OR(J20="b",J20="bs"),F21,)))</f>
        <v/>
      </c>
      <c r="L20" s="305"/>
      <c r="M20" s="275"/>
      <c r="N20" s="301"/>
      <c r="O20" s="301"/>
      <c r="P20" s="301"/>
      <c r="Q20" s="278"/>
      <c r="R20" s="279"/>
      <c r="S20" s="280"/>
      <c r="T20" s="280"/>
      <c r="U20" s="280"/>
      <c r="V20" s="280"/>
      <c r="W20" s="280"/>
      <c r="X20" s="280"/>
      <c r="Y20" s="236"/>
      <c r="Z20" s="236"/>
      <c r="AA20" s="236" t="s">
        <v>85</v>
      </c>
      <c r="AB20" s="237">
        <v>40</v>
      </c>
      <c r="AC20" s="237">
        <v>25</v>
      </c>
      <c r="AD20" s="237">
        <v>15</v>
      </c>
      <c r="AE20" s="237">
        <v>8</v>
      </c>
      <c r="AF20" s="237">
        <v>4</v>
      </c>
      <c r="AG20" s="237">
        <v>2</v>
      </c>
      <c r="AH20" s="237">
        <v>1</v>
      </c>
      <c r="AI20" s="234"/>
      <c r="AJ20" s="234"/>
      <c r="AK20" s="234"/>
      <c r="AL20" s="280"/>
      <c r="AM20" s="280"/>
      <c r="AN20" s="280"/>
      <c r="AO20" s="280"/>
      <c r="AP20" s="280"/>
      <c r="AQ20" s="280"/>
      <c r="AR20" s="280"/>
      <c r="AS20" s="280"/>
    </row>
    <row r="21" spans="1:45" s="282" customFormat="1" ht="13.05" customHeight="1" x14ac:dyDescent="0.25">
      <c r="A21" s="311">
        <v>8</v>
      </c>
      <c r="B21" s="270" t="str">
        <f>IF($E21="","",VLOOKUP($E21,'[10]1MD ELO'!$A$7:$O$22,14))</f>
        <v/>
      </c>
      <c r="C21" s="271" t="str">
        <f>IF($E21="","",VLOOKUP($E21,'[10]1MD ELO'!$A$7:$O$22,15))</f>
        <v/>
      </c>
      <c r="D21" s="271" t="str">
        <f>IF($E21="","",VLOOKUP($E21,'[10]1MD ELO'!$A$7:$O$22,5))</f>
        <v/>
      </c>
      <c r="E21" s="272"/>
      <c r="F21" s="312"/>
      <c r="G21" s="312"/>
      <c r="H21" s="312"/>
      <c r="I21" s="312" t="str">
        <f>IF($E21="","",VLOOKUP($E21,'[10]1MD ELO'!$A$7:$O$22,4))</f>
        <v/>
      </c>
      <c r="J21" s="306"/>
      <c r="K21" s="275"/>
      <c r="L21" s="275"/>
      <c r="M21" s="275"/>
      <c r="N21" s="301"/>
      <c r="O21" s="301"/>
      <c r="P21" s="301"/>
      <c r="Q21" s="278"/>
      <c r="R21" s="279"/>
      <c r="S21" s="280"/>
      <c r="T21" s="280"/>
      <c r="U21" s="280"/>
      <c r="V21" s="280"/>
      <c r="W21" s="280"/>
      <c r="X21" s="280"/>
      <c r="Y21" s="236"/>
      <c r="Z21" s="236"/>
      <c r="AA21" s="236" t="s">
        <v>86</v>
      </c>
      <c r="AB21" s="237">
        <v>25</v>
      </c>
      <c r="AC21" s="237">
        <v>15</v>
      </c>
      <c r="AD21" s="237">
        <v>10</v>
      </c>
      <c r="AE21" s="237">
        <v>6</v>
      </c>
      <c r="AF21" s="237">
        <v>3</v>
      </c>
      <c r="AG21" s="237">
        <v>1</v>
      </c>
      <c r="AH21" s="237">
        <v>0</v>
      </c>
      <c r="AI21" s="234"/>
      <c r="AJ21" s="234"/>
      <c r="AK21" s="234"/>
      <c r="AL21" s="280"/>
      <c r="AM21" s="280"/>
      <c r="AN21" s="280"/>
      <c r="AO21" s="280"/>
      <c r="AP21" s="280"/>
      <c r="AQ21" s="280"/>
      <c r="AR21" s="280"/>
      <c r="AS21" s="280"/>
    </row>
    <row r="22" spans="1:45" s="282" customFormat="1" ht="9.4499999999999993" customHeight="1" x14ac:dyDescent="0.25">
      <c r="A22" s="313"/>
      <c r="B22" s="276"/>
      <c r="C22" s="276"/>
      <c r="D22" s="276"/>
      <c r="E22" s="286"/>
      <c r="F22" s="276"/>
      <c r="G22" s="276"/>
      <c r="H22" s="276"/>
      <c r="I22" s="276"/>
      <c r="J22" s="286"/>
      <c r="K22" s="276"/>
      <c r="L22" s="276"/>
      <c r="M22" s="276"/>
      <c r="N22" s="278"/>
      <c r="O22" s="278"/>
      <c r="P22" s="278"/>
      <c r="Q22" s="278"/>
      <c r="R22" s="279"/>
      <c r="S22" s="280"/>
      <c r="T22" s="280"/>
      <c r="U22" s="280"/>
      <c r="V22" s="280"/>
      <c r="W22" s="280"/>
      <c r="X22" s="280"/>
      <c r="Y22" s="236"/>
      <c r="Z22" s="236"/>
      <c r="AA22" s="236" t="s">
        <v>87</v>
      </c>
      <c r="AB22" s="237">
        <v>15</v>
      </c>
      <c r="AC22" s="237">
        <v>10</v>
      </c>
      <c r="AD22" s="237">
        <v>6</v>
      </c>
      <c r="AE22" s="237">
        <v>3</v>
      </c>
      <c r="AF22" s="237">
        <v>1</v>
      </c>
      <c r="AG22" s="237">
        <v>0</v>
      </c>
      <c r="AH22" s="237">
        <v>0</v>
      </c>
      <c r="AI22" s="234"/>
      <c r="AJ22" s="234"/>
      <c r="AK22" s="234"/>
      <c r="AL22" s="280"/>
      <c r="AM22" s="280"/>
      <c r="AN22" s="280"/>
      <c r="AO22" s="280"/>
      <c r="AP22" s="280"/>
      <c r="AQ22" s="280"/>
      <c r="AR22" s="280"/>
      <c r="AS22" s="280"/>
    </row>
    <row r="23" spans="1:45" s="282" customFormat="1" ht="9.4499999999999993" customHeight="1" x14ac:dyDescent="0.25">
      <c r="A23" s="314"/>
      <c r="B23" s="286"/>
      <c r="C23" s="286"/>
      <c r="D23" s="286"/>
      <c r="E23" s="286"/>
      <c r="F23" s="276"/>
      <c r="G23" s="276"/>
      <c r="H23" s="280"/>
      <c r="I23" s="315"/>
      <c r="J23" s="286"/>
      <c r="K23" s="276"/>
      <c r="L23" s="276"/>
      <c r="M23" s="276"/>
      <c r="N23" s="278"/>
      <c r="O23" s="278"/>
      <c r="P23" s="278"/>
      <c r="Q23" s="278"/>
      <c r="R23" s="279"/>
      <c r="S23" s="280"/>
      <c r="T23" s="280"/>
      <c r="U23" s="280"/>
      <c r="V23" s="280"/>
      <c r="W23" s="280"/>
      <c r="X23" s="280"/>
      <c r="Y23" s="236"/>
      <c r="Z23" s="236"/>
      <c r="AA23" s="236" t="s">
        <v>88</v>
      </c>
      <c r="AB23" s="237">
        <v>10</v>
      </c>
      <c r="AC23" s="237">
        <v>6</v>
      </c>
      <c r="AD23" s="237">
        <v>3</v>
      </c>
      <c r="AE23" s="237">
        <v>1</v>
      </c>
      <c r="AF23" s="237">
        <v>0</v>
      </c>
      <c r="AG23" s="237">
        <v>0</v>
      </c>
      <c r="AH23" s="237">
        <v>0</v>
      </c>
      <c r="AI23" s="234"/>
      <c r="AJ23" s="234"/>
      <c r="AK23" s="234"/>
      <c r="AL23" s="280"/>
      <c r="AM23" s="280"/>
      <c r="AN23" s="280"/>
      <c r="AO23" s="280"/>
      <c r="AP23" s="280"/>
      <c r="AQ23" s="280"/>
      <c r="AR23" s="280"/>
      <c r="AS23" s="280"/>
    </row>
    <row r="24" spans="1:45" s="282" customFormat="1" ht="9.4499999999999993" customHeight="1" x14ac:dyDescent="0.25">
      <c r="A24" s="314"/>
      <c r="B24" s="276"/>
      <c r="C24" s="276"/>
      <c r="D24" s="276"/>
      <c r="E24" s="286"/>
      <c r="F24" s="276"/>
      <c r="G24" s="276"/>
      <c r="H24" s="276"/>
      <c r="I24" s="276"/>
      <c r="J24" s="286"/>
      <c r="K24" s="276"/>
      <c r="L24" s="316"/>
      <c r="M24" s="276"/>
      <c r="N24" s="278"/>
      <c r="O24" s="278"/>
      <c r="P24" s="278"/>
      <c r="Q24" s="278"/>
      <c r="R24" s="279"/>
      <c r="S24" s="280"/>
      <c r="T24" s="280"/>
      <c r="U24" s="280"/>
      <c r="V24" s="280"/>
      <c r="W24" s="280"/>
      <c r="X24" s="280"/>
      <c r="Y24" s="236"/>
      <c r="Z24" s="236"/>
      <c r="AA24" s="236" t="s">
        <v>89</v>
      </c>
      <c r="AB24" s="237">
        <v>6</v>
      </c>
      <c r="AC24" s="237">
        <v>3</v>
      </c>
      <c r="AD24" s="237">
        <v>1</v>
      </c>
      <c r="AE24" s="237">
        <v>0</v>
      </c>
      <c r="AF24" s="237">
        <v>0</v>
      </c>
      <c r="AG24" s="237">
        <v>0</v>
      </c>
      <c r="AH24" s="237">
        <v>0</v>
      </c>
      <c r="AI24" s="234"/>
      <c r="AJ24" s="234"/>
      <c r="AK24" s="234"/>
      <c r="AL24" s="280"/>
      <c r="AM24" s="280"/>
      <c r="AN24" s="280"/>
      <c r="AO24" s="280"/>
      <c r="AP24" s="280"/>
      <c r="AQ24" s="280"/>
      <c r="AR24" s="280"/>
      <c r="AS24" s="280"/>
    </row>
    <row r="25" spans="1:45" s="282" customFormat="1" ht="9.4499999999999993" customHeight="1" x14ac:dyDescent="0.25">
      <c r="A25" s="314"/>
      <c r="B25" s="286"/>
      <c r="C25" s="286"/>
      <c r="D25" s="286"/>
      <c r="E25" s="286"/>
      <c r="F25" s="276"/>
      <c r="G25" s="276"/>
      <c r="H25" s="280"/>
      <c r="I25" s="276"/>
      <c r="J25" s="286"/>
      <c r="K25" s="315"/>
      <c r="L25" s="286"/>
      <c r="M25" s="276"/>
      <c r="N25" s="278"/>
      <c r="O25" s="278"/>
      <c r="P25" s="278"/>
      <c r="Q25" s="278"/>
      <c r="R25" s="279"/>
      <c r="S25" s="280"/>
      <c r="T25" s="280"/>
      <c r="U25" s="280"/>
      <c r="V25" s="280"/>
      <c r="W25" s="280"/>
      <c r="X25" s="280"/>
      <c r="Y25" s="236"/>
      <c r="Z25" s="236"/>
      <c r="AA25" s="236" t="s">
        <v>94</v>
      </c>
      <c r="AB25" s="237">
        <v>3</v>
      </c>
      <c r="AC25" s="237">
        <v>2</v>
      </c>
      <c r="AD25" s="237">
        <v>1</v>
      </c>
      <c r="AE25" s="237">
        <v>0</v>
      </c>
      <c r="AF25" s="237">
        <v>0</v>
      </c>
      <c r="AG25" s="237">
        <v>0</v>
      </c>
      <c r="AH25" s="237">
        <v>0</v>
      </c>
      <c r="AI25" s="234"/>
      <c r="AJ25" s="234"/>
      <c r="AK25" s="234"/>
      <c r="AL25" s="280"/>
      <c r="AM25" s="280"/>
      <c r="AN25" s="280"/>
      <c r="AO25" s="280"/>
      <c r="AP25" s="280"/>
      <c r="AQ25" s="280"/>
      <c r="AR25" s="280"/>
      <c r="AS25" s="280"/>
    </row>
    <row r="26" spans="1:45" s="282" customFormat="1" ht="9.4499999999999993" customHeight="1" x14ac:dyDescent="0.25">
      <c r="A26" s="314"/>
      <c r="B26" s="276"/>
      <c r="C26" s="276"/>
      <c r="D26" s="276"/>
      <c r="E26" s="286"/>
      <c r="F26" s="276"/>
      <c r="G26" s="276"/>
      <c r="H26" s="276"/>
      <c r="I26" s="276"/>
      <c r="J26" s="286"/>
      <c r="K26" s="276"/>
      <c r="L26" s="276"/>
      <c r="M26" s="276"/>
      <c r="N26" s="278"/>
      <c r="O26" s="278"/>
      <c r="P26" s="278"/>
      <c r="Q26" s="278"/>
      <c r="R26" s="279"/>
      <c r="S26" s="317"/>
      <c r="T26" s="280"/>
      <c r="U26" s="280"/>
      <c r="V26" s="280"/>
      <c r="W26" s="280"/>
      <c r="X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234"/>
      <c r="AJ26" s="234"/>
      <c r="AK26" s="234"/>
      <c r="AL26" s="280"/>
      <c r="AM26" s="280"/>
      <c r="AN26" s="280"/>
      <c r="AO26" s="280"/>
      <c r="AP26" s="280"/>
      <c r="AQ26" s="280"/>
      <c r="AR26" s="280"/>
      <c r="AS26" s="280"/>
    </row>
    <row r="27" spans="1:45" s="282" customFormat="1" ht="9.4499999999999993" customHeight="1" x14ac:dyDescent="0.25">
      <c r="A27" s="314"/>
      <c r="B27" s="286"/>
      <c r="C27" s="286"/>
      <c r="D27" s="286"/>
      <c r="E27" s="286"/>
      <c r="F27" s="276"/>
      <c r="G27" s="276"/>
      <c r="H27" s="280"/>
      <c r="I27" s="315"/>
      <c r="J27" s="286"/>
      <c r="K27" s="276"/>
      <c r="L27" s="276"/>
      <c r="M27" s="276"/>
      <c r="N27" s="278"/>
      <c r="O27" s="278"/>
      <c r="P27" s="278"/>
      <c r="Q27" s="278"/>
      <c r="R27" s="279"/>
      <c r="S27" s="280"/>
      <c r="T27" s="280"/>
      <c r="U27" s="280"/>
      <c r="V27" s="280"/>
      <c r="W27" s="280"/>
      <c r="X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234"/>
      <c r="AJ27" s="234"/>
      <c r="AK27" s="234"/>
      <c r="AL27" s="280"/>
      <c r="AM27" s="280"/>
      <c r="AN27" s="280"/>
      <c r="AO27" s="280"/>
      <c r="AP27" s="280"/>
      <c r="AQ27" s="280"/>
      <c r="AR27" s="280"/>
      <c r="AS27" s="280"/>
    </row>
    <row r="28" spans="1:45" s="282" customFormat="1" ht="9.4499999999999993" customHeight="1" x14ac:dyDescent="0.25">
      <c r="A28" s="314"/>
      <c r="B28" s="276"/>
      <c r="C28" s="276"/>
      <c r="D28" s="276"/>
      <c r="E28" s="286"/>
      <c r="F28" s="276"/>
      <c r="G28" s="276"/>
      <c r="H28" s="276"/>
      <c r="I28" s="276"/>
      <c r="J28" s="286"/>
      <c r="K28" s="276"/>
      <c r="L28" s="276"/>
      <c r="M28" s="276"/>
      <c r="N28" s="278"/>
      <c r="O28" s="278"/>
      <c r="P28" s="278"/>
      <c r="Q28" s="278"/>
      <c r="R28" s="279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</row>
    <row r="29" spans="1:45" s="282" customFormat="1" ht="9.4499999999999993" customHeight="1" x14ac:dyDescent="0.25">
      <c r="A29" s="314"/>
      <c r="B29" s="286"/>
      <c r="C29" s="286"/>
      <c r="D29" s="286"/>
      <c r="E29" s="286"/>
      <c r="F29" s="276"/>
      <c r="G29" s="276"/>
      <c r="H29" s="280"/>
      <c r="I29" s="276"/>
      <c r="J29" s="286"/>
      <c r="K29" s="276"/>
      <c r="L29" s="276"/>
      <c r="M29" s="315"/>
      <c r="N29" s="286"/>
      <c r="O29" s="276"/>
      <c r="P29" s="278"/>
      <c r="Q29" s="278"/>
      <c r="R29" s="279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</row>
    <row r="30" spans="1:45" s="282" customFormat="1" ht="9.4499999999999993" customHeight="1" x14ac:dyDescent="0.25">
      <c r="A30" s="314"/>
      <c r="B30" s="276"/>
      <c r="C30" s="276"/>
      <c r="D30" s="276"/>
      <c r="E30" s="286"/>
      <c r="F30" s="276"/>
      <c r="G30" s="276"/>
      <c r="H30" s="276"/>
      <c r="I30" s="276"/>
      <c r="J30" s="286"/>
      <c r="K30" s="276"/>
      <c r="L30" s="276"/>
      <c r="M30" s="276"/>
      <c r="N30" s="278"/>
      <c r="O30" s="276"/>
      <c r="P30" s="278"/>
      <c r="Q30" s="278"/>
      <c r="R30" s="279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</row>
    <row r="31" spans="1:45" s="282" customFormat="1" ht="9.4499999999999993" customHeight="1" x14ac:dyDescent="0.25">
      <c r="A31" s="314"/>
      <c r="B31" s="286"/>
      <c r="C31" s="286"/>
      <c r="D31" s="286"/>
      <c r="E31" s="286"/>
      <c r="F31" s="276"/>
      <c r="G31" s="276"/>
      <c r="H31" s="280"/>
      <c r="I31" s="315"/>
      <c r="J31" s="286"/>
      <c r="K31" s="276"/>
      <c r="L31" s="276"/>
      <c r="M31" s="276"/>
      <c r="N31" s="278"/>
      <c r="O31" s="278"/>
      <c r="P31" s="278"/>
      <c r="Q31" s="278"/>
      <c r="R31" s="279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</row>
    <row r="32" spans="1:45" s="282" customFormat="1" ht="9.4499999999999993" customHeight="1" x14ac:dyDescent="0.25">
      <c r="A32" s="314"/>
      <c r="B32" s="276"/>
      <c r="C32" s="276"/>
      <c r="D32" s="276"/>
      <c r="E32" s="286"/>
      <c r="F32" s="276"/>
      <c r="G32" s="276"/>
      <c r="H32" s="276"/>
      <c r="I32" s="276"/>
      <c r="J32" s="286"/>
      <c r="K32" s="276"/>
      <c r="L32" s="316"/>
      <c r="M32" s="276"/>
      <c r="N32" s="278"/>
      <c r="O32" s="278"/>
      <c r="P32" s="278"/>
      <c r="Q32" s="278"/>
      <c r="R32" s="279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</row>
    <row r="33" spans="1:45" s="282" customFormat="1" ht="9.4499999999999993" customHeight="1" x14ac:dyDescent="0.25">
      <c r="A33" s="314"/>
      <c r="B33" s="286"/>
      <c r="C33" s="286"/>
      <c r="D33" s="286"/>
      <c r="E33" s="286"/>
      <c r="F33" s="276"/>
      <c r="G33" s="276"/>
      <c r="H33" s="280"/>
      <c r="I33" s="276"/>
      <c r="J33" s="286"/>
      <c r="K33" s="315"/>
      <c r="L33" s="286"/>
      <c r="M33" s="276"/>
      <c r="N33" s="278"/>
      <c r="O33" s="278"/>
      <c r="P33" s="278"/>
      <c r="Q33" s="278"/>
      <c r="R33" s="279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</row>
    <row r="34" spans="1:45" s="282" customFormat="1" ht="9.4499999999999993" customHeight="1" x14ac:dyDescent="0.25">
      <c r="A34" s="314"/>
      <c r="B34" s="276"/>
      <c r="C34" s="276"/>
      <c r="D34" s="276"/>
      <c r="E34" s="286"/>
      <c r="F34" s="276"/>
      <c r="G34" s="276"/>
      <c r="H34" s="276"/>
      <c r="I34" s="276"/>
      <c r="J34" s="286"/>
      <c r="K34" s="276"/>
      <c r="L34" s="276"/>
      <c r="M34" s="276"/>
      <c r="N34" s="278"/>
      <c r="O34" s="278"/>
      <c r="P34" s="278"/>
      <c r="Q34" s="278"/>
      <c r="R34" s="279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</row>
    <row r="35" spans="1:45" s="282" customFormat="1" ht="9.4499999999999993" customHeight="1" x14ac:dyDescent="0.25">
      <c r="A35" s="314"/>
      <c r="B35" s="286"/>
      <c r="C35" s="286"/>
      <c r="D35" s="286"/>
      <c r="E35" s="286"/>
      <c r="F35" s="276"/>
      <c r="G35" s="276"/>
      <c r="H35" s="280"/>
      <c r="I35" s="315"/>
      <c r="J35" s="286"/>
      <c r="K35" s="276"/>
      <c r="L35" s="276"/>
      <c r="M35" s="276"/>
      <c r="N35" s="278"/>
      <c r="O35" s="278"/>
      <c r="P35" s="278"/>
      <c r="Q35" s="278"/>
      <c r="R35" s="279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</row>
    <row r="36" spans="1:45" s="282" customFormat="1" ht="9.4499999999999993" customHeight="1" x14ac:dyDescent="0.25">
      <c r="A36" s="313"/>
      <c r="B36" s="276"/>
      <c r="C36" s="276"/>
      <c r="D36" s="276"/>
      <c r="E36" s="286"/>
      <c r="F36" s="276"/>
      <c r="G36" s="276"/>
      <c r="H36" s="276"/>
      <c r="I36" s="276"/>
      <c r="J36" s="286"/>
      <c r="K36" s="276"/>
      <c r="L36" s="276"/>
      <c r="M36" s="276"/>
      <c r="N36" s="276"/>
      <c r="O36" s="276"/>
      <c r="P36" s="276"/>
      <c r="Q36" s="278"/>
      <c r="R36" s="279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</row>
    <row r="37" spans="1:45" s="282" customFormat="1" ht="9.4499999999999993" customHeight="1" x14ac:dyDescent="0.25">
      <c r="A37" s="314"/>
      <c r="B37" s="286"/>
      <c r="C37" s="286"/>
      <c r="D37" s="286"/>
      <c r="E37" s="286"/>
      <c r="F37" s="318"/>
      <c r="G37" s="318"/>
      <c r="H37" s="319"/>
      <c r="I37" s="275"/>
      <c r="J37" s="298"/>
      <c r="K37" s="275"/>
      <c r="L37" s="275"/>
      <c r="M37" s="275"/>
      <c r="N37" s="301"/>
      <c r="O37" s="301"/>
      <c r="P37" s="301"/>
      <c r="Q37" s="278"/>
      <c r="R37" s="279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</row>
    <row r="38" spans="1:45" s="282" customFormat="1" ht="9.4499999999999993" customHeight="1" x14ac:dyDescent="0.25">
      <c r="A38" s="313"/>
      <c r="B38" s="276"/>
      <c r="C38" s="276"/>
      <c r="D38" s="276"/>
      <c r="E38" s="286"/>
      <c r="F38" s="276"/>
      <c r="G38" s="276"/>
      <c r="H38" s="276"/>
      <c r="I38" s="276"/>
      <c r="J38" s="286"/>
      <c r="K38" s="276"/>
      <c r="L38" s="276"/>
      <c r="M38" s="276"/>
      <c r="N38" s="278"/>
      <c r="O38" s="278"/>
      <c r="P38" s="278"/>
      <c r="Q38" s="278"/>
      <c r="R38" s="279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</row>
    <row r="39" spans="1:45" s="282" customFormat="1" ht="9.4499999999999993" customHeight="1" x14ac:dyDescent="0.25">
      <c r="A39" s="314"/>
      <c r="B39" s="286"/>
      <c r="C39" s="286"/>
      <c r="D39" s="286"/>
      <c r="E39" s="286"/>
      <c r="F39" s="276"/>
      <c r="G39" s="276"/>
      <c r="H39" s="280"/>
      <c r="I39" s="315"/>
      <c r="J39" s="286"/>
      <c r="K39" s="276"/>
      <c r="L39" s="276"/>
      <c r="M39" s="276"/>
      <c r="N39" s="278"/>
      <c r="O39" s="278"/>
      <c r="P39" s="278"/>
      <c r="Q39" s="278"/>
      <c r="R39" s="279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</row>
    <row r="40" spans="1:45" s="282" customFormat="1" ht="9.4499999999999993" customHeight="1" x14ac:dyDescent="0.25">
      <c r="A40" s="314"/>
      <c r="B40" s="276"/>
      <c r="C40" s="276"/>
      <c r="D40" s="276"/>
      <c r="E40" s="286"/>
      <c r="F40" s="276"/>
      <c r="G40" s="276"/>
      <c r="H40" s="276"/>
      <c r="I40" s="276"/>
      <c r="J40" s="286"/>
      <c r="K40" s="276"/>
      <c r="L40" s="316"/>
      <c r="M40" s="276"/>
      <c r="N40" s="278"/>
      <c r="O40" s="278"/>
      <c r="P40" s="278"/>
      <c r="Q40" s="278"/>
      <c r="R40" s="279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</row>
    <row r="41" spans="1:45" s="282" customFormat="1" ht="9.4499999999999993" customHeight="1" x14ac:dyDescent="0.25">
      <c r="A41" s="314"/>
      <c r="B41" s="286"/>
      <c r="C41" s="286"/>
      <c r="D41" s="286"/>
      <c r="E41" s="286"/>
      <c r="F41" s="276"/>
      <c r="G41" s="276"/>
      <c r="H41" s="280"/>
      <c r="I41" s="276"/>
      <c r="J41" s="286"/>
      <c r="K41" s="315"/>
      <c r="L41" s="286"/>
      <c r="M41" s="276"/>
      <c r="N41" s="278"/>
      <c r="O41" s="278"/>
      <c r="P41" s="278"/>
      <c r="Q41" s="278"/>
      <c r="R41" s="279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</row>
    <row r="42" spans="1:45" s="282" customFormat="1" ht="9.4499999999999993" customHeight="1" x14ac:dyDescent="0.25">
      <c r="A42" s="314"/>
      <c r="B42" s="276"/>
      <c r="C42" s="276"/>
      <c r="D42" s="276"/>
      <c r="E42" s="286"/>
      <c r="F42" s="276"/>
      <c r="G42" s="276"/>
      <c r="H42" s="276"/>
      <c r="I42" s="276"/>
      <c r="J42" s="286"/>
      <c r="K42" s="276"/>
      <c r="L42" s="276"/>
      <c r="M42" s="276"/>
      <c r="N42" s="278"/>
      <c r="O42" s="278"/>
      <c r="P42" s="278"/>
      <c r="Q42" s="278"/>
      <c r="R42" s="279"/>
      <c r="S42" s="317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</row>
    <row r="43" spans="1:45" s="282" customFormat="1" ht="9.4499999999999993" customHeight="1" x14ac:dyDescent="0.25">
      <c r="A43" s="314"/>
      <c r="B43" s="286"/>
      <c r="C43" s="286"/>
      <c r="D43" s="286"/>
      <c r="E43" s="286"/>
      <c r="F43" s="276"/>
      <c r="G43" s="276"/>
      <c r="H43" s="280"/>
      <c r="I43" s="315"/>
      <c r="J43" s="286"/>
      <c r="K43" s="276"/>
      <c r="L43" s="276"/>
      <c r="M43" s="276"/>
      <c r="N43" s="278"/>
      <c r="O43" s="278"/>
      <c r="P43" s="278"/>
      <c r="Q43" s="278"/>
      <c r="R43" s="279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</row>
    <row r="44" spans="1:45" s="282" customFormat="1" ht="9.4499999999999993" customHeight="1" x14ac:dyDescent="0.25">
      <c r="A44" s="314"/>
      <c r="B44" s="276"/>
      <c r="C44" s="276"/>
      <c r="D44" s="276"/>
      <c r="E44" s="286"/>
      <c r="F44" s="276"/>
      <c r="G44" s="276"/>
      <c r="H44" s="276"/>
      <c r="I44" s="276"/>
      <c r="J44" s="286"/>
      <c r="K44" s="276"/>
      <c r="L44" s="276"/>
      <c r="M44" s="276"/>
      <c r="N44" s="278"/>
      <c r="O44" s="278"/>
      <c r="P44" s="278"/>
      <c r="Q44" s="278"/>
      <c r="R44" s="279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</row>
    <row r="45" spans="1:45" s="282" customFormat="1" ht="9.4499999999999993" customHeight="1" x14ac:dyDescent="0.25">
      <c r="A45" s="314"/>
      <c r="B45" s="286"/>
      <c r="C45" s="286"/>
      <c r="D45" s="286"/>
      <c r="E45" s="286"/>
      <c r="F45" s="276"/>
      <c r="G45" s="276"/>
      <c r="H45" s="280"/>
      <c r="I45" s="276"/>
      <c r="J45" s="286"/>
      <c r="K45" s="276"/>
      <c r="L45" s="276"/>
      <c r="M45" s="315"/>
      <c r="N45" s="286"/>
      <c r="O45" s="276"/>
      <c r="P45" s="278"/>
      <c r="Q45" s="278"/>
      <c r="R45" s="279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</row>
    <row r="46" spans="1:45" s="282" customFormat="1" ht="9.4499999999999993" customHeight="1" x14ac:dyDescent="0.25">
      <c r="A46" s="314"/>
      <c r="B46" s="276"/>
      <c r="C46" s="276"/>
      <c r="D46" s="276"/>
      <c r="E46" s="286"/>
      <c r="F46" s="276"/>
      <c r="G46" s="276"/>
      <c r="H46" s="276"/>
      <c r="I46" s="276"/>
      <c r="J46" s="286"/>
      <c r="K46" s="276"/>
      <c r="L46" s="276"/>
      <c r="M46" s="276"/>
      <c r="N46" s="278"/>
      <c r="O46" s="276"/>
      <c r="P46" s="278"/>
      <c r="Q46" s="278"/>
      <c r="R46" s="279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</row>
    <row r="47" spans="1:45" s="282" customFormat="1" ht="9.4499999999999993" customHeight="1" x14ac:dyDescent="0.25">
      <c r="A47" s="314"/>
      <c r="B47" s="286"/>
      <c r="C47" s="286"/>
      <c r="D47" s="286"/>
      <c r="E47" s="286"/>
      <c r="F47" s="276"/>
      <c r="G47" s="276"/>
      <c r="H47" s="280"/>
      <c r="I47" s="315"/>
      <c r="J47" s="286"/>
      <c r="K47" s="276"/>
      <c r="L47" s="276"/>
      <c r="M47" s="276"/>
      <c r="N47" s="278"/>
      <c r="O47" s="278"/>
      <c r="P47" s="278"/>
      <c r="Q47" s="278"/>
      <c r="R47" s="279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</row>
    <row r="48" spans="1:45" s="282" customFormat="1" ht="9.4499999999999993" customHeight="1" x14ac:dyDescent="0.25">
      <c r="A48" s="314"/>
      <c r="B48" s="276"/>
      <c r="C48" s="276"/>
      <c r="D48" s="276"/>
      <c r="E48" s="286"/>
      <c r="F48" s="276"/>
      <c r="G48" s="276"/>
      <c r="H48" s="276"/>
      <c r="I48" s="276"/>
      <c r="J48" s="286"/>
      <c r="K48" s="276"/>
      <c r="L48" s="316"/>
      <c r="M48" s="276"/>
      <c r="N48" s="278"/>
      <c r="O48" s="278"/>
      <c r="P48" s="278"/>
      <c r="Q48" s="278"/>
      <c r="R48" s="279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</row>
    <row r="49" spans="1:45" s="282" customFormat="1" ht="9.4499999999999993" customHeight="1" x14ac:dyDescent="0.25">
      <c r="A49" s="314"/>
      <c r="B49" s="286"/>
      <c r="C49" s="286"/>
      <c r="D49" s="286"/>
      <c r="E49" s="286"/>
      <c r="F49" s="276"/>
      <c r="G49" s="276"/>
      <c r="H49" s="280"/>
      <c r="I49" s="276"/>
      <c r="J49" s="286"/>
      <c r="K49" s="315"/>
      <c r="L49" s="286"/>
      <c r="M49" s="276"/>
      <c r="N49" s="278"/>
      <c r="O49" s="278"/>
      <c r="P49" s="278"/>
      <c r="Q49" s="278"/>
      <c r="R49" s="279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</row>
    <row r="50" spans="1:45" s="282" customFormat="1" ht="9.4499999999999993" customHeight="1" x14ac:dyDescent="0.25">
      <c r="A50" s="314"/>
      <c r="B50" s="276"/>
      <c r="C50" s="276"/>
      <c r="D50" s="276"/>
      <c r="E50" s="286"/>
      <c r="F50" s="276"/>
      <c r="G50" s="276"/>
      <c r="H50" s="276"/>
      <c r="I50" s="276"/>
      <c r="J50" s="286"/>
      <c r="K50" s="276"/>
      <c r="L50" s="276"/>
      <c r="M50" s="276"/>
      <c r="N50" s="278"/>
      <c r="O50" s="278"/>
      <c r="P50" s="278"/>
      <c r="Q50" s="278"/>
      <c r="R50" s="279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</row>
    <row r="51" spans="1:45" s="282" customFormat="1" ht="9.4499999999999993" customHeight="1" x14ac:dyDescent="0.25">
      <c r="A51" s="314"/>
      <c r="B51" s="286"/>
      <c r="C51" s="286"/>
      <c r="D51" s="286"/>
      <c r="E51" s="286"/>
      <c r="F51" s="276"/>
      <c r="G51" s="276"/>
      <c r="H51" s="280"/>
      <c r="I51" s="315"/>
      <c r="J51" s="286"/>
      <c r="K51" s="276"/>
      <c r="L51" s="276"/>
      <c r="M51" s="276"/>
      <c r="N51" s="278"/>
      <c r="O51" s="278"/>
      <c r="P51" s="278"/>
      <c r="Q51" s="278"/>
      <c r="R51" s="279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</row>
    <row r="52" spans="1:45" s="282" customFormat="1" ht="9.4499999999999993" customHeight="1" x14ac:dyDescent="0.25">
      <c r="A52" s="313"/>
      <c r="B52" s="276"/>
      <c r="C52" s="276"/>
      <c r="D52" s="276"/>
      <c r="E52" s="286"/>
      <c r="F52" s="320"/>
      <c r="G52" s="320"/>
      <c r="H52" s="320"/>
      <c r="I52" s="320"/>
      <c r="J52" s="286"/>
      <c r="K52" s="276"/>
      <c r="L52" s="276"/>
      <c r="M52" s="276"/>
      <c r="N52" s="276"/>
      <c r="O52" s="276"/>
      <c r="P52" s="276"/>
      <c r="Q52" s="278"/>
      <c r="R52" s="279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</row>
    <row r="53" spans="1:45" s="327" customFormat="1" ht="6.75" customHeight="1" x14ac:dyDescent="0.25">
      <c r="A53" s="321"/>
      <c r="B53" s="321"/>
      <c r="C53" s="321"/>
      <c r="D53" s="321"/>
      <c r="E53" s="321"/>
      <c r="F53" s="322"/>
      <c r="G53" s="322"/>
      <c r="H53" s="322"/>
      <c r="I53" s="322"/>
      <c r="J53" s="323"/>
      <c r="K53" s="324"/>
      <c r="L53" s="325"/>
      <c r="M53" s="324"/>
      <c r="N53" s="325"/>
      <c r="O53" s="324"/>
      <c r="P53" s="325"/>
      <c r="Q53" s="324"/>
      <c r="R53" s="325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280"/>
      <c r="AJ53" s="280"/>
      <c r="AK53" s="280"/>
      <c r="AL53" s="326"/>
      <c r="AM53" s="326"/>
      <c r="AN53" s="326"/>
      <c r="AO53" s="326"/>
      <c r="AP53" s="326"/>
      <c r="AQ53" s="326"/>
      <c r="AR53" s="326"/>
      <c r="AS53" s="326"/>
    </row>
    <row r="54" spans="1:45" s="340" customFormat="1" ht="10.5" customHeight="1" x14ac:dyDescent="0.25">
      <c r="A54" s="328" t="s">
        <v>32</v>
      </c>
      <c r="B54" s="329"/>
      <c r="C54" s="329"/>
      <c r="D54" s="330"/>
      <c r="E54" s="331" t="s">
        <v>3</v>
      </c>
      <c r="F54" s="332" t="s">
        <v>34</v>
      </c>
      <c r="G54" s="331"/>
      <c r="H54" s="333"/>
      <c r="I54" s="334"/>
      <c r="J54" s="331" t="s">
        <v>3</v>
      </c>
      <c r="K54" s="332" t="s">
        <v>41</v>
      </c>
      <c r="L54" s="335"/>
      <c r="M54" s="332" t="s">
        <v>42</v>
      </c>
      <c r="N54" s="336"/>
      <c r="O54" s="337" t="s">
        <v>43</v>
      </c>
      <c r="P54" s="337"/>
      <c r="Q54" s="338"/>
      <c r="R54" s="339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2"/>
      <c r="AJ54" s="342"/>
      <c r="AK54" s="342"/>
      <c r="AL54" s="341"/>
      <c r="AM54" s="341"/>
      <c r="AN54" s="341"/>
      <c r="AO54" s="341"/>
      <c r="AP54" s="341"/>
      <c r="AQ54" s="341"/>
      <c r="AR54" s="341"/>
      <c r="AS54" s="341"/>
    </row>
    <row r="55" spans="1:45" s="340" customFormat="1" ht="9" customHeight="1" x14ac:dyDescent="0.25">
      <c r="A55" s="343" t="s">
        <v>33</v>
      </c>
      <c r="B55" s="344"/>
      <c r="C55" s="345"/>
      <c r="D55" s="346"/>
      <c r="E55" s="347">
        <v>1</v>
      </c>
      <c r="F55" s="341" t="str">
        <f>IF(E55&gt;$R$62,,UPPER(VLOOKUP(E55,'[10]1MD ELO'!$A$7:$Q$134,2)))</f>
        <v/>
      </c>
      <c r="G55" s="347"/>
      <c r="H55" s="341"/>
      <c r="I55" s="348"/>
      <c r="J55" s="349" t="s">
        <v>4</v>
      </c>
      <c r="K55" s="350"/>
      <c r="L55" s="351"/>
      <c r="M55" s="350"/>
      <c r="N55" s="352"/>
      <c r="O55" s="353" t="s">
        <v>35</v>
      </c>
      <c r="P55" s="354"/>
      <c r="Q55" s="354"/>
      <c r="R55" s="352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2"/>
      <c r="AJ55" s="342"/>
      <c r="AK55" s="342"/>
      <c r="AL55" s="341"/>
      <c r="AM55" s="341"/>
      <c r="AN55" s="341"/>
      <c r="AO55" s="341"/>
      <c r="AP55" s="341"/>
      <c r="AQ55" s="341"/>
      <c r="AR55" s="341"/>
      <c r="AS55" s="341"/>
    </row>
    <row r="56" spans="1:45" s="340" customFormat="1" ht="9" customHeight="1" x14ac:dyDescent="0.25">
      <c r="A56" s="355" t="s">
        <v>40</v>
      </c>
      <c r="B56" s="356"/>
      <c r="C56" s="357"/>
      <c r="D56" s="358"/>
      <c r="E56" s="347">
        <v>2</v>
      </c>
      <c r="F56" s="341" t="str">
        <f>IF(E56&gt;$R$62,,UPPER(VLOOKUP(E56,'[10]1MD ELO'!$A$7:$Q$134,2)))</f>
        <v/>
      </c>
      <c r="G56" s="347"/>
      <c r="H56" s="341"/>
      <c r="I56" s="348"/>
      <c r="J56" s="349" t="s">
        <v>5</v>
      </c>
      <c r="K56" s="350"/>
      <c r="L56" s="351"/>
      <c r="M56" s="350"/>
      <c r="N56" s="352"/>
      <c r="O56" s="359"/>
      <c r="P56" s="360"/>
      <c r="Q56" s="356"/>
      <c r="R56" s="36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2"/>
      <c r="AJ56" s="342"/>
      <c r="AK56" s="342"/>
      <c r="AL56" s="341"/>
      <c r="AM56" s="341"/>
      <c r="AN56" s="341"/>
      <c r="AO56" s="341"/>
      <c r="AP56" s="341"/>
      <c r="AQ56" s="341"/>
      <c r="AR56" s="341"/>
      <c r="AS56" s="341"/>
    </row>
    <row r="57" spans="1:45" s="340" customFormat="1" ht="9" customHeight="1" x14ac:dyDescent="0.25">
      <c r="A57" s="362"/>
      <c r="B57" s="363"/>
      <c r="C57" s="364"/>
      <c r="D57" s="365"/>
      <c r="E57" s="347"/>
      <c r="F57" s="341"/>
      <c r="G57" s="347"/>
      <c r="H57" s="341"/>
      <c r="I57" s="348"/>
      <c r="J57" s="349" t="s">
        <v>6</v>
      </c>
      <c r="K57" s="350"/>
      <c r="L57" s="351"/>
      <c r="M57" s="350"/>
      <c r="N57" s="352"/>
      <c r="O57" s="353" t="s">
        <v>36</v>
      </c>
      <c r="P57" s="354"/>
      <c r="Q57" s="354"/>
      <c r="R57" s="352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2"/>
      <c r="AJ57" s="342"/>
      <c r="AK57" s="342"/>
      <c r="AL57" s="341"/>
      <c r="AM57" s="341"/>
      <c r="AN57" s="341"/>
      <c r="AO57" s="341"/>
      <c r="AP57" s="341"/>
      <c r="AQ57" s="341"/>
      <c r="AR57" s="341"/>
      <c r="AS57" s="341"/>
    </row>
    <row r="58" spans="1:45" s="340" customFormat="1" ht="9" customHeight="1" x14ac:dyDescent="0.25">
      <c r="A58" s="366"/>
      <c r="B58" s="252"/>
      <c r="C58" s="252"/>
      <c r="D58" s="367"/>
      <c r="E58" s="347"/>
      <c r="F58" s="341"/>
      <c r="G58" s="347"/>
      <c r="H58" s="341"/>
      <c r="I58" s="348"/>
      <c r="J58" s="349" t="s">
        <v>7</v>
      </c>
      <c r="K58" s="350"/>
      <c r="L58" s="351"/>
      <c r="M58" s="350"/>
      <c r="N58" s="352"/>
      <c r="O58" s="350"/>
      <c r="P58" s="351"/>
      <c r="Q58" s="350"/>
      <c r="R58" s="352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2"/>
      <c r="AJ58" s="342"/>
      <c r="AK58" s="342"/>
      <c r="AL58" s="341"/>
      <c r="AM58" s="341"/>
      <c r="AN58" s="341"/>
      <c r="AO58" s="341"/>
      <c r="AP58" s="341"/>
      <c r="AQ58" s="341"/>
      <c r="AR58" s="341"/>
      <c r="AS58" s="341"/>
    </row>
    <row r="59" spans="1:45" s="340" customFormat="1" ht="9" customHeight="1" x14ac:dyDescent="0.25">
      <c r="A59" s="368"/>
      <c r="B59" s="369"/>
      <c r="C59" s="369"/>
      <c r="D59" s="370"/>
      <c r="E59" s="347"/>
      <c r="F59" s="341"/>
      <c r="G59" s="347"/>
      <c r="H59" s="341"/>
      <c r="I59" s="348"/>
      <c r="J59" s="349" t="s">
        <v>8</v>
      </c>
      <c r="K59" s="350"/>
      <c r="L59" s="351"/>
      <c r="M59" s="350"/>
      <c r="N59" s="352"/>
      <c r="O59" s="356"/>
      <c r="P59" s="360"/>
      <c r="Q59" s="356"/>
      <c r="R59" s="36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J59" s="342"/>
      <c r="AK59" s="342"/>
      <c r="AL59" s="341"/>
      <c r="AM59" s="341"/>
      <c r="AN59" s="341"/>
      <c r="AO59" s="341"/>
      <c r="AP59" s="341"/>
      <c r="AQ59" s="341"/>
      <c r="AR59" s="341"/>
      <c r="AS59" s="341"/>
    </row>
    <row r="60" spans="1:45" s="340" customFormat="1" ht="9" customHeight="1" x14ac:dyDescent="0.25">
      <c r="A60" s="371"/>
      <c r="B60" s="372"/>
      <c r="C60" s="252"/>
      <c r="D60" s="367"/>
      <c r="E60" s="347"/>
      <c r="F60" s="341"/>
      <c r="G60" s="347"/>
      <c r="H60" s="341"/>
      <c r="I60" s="348"/>
      <c r="J60" s="349" t="s">
        <v>9</v>
      </c>
      <c r="K60" s="350"/>
      <c r="L60" s="351"/>
      <c r="M60" s="350"/>
      <c r="N60" s="352"/>
      <c r="O60" s="353" t="s">
        <v>28</v>
      </c>
      <c r="P60" s="354"/>
      <c r="Q60" s="354"/>
      <c r="R60" s="352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2"/>
      <c r="AJ60" s="342"/>
      <c r="AK60" s="342"/>
      <c r="AL60" s="341"/>
      <c r="AM60" s="341"/>
      <c r="AN60" s="341"/>
      <c r="AO60" s="341"/>
      <c r="AP60" s="341"/>
      <c r="AQ60" s="341"/>
      <c r="AR60" s="341"/>
      <c r="AS60" s="341"/>
    </row>
    <row r="61" spans="1:45" s="340" customFormat="1" ht="9" customHeight="1" x14ac:dyDescent="0.25">
      <c r="A61" s="371"/>
      <c r="B61" s="372"/>
      <c r="C61" s="373"/>
      <c r="D61" s="374"/>
      <c r="E61" s="347"/>
      <c r="F61" s="341"/>
      <c r="G61" s="347"/>
      <c r="H61" s="341"/>
      <c r="I61" s="348"/>
      <c r="J61" s="349" t="s">
        <v>10</v>
      </c>
      <c r="K61" s="350"/>
      <c r="L61" s="351"/>
      <c r="M61" s="350"/>
      <c r="N61" s="352"/>
      <c r="O61" s="350"/>
      <c r="P61" s="351"/>
      <c r="Q61" s="350"/>
      <c r="R61" s="352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2"/>
      <c r="AJ61" s="342"/>
      <c r="AK61" s="342"/>
      <c r="AL61" s="341"/>
      <c r="AM61" s="341"/>
      <c r="AN61" s="341"/>
      <c r="AO61" s="341"/>
      <c r="AP61" s="341"/>
      <c r="AQ61" s="341"/>
      <c r="AR61" s="341"/>
      <c r="AS61" s="341"/>
    </row>
    <row r="62" spans="1:45" s="340" customFormat="1" ht="9" customHeight="1" x14ac:dyDescent="0.25">
      <c r="A62" s="375"/>
      <c r="B62" s="376"/>
      <c r="C62" s="377"/>
      <c r="D62" s="378"/>
      <c r="E62" s="379"/>
      <c r="F62" s="359"/>
      <c r="G62" s="379"/>
      <c r="H62" s="359"/>
      <c r="I62" s="380"/>
      <c r="J62" s="381" t="s">
        <v>11</v>
      </c>
      <c r="K62" s="356"/>
      <c r="L62" s="360"/>
      <c r="M62" s="356"/>
      <c r="N62" s="361"/>
      <c r="O62" s="356">
        <f>R4</f>
        <v>0</v>
      </c>
      <c r="P62" s="360"/>
      <c r="Q62" s="356"/>
      <c r="R62" s="382">
        <f>MIN(4,'[10]1MD ELO'!Q5)</f>
        <v>4</v>
      </c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2"/>
      <c r="AJ62" s="342"/>
      <c r="AK62" s="342"/>
      <c r="AL62" s="341"/>
      <c r="AM62" s="341"/>
      <c r="AN62" s="341"/>
      <c r="AO62" s="341"/>
      <c r="AP62" s="341"/>
      <c r="AQ62" s="341"/>
      <c r="AR62" s="341"/>
      <c r="AS62" s="341"/>
    </row>
    <row r="63" spans="1:45" x14ac:dyDescent="0.25"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L63" s="385"/>
      <c r="AM63" s="385"/>
      <c r="AN63" s="385"/>
      <c r="AO63" s="385"/>
      <c r="AP63" s="385"/>
      <c r="AQ63" s="385"/>
      <c r="AR63" s="385"/>
      <c r="AS63" s="385"/>
    </row>
    <row r="64" spans="1:45" x14ac:dyDescent="0.25"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L64" s="385"/>
      <c r="AM64" s="385"/>
      <c r="AN64" s="385"/>
      <c r="AO64" s="385"/>
      <c r="AP64" s="385"/>
      <c r="AQ64" s="385"/>
      <c r="AR64" s="385"/>
      <c r="AS64" s="385"/>
    </row>
    <row r="65" spans="20:45" x14ac:dyDescent="0.25"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L65" s="385"/>
      <c r="AM65" s="385"/>
      <c r="AN65" s="385"/>
      <c r="AO65" s="385"/>
      <c r="AP65" s="385"/>
      <c r="AQ65" s="385"/>
      <c r="AR65" s="385"/>
      <c r="AS65" s="385"/>
    </row>
    <row r="66" spans="20:45" x14ac:dyDescent="0.25"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385"/>
      <c r="AH66" s="385"/>
      <c r="AL66" s="385"/>
      <c r="AM66" s="385"/>
      <c r="AN66" s="385"/>
      <c r="AO66" s="385"/>
      <c r="AP66" s="385"/>
      <c r="AQ66" s="385"/>
      <c r="AR66" s="385"/>
      <c r="AS66" s="385"/>
    </row>
    <row r="67" spans="20:45" x14ac:dyDescent="0.25"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385"/>
      <c r="AH67" s="385"/>
      <c r="AL67" s="385"/>
      <c r="AM67" s="385"/>
      <c r="AN67" s="385"/>
      <c r="AO67" s="385"/>
      <c r="AP67" s="385"/>
      <c r="AQ67" s="385"/>
      <c r="AR67" s="385"/>
      <c r="AS67" s="385"/>
    </row>
    <row r="68" spans="20:45" x14ac:dyDescent="0.25"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385"/>
      <c r="AH68" s="385"/>
      <c r="AL68" s="385"/>
      <c r="AM68" s="385"/>
      <c r="AN68" s="385"/>
      <c r="AO68" s="385"/>
      <c r="AP68" s="385"/>
      <c r="AQ68" s="385"/>
      <c r="AR68" s="385"/>
      <c r="AS68" s="385"/>
    </row>
    <row r="69" spans="20:45" x14ac:dyDescent="0.25">
      <c r="T69" s="385"/>
      <c r="U69" s="385"/>
      <c r="V69" s="385"/>
      <c r="W69" s="385"/>
      <c r="X69" s="385"/>
      <c r="Y69" s="385"/>
      <c r="Z69" s="385"/>
      <c r="AA69" s="385"/>
      <c r="AB69" s="385"/>
      <c r="AC69" s="385"/>
      <c r="AD69" s="385"/>
      <c r="AE69" s="385"/>
      <c r="AF69" s="385"/>
      <c r="AG69" s="385"/>
      <c r="AH69" s="385"/>
      <c r="AL69" s="385"/>
      <c r="AM69" s="385"/>
      <c r="AN69" s="385"/>
      <c r="AO69" s="385"/>
      <c r="AP69" s="385"/>
      <c r="AQ69" s="385"/>
      <c r="AR69" s="385"/>
      <c r="AS69" s="385"/>
    </row>
    <row r="70" spans="20:45" x14ac:dyDescent="0.25"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L70" s="385"/>
      <c r="AM70" s="385"/>
      <c r="AN70" s="385"/>
      <c r="AO70" s="385"/>
      <c r="AP70" s="385"/>
      <c r="AQ70" s="385"/>
      <c r="AR70" s="385"/>
      <c r="AS70" s="385"/>
    </row>
    <row r="71" spans="20:45" x14ac:dyDescent="0.25">
      <c r="T71" s="385"/>
      <c r="U71" s="385"/>
      <c r="V71" s="385"/>
      <c r="W71" s="385"/>
      <c r="X71" s="385"/>
      <c r="Y71" s="385"/>
      <c r="Z71" s="385"/>
      <c r="AA71" s="385"/>
      <c r="AB71" s="385"/>
      <c r="AC71" s="385"/>
      <c r="AD71" s="385"/>
      <c r="AE71" s="385"/>
      <c r="AF71" s="385"/>
      <c r="AG71" s="385"/>
      <c r="AH71" s="385"/>
      <c r="AL71" s="385"/>
      <c r="AM71" s="385"/>
      <c r="AN71" s="385"/>
      <c r="AO71" s="385"/>
      <c r="AP71" s="385"/>
      <c r="AQ71" s="385"/>
      <c r="AR71" s="385"/>
      <c r="AS71" s="385"/>
    </row>
    <row r="72" spans="20:45" x14ac:dyDescent="0.25">
      <c r="T72" s="385"/>
      <c r="U72" s="385"/>
      <c r="V72" s="385"/>
      <c r="W72" s="385"/>
      <c r="X72" s="385"/>
      <c r="Y72" s="385"/>
      <c r="Z72" s="385"/>
      <c r="AA72" s="385"/>
      <c r="AB72" s="385"/>
      <c r="AC72" s="385"/>
      <c r="AD72" s="385"/>
      <c r="AE72" s="385"/>
      <c r="AF72" s="385"/>
      <c r="AG72" s="385"/>
      <c r="AH72" s="385"/>
      <c r="AL72" s="385"/>
      <c r="AM72" s="385"/>
      <c r="AN72" s="385"/>
      <c r="AO72" s="385"/>
      <c r="AP72" s="385"/>
      <c r="AQ72" s="385"/>
      <c r="AR72" s="385"/>
      <c r="AS72" s="385"/>
    </row>
    <row r="73" spans="20:45" x14ac:dyDescent="0.25"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L73" s="385"/>
      <c r="AM73" s="385"/>
      <c r="AN73" s="385"/>
      <c r="AO73" s="385"/>
      <c r="AP73" s="385"/>
      <c r="AQ73" s="385"/>
      <c r="AR73" s="385"/>
      <c r="AS73" s="385"/>
    </row>
    <row r="74" spans="20:45" x14ac:dyDescent="0.25">
      <c r="T74" s="385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5"/>
      <c r="AL74" s="385"/>
      <c r="AM74" s="385"/>
      <c r="AN74" s="385"/>
      <c r="AO74" s="385"/>
      <c r="AP74" s="385"/>
      <c r="AQ74" s="385"/>
      <c r="AR74" s="385"/>
      <c r="AS74" s="385"/>
    </row>
    <row r="75" spans="20:45" x14ac:dyDescent="0.25">
      <c r="T75" s="385"/>
      <c r="U75" s="385"/>
      <c r="V75" s="385"/>
      <c r="W75" s="385"/>
      <c r="X75" s="385"/>
      <c r="Y75" s="385"/>
      <c r="Z75" s="385"/>
      <c r="AA75" s="385"/>
      <c r="AB75" s="385"/>
      <c r="AC75" s="385"/>
      <c r="AD75" s="385"/>
      <c r="AE75" s="385"/>
      <c r="AF75" s="385"/>
      <c r="AG75" s="385"/>
      <c r="AH75" s="385"/>
      <c r="AL75" s="385"/>
      <c r="AM75" s="385"/>
      <c r="AN75" s="385"/>
      <c r="AO75" s="385"/>
      <c r="AP75" s="385"/>
      <c r="AQ75" s="385"/>
      <c r="AR75" s="385"/>
      <c r="AS75" s="385"/>
    </row>
    <row r="76" spans="20:45" x14ac:dyDescent="0.25"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L76" s="385"/>
      <c r="AM76" s="385"/>
      <c r="AN76" s="385"/>
      <c r="AO76" s="385"/>
      <c r="AP76" s="385"/>
      <c r="AQ76" s="385"/>
      <c r="AR76" s="385"/>
      <c r="AS76" s="385"/>
    </row>
    <row r="77" spans="20:45" x14ac:dyDescent="0.25"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L77" s="385"/>
      <c r="AM77" s="385"/>
      <c r="AN77" s="385"/>
      <c r="AO77" s="385"/>
      <c r="AP77" s="385"/>
      <c r="AQ77" s="385"/>
      <c r="AR77" s="385"/>
      <c r="AS77" s="385"/>
    </row>
    <row r="78" spans="20:45" x14ac:dyDescent="0.25"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L78" s="385"/>
      <c r="AM78" s="385"/>
      <c r="AN78" s="385"/>
      <c r="AO78" s="385"/>
      <c r="AP78" s="385"/>
      <c r="AQ78" s="385"/>
      <c r="AR78" s="385"/>
      <c r="AS78" s="385"/>
    </row>
    <row r="79" spans="20:45" x14ac:dyDescent="0.25">
      <c r="T79" s="385"/>
      <c r="U79" s="385"/>
      <c r="V79" s="385"/>
      <c r="W79" s="385"/>
      <c r="X79" s="385"/>
      <c r="Y79" s="385"/>
      <c r="Z79" s="385"/>
      <c r="AA79" s="385"/>
      <c r="AB79" s="385"/>
      <c r="AC79" s="385"/>
      <c r="AD79" s="385"/>
      <c r="AE79" s="385"/>
      <c r="AF79" s="385"/>
      <c r="AG79" s="385"/>
      <c r="AH79" s="385"/>
      <c r="AL79" s="385"/>
      <c r="AM79" s="385"/>
      <c r="AN79" s="385"/>
      <c r="AO79" s="385"/>
      <c r="AP79" s="385"/>
      <c r="AQ79" s="385"/>
      <c r="AR79" s="385"/>
      <c r="AS79" s="385"/>
    </row>
    <row r="80" spans="20:45" x14ac:dyDescent="0.25">
      <c r="T80" s="385"/>
      <c r="U80" s="385"/>
      <c r="V80" s="385"/>
      <c r="W80" s="385"/>
      <c r="X80" s="385"/>
      <c r="Y80" s="385"/>
      <c r="Z80" s="385"/>
      <c r="AA80" s="385"/>
      <c r="AB80" s="385"/>
      <c r="AC80" s="385"/>
      <c r="AD80" s="385"/>
      <c r="AE80" s="385"/>
      <c r="AF80" s="385"/>
      <c r="AG80" s="385"/>
      <c r="AH80" s="385"/>
      <c r="AL80" s="385"/>
      <c r="AM80" s="385"/>
      <c r="AN80" s="385"/>
      <c r="AO80" s="385"/>
      <c r="AP80" s="385"/>
      <c r="AQ80" s="385"/>
      <c r="AR80" s="385"/>
      <c r="AS80" s="385"/>
    </row>
    <row r="81" spans="20:45" x14ac:dyDescent="0.25"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L81" s="385"/>
      <c r="AM81" s="385"/>
      <c r="AN81" s="385"/>
      <c r="AO81" s="385"/>
      <c r="AP81" s="385"/>
      <c r="AQ81" s="385"/>
      <c r="AR81" s="385"/>
      <c r="AS81" s="385"/>
    </row>
    <row r="82" spans="20:45" x14ac:dyDescent="0.25">
      <c r="T82" s="385"/>
      <c r="U82" s="385"/>
      <c r="V82" s="385"/>
      <c r="W82" s="385"/>
      <c r="X82" s="385"/>
      <c r="Y82" s="385"/>
      <c r="Z82" s="385"/>
      <c r="AA82" s="385"/>
      <c r="AB82" s="385"/>
      <c r="AC82" s="385"/>
      <c r="AD82" s="385"/>
      <c r="AE82" s="385"/>
      <c r="AF82" s="385"/>
      <c r="AG82" s="385"/>
      <c r="AH82" s="385"/>
      <c r="AL82" s="385"/>
      <c r="AM82" s="385"/>
      <c r="AN82" s="385"/>
      <c r="AO82" s="385"/>
      <c r="AP82" s="385"/>
      <c r="AQ82" s="385"/>
      <c r="AR82" s="385"/>
      <c r="AS82" s="385"/>
    </row>
    <row r="83" spans="20:45" x14ac:dyDescent="0.25">
      <c r="T83" s="385"/>
      <c r="U83" s="385"/>
      <c r="V83" s="385"/>
      <c r="W83" s="385"/>
      <c r="X83" s="385"/>
      <c r="Y83" s="385"/>
      <c r="Z83" s="385"/>
      <c r="AA83" s="385"/>
      <c r="AB83" s="385"/>
      <c r="AC83" s="385"/>
      <c r="AD83" s="385"/>
      <c r="AE83" s="385"/>
      <c r="AF83" s="385"/>
      <c r="AG83" s="385"/>
      <c r="AH83" s="385"/>
      <c r="AL83" s="385"/>
      <c r="AM83" s="385"/>
      <c r="AN83" s="385"/>
      <c r="AO83" s="385"/>
      <c r="AP83" s="385"/>
      <c r="AQ83" s="385"/>
      <c r="AR83" s="385"/>
      <c r="AS83" s="385"/>
    </row>
    <row r="84" spans="20:45" x14ac:dyDescent="0.25">
      <c r="T84" s="385"/>
      <c r="U84" s="385"/>
      <c r="V84" s="385"/>
      <c r="W84" s="385"/>
      <c r="X84" s="385"/>
      <c r="Y84" s="385"/>
      <c r="Z84" s="385"/>
      <c r="AA84" s="385"/>
      <c r="AB84" s="385"/>
      <c r="AC84" s="385"/>
      <c r="AD84" s="385"/>
      <c r="AE84" s="385"/>
      <c r="AF84" s="385"/>
      <c r="AG84" s="385"/>
      <c r="AH84" s="385"/>
      <c r="AL84" s="385"/>
      <c r="AM84" s="385"/>
      <c r="AN84" s="385"/>
      <c r="AO84" s="385"/>
      <c r="AP84" s="385"/>
      <c r="AQ84" s="385"/>
      <c r="AR84" s="385"/>
      <c r="AS84" s="385"/>
    </row>
    <row r="85" spans="20:45" x14ac:dyDescent="0.25"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L85" s="385"/>
      <c r="AM85" s="385"/>
      <c r="AN85" s="385"/>
      <c r="AO85" s="385"/>
      <c r="AP85" s="385"/>
      <c r="AQ85" s="385"/>
      <c r="AR85" s="385"/>
      <c r="AS85" s="385"/>
    </row>
    <row r="86" spans="20:45" x14ac:dyDescent="0.25"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5"/>
      <c r="AG86" s="385"/>
      <c r="AH86" s="385"/>
      <c r="AL86" s="385"/>
      <c r="AM86" s="385"/>
      <c r="AN86" s="385"/>
      <c r="AO86" s="385"/>
      <c r="AP86" s="385"/>
      <c r="AQ86" s="385"/>
      <c r="AR86" s="385"/>
      <c r="AS86" s="385"/>
    </row>
    <row r="87" spans="20:45" x14ac:dyDescent="0.25"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5"/>
      <c r="AG87" s="385"/>
      <c r="AH87" s="385"/>
      <c r="AL87" s="385"/>
      <c r="AM87" s="385"/>
      <c r="AN87" s="385"/>
      <c r="AO87" s="385"/>
      <c r="AP87" s="385"/>
      <c r="AQ87" s="385"/>
      <c r="AR87" s="385"/>
      <c r="AS87" s="385"/>
    </row>
    <row r="88" spans="20:45" x14ac:dyDescent="0.25"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L88" s="385"/>
      <c r="AM88" s="385"/>
      <c r="AN88" s="385"/>
      <c r="AO88" s="385"/>
      <c r="AP88" s="385"/>
      <c r="AQ88" s="385"/>
      <c r="AR88" s="385"/>
      <c r="AS88" s="385"/>
    </row>
    <row r="89" spans="20:45" x14ac:dyDescent="0.25"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5"/>
      <c r="AG89" s="385"/>
      <c r="AH89" s="385"/>
      <c r="AL89" s="385"/>
      <c r="AM89" s="385"/>
      <c r="AN89" s="385"/>
      <c r="AO89" s="385"/>
      <c r="AP89" s="385"/>
      <c r="AQ89" s="385"/>
      <c r="AR89" s="385"/>
      <c r="AS89" s="385"/>
    </row>
    <row r="90" spans="20:45" x14ac:dyDescent="0.25"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5"/>
      <c r="AG90" s="385"/>
      <c r="AH90" s="385"/>
      <c r="AL90" s="385"/>
      <c r="AM90" s="385"/>
      <c r="AN90" s="385"/>
      <c r="AO90" s="385"/>
      <c r="AP90" s="385"/>
      <c r="AQ90" s="385"/>
      <c r="AR90" s="385"/>
      <c r="AS90" s="385"/>
    </row>
    <row r="91" spans="20:45" x14ac:dyDescent="0.25"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5"/>
      <c r="AG91" s="385"/>
      <c r="AH91" s="385"/>
      <c r="AL91" s="385"/>
      <c r="AM91" s="385"/>
      <c r="AN91" s="385"/>
      <c r="AO91" s="385"/>
      <c r="AP91" s="385"/>
      <c r="AQ91" s="385"/>
      <c r="AR91" s="385"/>
      <c r="AS91" s="385"/>
    </row>
    <row r="92" spans="20:45" x14ac:dyDescent="0.25"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5"/>
      <c r="AG92" s="385"/>
      <c r="AH92" s="385"/>
      <c r="AL92" s="385"/>
      <c r="AM92" s="385"/>
      <c r="AN92" s="385"/>
      <c r="AO92" s="385"/>
      <c r="AP92" s="385"/>
      <c r="AQ92" s="385"/>
      <c r="AR92" s="385"/>
      <c r="AS92" s="385"/>
    </row>
    <row r="93" spans="20:45" x14ac:dyDescent="0.25"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5"/>
      <c r="AG93" s="385"/>
      <c r="AH93" s="385"/>
      <c r="AL93" s="385"/>
      <c r="AM93" s="385"/>
      <c r="AN93" s="385"/>
      <c r="AO93" s="385"/>
      <c r="AP93" s="385"/>
      <c r="AQ93" s="385"/>
      <c r="AR93" s="385"/>
      <c r="AS93" s="385"/>
    </row>
    <row r="94" spans="20:45" x14ac:dyDescent="0.25"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L94" s="385"/>
      <c r="AM94" s="385"/>
      <c r="AN94" s="385"/>
      <c r="AO94" s="385"/>
      <c r="AP94" s="385"/>
      <c r="AQ94" s="385"/>
      <c r="AR94" s="385"/>
      <c r="AS94" s="385"/>
    </row>
    <row r="95" spans="20:45" x14ac:dyDescent="0.25"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L95" s="385"/>
      <c r="AM95" s="385"/>
      <c r="AN95" s="385"/>
      <c r="AO95" s="385"/>
      <c r="AP95" s="385"/>
      <c r="AQ95" s="385"/>
      <c r="AR95" s="385"/>
      <c r="AS95" s="385"/>
    </row>
    <row r="96" spans="20:45" x14ac:dyDescent="0.25"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L96" s="385"/>
      <c r="AM96" s="385"/>
      <c r="AN96" s="385"/>
      <c r="AO96" s="385"/>
      <c r="AP96" s="385"/>
      <c r="AQ96" s="385"/>
      <c r="AR96" s="385"/>
      <c r="AS96" s="385"/>
    </row>
    <row r="97" spans="20:45" x14ac:dyDescent="0.25"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L97" s="385"/>
      <c r="AM97" s="385"/>
      <c r="AN97" s="385"/>
      <c r="AO97" s="385"/>
      <c r="AP97" s="385"/>
      <c r="AQ97" s="385"/>
      <c r="AR97" s="385"/>
      <c r="AS97" s="385"/>
    </row>
    <row r="98" spans="20:45" x14ac:dyDescent="0.25"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L98" s="385"/>
      <c r="AM98" s="385"/>
      <c r="AN98" s="385"/>
      <c r="AO98" s="385"/>
      <c r="AP98" s="385"/>
      <c r="AQ98" s="385"/>
      <c r="AR98" s="385"/>
      <c r="AS98" s="385"/>
    </row>
    <row r="99" spans="20:45" x14ac:dyDescent="0.25"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L99" s="385"/>
      <c r="AM99" s="385"/>
      <c r="AN99" s="385"/>
      <c r="AO99" s="385"/>
      <c r="AP99" s="385"/>
      <c r="AQ99" s="385"/>
      <c r="AR99" s="385"/>
      <c r="AS99" s="385"/>
    </row>
    <row r="100" spans="20:45" x14ac:dyDescent="0.25"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5"/>
      <c r="AG100" s="385"/>
      <c r="AH100" s="385"/>
      <c r="AL100" s="385"/>
      <c r="AM100" s="385"/>
      <c r="AN100" s="385"/>
      <c r="AO100" s="385"/>
      <c r="AP100" s="385"/>
      <c r="AQ100" s="385"/>
      <c r="AR100" s="385"/>
      <c r="AS100" s="385"/>
    </row>
    <row r="101" spans="20:45" x14ac:dyDescent="0.25"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5"/>
      <c r="AL101" s="385"/>
      <c r="AM101" s="385"/>
      <c r="AN101" s="385"/>
      <c r="AO101" s="385"/>
      <c r="AP101" s="385"/>
      <c r="AQ101" s="385"/>
      <c r="AR101" s="385"/>
      <c r="AS101" s="385"/>
    </row>
    <row r="102" spans="20:45" x14ac:dyDescent="0.25"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5"/>
      <c r="AG102" s="385"/>
      <c r="AH102" s="385"/>
      <c r="AL102" s="385"/>
      <c r="AM102" s="385"/>
      <c r="AN102" s="385"/>
      <c r="AO102" s="385"/>
      <c r="AP102" s="385"/>
      <c r="AQ102" s="385"/>
      <c r="AR102" s="385"/>
      <c r="AS102" s="385"/>
    </row>
    <row r="103" spans="20:45" x14ac:dyDescent="0.25"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L103" s="385"/>
      <c r="AM103" s="385"/>
      <c r="AN103" s="385"/>
      <c r="AO103" s="385"/>
      <c r="AP103" s="385"/>
      <c r="AQ103" s="385"/>
      <c r="AR103" s="385"/>
      <c r="AS103" s="385"/>
    </row>
    <row r="104" spans="20:45" x14ac:dyDescent="0.25"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5"/>
      <c r="AG104" s="385"/>
      <c r="AH104" s="385"/>
      <c r="AL104" s="385"/>
      <c r="AM104" s="385"/>
      <c r="AN104" s="385"/>
      <c r="AO104" s="385"/>
      <c r="AP104" s="385"/>
      <c r="AQ104" s="385"/>
      <c r="AR104" s="385"/>
      <c r="AS104" s="385"/>
    </row>
    <row r="105" spans="20:45" x14ac:dyDescent="0.25"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L105" s="385"/>
      <c r="AM105" s="385"/>
      <c r="AN105" s="385"/>
      <c r="AO105" s="385"/>
      <c r="AP105" s="385"/>
      <c r="AQ105" s="385"/>
      <c r="AR105" s="385"/>
      <c r="AS105" s="385"/>
    </row>
    <row r="106" spans="20:45" x14ac:dyDescent="0.25"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L106" s="385"/>
      <c r="AM106" s="385"/>
      <c r="AN106" s="385"/>
      <c r="AO106" s="385"/>
      <c r="AP106" s="385"/>
      <c r="AQ106" s="385"/>
      <c r="AR106" s="385"/>
      <c r="AS106" s="385"/>
    </row>
    <row r="107" spans="20:45" x14ac:dyDescent="0.25"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L107" s="385"/>
      <c r="AM107" s="385"/>
      <c r="AN107" s="385"/>
      <c r="AO107" s="385"/>
      <c r="AP107" s="385"/>
      <c r="AQ107" s="385"/>
      <c r="AR107" s="385"/>
      <c r="AS107" s="385"/>
    </row>
    <row r="108" spans="20:45" x14ac:dyDescent="0.25"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L108" s="385"/>
      <c r="AM108" s="385"/>
      <c r="AN108" s="385"/>
      <c r="AO108" s="385"/>
      <c r="AP108" s="385"/>
      <c r="AQ108" s="385"/>
      <c r="AR108" s="385"/>
      <c r="AS108" s="385"/>
    </row>
    <row r="109" spans="20:45" x14ac:dyDescent="0.25"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5"/>
      <c r="AG109" s="385"/>
      <c r="AH109" s="385"/>
      <c r="AL109" s="385"/>
      <c r="AM109" s="385"/>
      <c r="AN109" s="385"/>
      <c r="AO109" s="385"/>
      <c r="AP109" s="385"/>
      <c r="AQ109" s="385"/>
      <c r="AR109" s="385"/>
      <c r="AS109" s="385"/>
    </row>
    <row r="110" spans="20:45" x14ac:dyDescent="0.25"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5"/>
      <c r="AH110" s="385"/>
      <c r="AL110" s="385"/>
      <c r="AM110" s="385"/>
      <c r="AN110" s="385"/>
      <c r="AO110" s="385"/>
      <c r="AP110" s="385"/>
      <c r="AQ110" s="385"/>
      <c r="AR110" s="385"/>
      <c r="AS110" s="385"/>
    </row>
    <row r="111" spans="20:45" x14ac:dyDescent="0.25"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L111" s="385"/>
      <c r="AM111" s="385"/>
      <c r="AN111" s="385"/>
      <c r="AO111" s="385"/>
      <c r="AP111" s="385"/>
      <c r="AQ111" s="385"/>
      <c r="AR111" s="385"/>
      <c r="AS111" s="385"/>
    </row>
    <row r="112" spans="20:45" x14ac:dyDescent="0.25"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L112" s="385"/>
      <c r="AM112" s="385"/>
      <c r="AN112" s="385"/>
      <c r="AO112" s="385"/>
      <c r="AP112" s="385"/>
      <c r="AQ112" s="385"/>
      <c r="AR112" s="385"/>
      <c r="AS112" s="385"/>
    </row>
    <row r="113" spans="20:45" x14ac:dyDescent="0.25"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L113" s="385"/>
      <c r="AM113" s="385"/>
      <c r="AN113" s="385"/>
      <c r="AO113" s="385"/>
      <c r="AP113" s="385"/>
      <c r="AQ113" s="385"/>
      <c r="AR113" s="385"/>
      <c r="AS113" s="385"/>
    </row>
    <row r="114" spans="20:45" x14ac:dyDescent="0.25"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L114" s="385"/>
      <c r="AM114" s="385"/>
      <c r="AN114" s="385"/>
      <c r="AO114" s="385"/>
      <c r="AP114" s="385"/>
      <c r="AQ114" s="385"/>
      <c r="AR114" s="385"/>
      <c r="AS114" s="385"/>
    </row>
    <row r="115" spans="20:45" x14ac:dyDescent="0.25"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L115" s="385"/>
      <c r="AM115" s="385"/>
      <c r="AN115" s="385"/>
      <c r="AO115" s="385"/>
      <c r="AP115" s="385"/>
      <c r="AQ115" s="385"/>
      <c r="AR115" s="385"/>
      <c r="AS115" s="385"/>
    </row>
    <row r="116" spans="20:45" x14ac:dyDescent="0.25"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L116" s="385"/>
      <c r="AM116" s="385"/>
      <c r="AN116" s="385"/>
      <c r="AO116" s="385"/>
      <c r="AP116" s="385"/>
      <c r="AQ116" s="385"/>
      <c r="AR116" s="385"/>
      <c r="AS116" s="385"/>
    </row>
    <row r="117" spans="20:45" x14ac:dyDescent="0.25"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L117" s="385"/>
      <c r="AM117" s="385"/>
      <c r="AN117" s="385"/>
      <c r="AO117" s="385"/>
      <c r="AP117" s="385"/>
      <c r="AQ117" s="385"/>
      <c r="AR117" s="385"/>
      <c r="AS117" s="385"/>
    </row>
    <row r="118" spans="20:45" x14ac:dyDescent="0.25"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L118" s="385"/>
      <c r="AM118" s="385"/>
      <c r="AN118" s="385"/>
      <c r="AO118" s="385"/>
      <c r="AP118" s="385"/>
      <c r="AQ118" s="385"/>
      <c r="AR118" s="385"/>
      <c r="AS118" s="385"/>
    </row>
    <row r="119" spans="20:45" x14ac:dyDescent="0.25"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5"/>
      <c r="AG119" s="385"/>
      <c r="AH119" s="385"/>
      <c r="AL119" s="385"/>
      <c r="AM119" s="385"/>
      <c r="AN119" s="385"/>
      <c r="AO119" s="385"/>
      <c r="AP119" s="385"/>
      <c r="AQ119" s="385"/>
      <c r="AR119" s="385"/>
      <c r="AS119" s="385"/>
    </row>
    <row r="120" spans="20:45" x14ac:dyDescent="0.25"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  <c r="AG120" s="385"/>
      <c r="AH120" s="385"/>
      <c r="AL120" s="385"/>
      <c r="AM120" s="385"/>
      <c r="AN120" s="385"/>
      <c r="AO120" s="385"/>
      <c r="AP120" s="385"/>
      <c r="AQ120" s="385"/>
      <c r="AR120" s="385"/>
      <c r="AS120" s="385"/>
    </row>
    <row r="121" spans="20:45" x14ac:dyDescent="0.25"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L121" s="385"/>
      <c r="AM121" s="385"/>
      <c r="AN121" s="385"/>
      <c r="AO121" s="385"/>
      <c r="AP121" s="385"/>
      <c r="AQ121" s="385"/>
      <c r="AR121" s="385"/>
      <c r="AS121" s="385"/>
    </row>
    <row r="122" spans="20:45" x14ac:dyDescent="0.25"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L122" s="385"/>
      <c r="AM122" s="385"/>
      <c r="AN122" s="385"/>
      <c r="AO122" s="385"/>
      <c r="AP122" s="385"/>
      <c r="AQ122" s="385"/>
      <c r="AR122" s="385"/>
      <c r="AS122" s="385"/>
    </row>
    <row r="123" spans="20:45" x14ac:dyDescent="0.25"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L123" s="385"/>
      <c r="AM123" s="385"/>
      <c r="AN123" s="385"/>
      <c r="AO123" s="385"/>
      <c r="AP123" s="385"/>
      <c r="AQ123" s="385"/>
      <c r="AR123" s="385"/>
      <c r="AS123" s="385"/>
    </row>
    <row r="124" spans="20:45" x14ac:dyDescent="0.25"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L124" s="385"/>
      <c r="AM124" s="385"/>
      <c r="AN124" s="385"/>
      <c r="AO124" s="385"/>
      <c r="AP124" s="385"/>
      <c r="AQ124" s="385"/>
      <c r="AR124" s="385"/>
      <c r="AS124" s="385"/>
    </row>
    <row r="125" spans="20:45" x14ac:dyDescent="0.25"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L125" s="385"/>
      <c r="AM125" s="385"/>
      <c r="AN125" s="385"/>
      <c r="AO125" s="385"/>
      <c r="AP125" s="385"/>
      <c r="AQ125" s="385"/>
      <c r="AR125" s="385"/>
      <c r="AS125" s="385"/>
    </row>
    <row r="126" spans="20:45" x14ac:dyDescent="0.25"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L126" s="385"/>
      <c r="AM126" s="385"/>
      <c r="AN126" s="385"/>
      <c r="AO126" s="385"/>
      <c r="AP126" s="385"/>
      <c r="AQ126" s="385"/>
      <c r="AR126" s="385"/>
      <c r="AS126" s="385"/>
    </row>
    <row r="127" spans="20:45" x14ac:dyDescent="0.25"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L127" s="385"/>
      <c r="AM127" s="385"/>
      <c r="AN127" s="385"/>
      <c r="AO127" s="385"/>
      <c r="AP127" s="385"/>
      <c r="AQ127" s="385"/>
      <c r="AR127" s="385"/>
      <c r="AS127" s="385"/>
    </row>
    <row r="128" spans="20:45" x14ac:dyDescent="0.25"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L128" s="385"/>
      <c r="AM128" s="385"/>
      <c r="AN128" s="385"/>
      <c r="AO128" s="385"/>
      <c r="AP128" s="385"/>
      <c r="AQ128" s="385"/>
      <c r="AR128" s="385"/>
      <c r="AS128" s="385"/>
    </row>
    <row r="129" spans="20:45" x14ac:dyDescent="0.25"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L129" s="385"/>
      <c r="AM129" s="385"/>
      <c r="AN129" s="385"/>
      <c r="AO129" s="385"/>
      <c r="AP129" s="385"/>
      <c r="AQ129" s="385"/>
      <c r="AR129" s="385"/>
      <c r="AS129" s="385"/>
    </row>
    <row r="130" spans="20:45" x14ac:dyDescent="0.25"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L130" s="385"/>
      <c r="AM130" s="385"/>
      <c r="AN130" s="385"/>
      <c r="AO130" s="385"/>
      <c r="AP130" s="385"/>
      <c r="AQ130" s="385"/>
      <c r="AR130" s="385"/>
      <c r="AS130" s="385"/>
    </row>
    <row r="131" spans="20:45" x14ac:dyDescent="0.25"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L131" s="385"/>
      <c r="AM131" s="385"/>
      <c r="AN131" s="385"/>
      <c r="AO131" s="385"/>
      <c r="AP131" s="385"/>
      <c r="AQ131" s="385"/>
      <c r="AR131" s="385"/>
      <c r="AS131" s="385"/>
    </row>
    <row r="132" spans="20:45" x14ac:dyDescent="0.25"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L132" s="385"/>
      <c r="AM132" s="385"/>
      <c r="AN132" s="385"/>
      <c r="AO132" s="385"/>
      <c r="AP132" s="385"/>
      <c r="AQ132" s="385"/>
      <c r="AR132" s="385"/>
      <c r="AS132" s="385"/>
    </row>
    <row r="133" spans="20:45" x14ac:dyDescent="0.25"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5"/>
      <c r="AG133" s="385"/>
      <c r="AH133" s="385"/>
      <c r="AL133" s="385"/>
      <c r="AM133" s="385"/>
      <c r="AN133" s="385"/>
      <c r="AO133" s="385"/>
      <c r="AP133" s="385"/>
      <c r="AQ133" s="385"/>
      <c r="AR133" s="385"/>
      <c r="AS133" s="385"/>
    </row>
    <row r="134" spans="20:45" x14ac:dyDescent="0.25"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L134" s="385"/>
      <c r="AM134" s="385"/>
      <c r="AN134" s="385"/>
      <c r="AO134" s="385"/>
      <c r="AP134" s="385"/>
      <c r="AQ134" s="385"/>
      <c r="AR134" s="385"/>
      <c r="AS134" s="385"/>
    </row>
    <row r="135" spans="20:45" x14ac:dyDescent="0.25"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L135" s="385"/>
      <c r="AM135" s="385"/>
      <c r="AN135" s="385"/>
      <c r="AO135" s="385"/>
      <c r="AP135" s="385"/>
      <c r="AQ135" s="385"/>
      <c r="AR135" s="385"/>
      <c r="AS135" s="385"/>
    </row>
    <row r="136" spans="20:45" x14ac:dyDescent="0.25"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/>
      <c r="AG136" s="385"/>
      <c r="AH136" s="385"/>
      <c r="AL136" s="385"/>
      <c r="AM136" s="385"/>
      <c r="AN136" s="385"/>
      <c r="AO136" s="385"/>
      <c r="AP136" s="385"/>
      <c r="AQ136" s="385"/>
      <c r="AR136" s="385"/>
      <c r="AS136" s="385"/>
    </row>
    <row r="137" spans="20:45" x14ac:dyDescent="0.25"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5"/>
      <c r="AG137" s="385"/>
      <c r="AH137" s="385"/>
      <c r="AL137" s="385"/>
      <c r="AM137" s="385"/>
      <c r="AN137" s="385"/>
      <c r="AO137" s="385"/>
      <c r="AP137" s="385"/>
      <c r="AQ137" s="385"/>
      <c r="AR137" s="385"/>
      <c r="AS137" s="385"/>
    </row>
    <row r="138" spans="20:45" x14ac:dyDescent="0.25"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5"/>
      <c r="AG138" s="385"/>
      <c r="AH138" s="385"/>
      <c r="AL138" s="385"/>
      <c r="AM138" s="385"/>
      <c r="AN138" s="385"/>
      <c r="AO138" s="385"/>
      <c r="AP138" s="385"/>
      <c r="AQ138" s="385"/>
      <c r="AR138" s="385"/>
      <c r="AS138" s="385"/>
    </row>
    <row r="139" spans="20:45" x14ac:dyDescent="0.25"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L139" s="385"/>
      <c r="AM139" s="385"/>
      <c r="AN139" s="385"/>
      <c r="AO139" s="385"/>
      <c r="AP139" s="385"/>
      <c r="AQ139" s="385"/>
      <c r="AR139" s="385"/>
      <c r="AS139" s="385"/>
    </row>
    <row r="140" spans="20:45" x14ac:dyDescent="0.25"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L140" s="385"/>
      <c r="AM140" s="385"/>
      <c r="AN140" s="385"/>
      <c r="AO140" s="385"/>
      <c r="AP140" s="385"/>
      <c r="AQ140" s="385"/>
      <c r="AR140" s="385"/>
      <c r="AS140" s="385"/>
    </row>
  </sheetData>
  <mergeCells count="1">
    <mergeCell ref="A4:C4"/>
  </mergeCells>
  <conditionalFormatting sqref="B22 B24 B26 B28 B30 B32 B34 B36 B38 B40 B42 B44 B46 B48 B50 B52">
    <cfRule type="cellIs" dxfId="81" priority="13" stopIfTrue="1" operator="equal">
      <formula>"QA"</formula>
    </cfRule>
    <cfRule type="cellIs" dxfId="80" priority="14" stopIfTrue="1" operator="equal">
      <formula>"DA"</formula>
    </cfRule>
  </conditionalFormatting>
  <conditionalFormatting sqref="E7 E21">
    <cfRule type="expression" dxfId="79" priority="16" stopIfTrue="1">
      <formula>$E7&lt;5</formula>
    </cfRule>
  </conditionalFormatting>
  <conditionalFormatting sqref="E22 E24 E26 E28 E30 E32 E34 E36 E38 E40 E42 E44 E46 E48 E50 E52">
    <cfRule type="expression" dxfId="78" priority="8" stopIfTrue="1">
      <formula>AND($E22&lt;9,$C22&gt;0)</formula>
    </cfRule>
  </conditionalFormatting>
  <conditionalFormatting sqref="F7 F9 F11 F13 F15 F17 F19">
    <cfRule type="cellIs" dxfId="77" priority="17" stopIfTrue="1" operator="equal">
      <formula>"Bye"</formula>
    </cfRule>
  </conditionalFormatting>
  <conditionalFormatting sqref="F21:F22 F24 F26 F28 F30 F32 F34 F36 F38 F40 F42 F44 F46 F48 F50">
    <cfRule type="cellIs" dxfId="76" priority="9" stopIfTrue="1" operator="equal">
      <formula>"Bye"</formula>
    </cfRule>
  </conditionalFormatting>
  <conditionalFormatting sqref="F22 F24 F26 F28 F30 F32 F34 F36 F38 F40 F42 F44 F46 F48 F50">
    <cfRule type="expression" dxfId="75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74" priority="4" stopIfTrue="1">
      <formula>AND($E7&lt;9,$C7&gt;0)</formula>
    </cfRule>
  </conditionalFormatting>
  <conditionalFormatting sqref="I8 K10 I12 M14 I16 K18 I20 I23 K25 I27 M29 I31 K33 I35 I39 K41 I43 M45 I47 K49 I51">
    <cfRule type="expression" dxfId="73" priority="5" stopIfTrue="1">
      <formula>AND($O$1="CU",I8="Umpire")</formula>
    </cfRule>
    <cfRule type="expression" dxfId="72" priority="6" stopIfTrue="1">
      <formula>AND($O$1="CU",I8&lt;&gt;"Umpire",J8&lt;&gt;"")</formula>
    </cfRule>
    <cfRule type="expression" dxfId="71" priority="7" stopIfTrue="1">
      <formula>AND($O$1="CU",I8&lt;&gt;"Umpire")</formula>
    </cfRule>
  </conditionalFormatting>
  <conditionalFormatting sqref="J8 L10 J12 N14 J16 L18 J20 R62">
    <cfRule type="expression" dxfId="70" priority="15" stopIfTrue="1">
      <formula>$O$1="CU"</formula>
    </cfRule>
  </conditionalFormatting>
  <conditionalFormatting sqref="K8 M10 K12 O14 K16 M18 K20 K23 M25 K27 O29 K31 M33 K35 K39 M41 K43 O45 K47 M49 K51">
    <cfRule type="expression" dxfId="69" priority="11" stopIfTrue="1">
      <formula>J8="as"</formula>
    </cfRule>
    <cfRule type="expression" dxfId="68" priority="12" stopIfTrue="1">
      <formula>J8="bs"</formula>
    </cfRule>
  </conditionalFormatting>
  <conditionalFormatting sqref="O16">
    <cfRule type="expression" dxfId="67" priority="1" stopIfTrue="1">
      <formula>AND($O$1="CU",O16="Umpire")</formula>
    </cfRule>
    <cfRule type="expression" dxfId="66" priority="2" stopIfTrue="1">
      <formula>AND($O$1="CU",O16&lt;&gt;"Umpire",P16&lt;&gt;"")</formula>
    </cfRule>
    <cfRule type="expression" dxfId="65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FB9C8F0B-9122-4895-B0CE-FE8871B1A8FF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209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09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8652-F75F-485D-A859-F54AFCEE1A90}">
  <sheetPr>
    <tabColor indexed="11"/>
  </sheetPr>
  <dimension ref="A1:AS140"/>
  <sheetViews>
    <sheetView workbookViewId="0">
      <selection activeCell="F7" sqref="F7"/>
    </sheetView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33203125" style="303" customWidth="1"/>
    <col min="5" max="5" width="4.33203125" style="303" customWidth="1"/>
    <col min="6" max="6" width="17" style="303" customWidth="1"/>
    <col min="7" max="7" width="2.6640625" style="303" customWidth="1"/>
    <col min="8" max="8" width="24.77734375" style="303" bestFit="1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27" width="0" style="303" hidden="1" customWidth="1"/>
    <col min="28" max="28" width="10.33203125" style="303" hidden="1" customWidth="1"/>
    <col min="29" max="34" width="0" style="303" hidden="1" customWidth="1"/>
    <col min="35" max="37" width="9.109375" style="385" customWidth="1"/>
    <col min="38" max="16384" width="8.77734375" style="303"/>
  </cols>
  <sheetData>
    <row r="1" spans="1:45" s="224" customFormat="1" ht="21.75" customHeight="1" x14ac:dyDescent="0.25">
      <c r="A1" s="217" t="str">
        <f>[11]Altalanos!$A$6</f>
        <v>OB</v>
      </c>
      <c r="B1" s="217"/>
      <c r="C1" s="218"/>
      <c r="D1" s="218"/>
      <c r="E1" s="218"/>
      <c r="F1" s="218"/>
      <c r="G1" s="218"/>
      <c r="H1" s="217"/>
      <c r="I1" s="219"/>
      <c r="J1" s="220"/>
      <c r="K1" s="221" t="s">
        <v>39</v>
      </c>
      <c r="L1" s="222"/>
      <c r="M1" s="223"/>
      <c r="N1" s="220"/>
      <c r="O1" s="220" t="s">
        <v>12</v>
      </c>
      <c r="P1" s="220"/>
      <c r="Q1" s="218"/>
      <c r="R1" s="220"/>
      <c r="T1" s="225"/>
      <c r="U1" s="225"/>
      <c r="V1" s="225"/>
      <c r="W1" s="225"/>
      <c r="X1" s="225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  <c r="AI1" s="227"/>
      <c r="AJ1" s="227"/>
      <c r="AK1" s="227"/>
    </row>
    <row r="2" spans="1:45" s="233" customFormat="1" x14ac:dyDescent="0.25">
      <c r="A2" s="228" t="s">
        <v>38</v>
      </c>
      <c r="B2" s="229"/>
      <c r="C2" s="229"/>
      <c r="D2" s="229"/>
      <c r="E2" s="229">
        <f>[11]Altalanos!$A$8</f>
        <v>0</v>
      </c>
      <c r="F2" s="229"/>
      <c r="G2" s="230"/>
      <c r="H2" s="231"/>
      <c r="I2" s="231"/>
      <c r="J2" s="232"/>
      <c r="K2" s="222"/>
      <c r="L2" s="222"/>
      <c r="M2" s="222"/>
      <c r="N2" s="232"/>
      <c r="O2" s="231"/>
      <c r="P2" s="232"/>
      <c r="Q2" s="231"/>
      <c r="R2" s="232"/>
      <c r="T2" s="234"/>
      <c r="U2" s="234"/>
      <c r="V2" s="234"/>
      <c r="W2" s="234"/>
      <c r="X2" s="234"/>
      <c r="Y2" s="235"/>
      <c r="Z2" s="236"/>
      <c r="AA2" s="236" t="s">
        <v>52</v>
      </c>
      <c r="AB2" s="237">
        <v>300</v>
      </c>
      <c r="AC2" s="237">
        <v>250</v>
      </c>
      <c r="AD2" s="237">
        <v>200</v>
      </c>
      <c r="AE2" s="237">
        <v>150</v>
      </c>
      <c r="AF2" s="237">
        <v>120</v>
      </c>
      <c r="AG2" s="237">
        <v>90</v>
      </c>
      <c r="AH2" s="237">
        <v>40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</row>
    <row r="3" spans="1:45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T3" s="242"/>
      <c r="U3" s="242"/>
      <c r="V3" s="242"/>
      <c r="W3" s="242"/>
      <c r="X3" s="242"/>
      <c r="Y3" s="236" t="str">
        <f>IF(K4="OB","A",IF(K4="IX","W",IF(K4="","",K4)))</f>
        <v/>
      </c>
      <c r="Z3" s="236"/>
      <c r="AA3" s="236" t="s">
        <v>53</v>
      </c>
      <c r="AB3" s="237">
        <v>280</v>
      </c>
      <c r="AC3" s="237">
        <v>230</v>
      </c>
      <c r="AD3" s="237">
        <v>180</v>
      </c>
      <c r="AE3" s="237">
        <v>140</v>
      </c>
      <c r="AF3" s="237">
        <v>80</v>
      </c>
      <c r="AG3" s="237">
        <v>0</v>
      </c>
      <c r="AH3" s="237">
        <v>0</v>
      </c>
      <c r="AI3" s="234"/>
      <c r="AJ3" s="234"/>
      <c r="AK3" s="234"/>
      <c r="AL3" s="242"/>
      <c r="AM3" s="242"/>
      <c r="AN3" s="242"/>
      <c r="AO3" s="242"/>
      <c r="AP3" s="242"/>
      <c r="AQ3" s="242"/>
      <c r="AR3" s="242"/>
      <c r="AS3" s="242"/>
    </row>
    <row r="4" spans="1:45" s="250" customFormat="1" ht="11.25" customHeight="1" thickBot="1" x14ac:dyDescent="0.3">
      <c r="A4" s="243">
        <f>[11]Altalanos!$A$10</f>
        <v>0</v>
      </c>
      <c r="B4" s="243"/>
      <c r="C4" s="243"/>
      <c r="D4" s="244"/>
      <c r="E4" s="245"/>
      <c r="F4" s="245"/>
      <c r="G4" s="245">
        <f>[11]Altalanos!$C$10</f>
        <v>0</v>
      </c>
      <c r="H4" s="246"/>
      <c r="I4" s="245"/>
      <c r="J4" s="247"/>
      <c r="K4" s="137"/>
      <c r="L4" s="247"/>
      <c r="M4" s="248"/>
      <c r="N4" s="247"/>
      <c r="O4" s="245"/>
      <c r="P4" s="247"/>
      <c r="Q4" s="245"/>
      <c r="R4" s="249">
        <f>[11]Altalanos!$E$10</f>
        <v>0</v>
      </c>
      <c r="T4" s="251"/>
      <c r="U4" s="251"/>
      <c r="V4" s="251"/>
      <c r="W4" s="251"/>
      <c r="X4" s="251"/>
      <c r="Y4" s="236"/>
      <c r="Z4" s="236"/>
      <c r="AA4" s="236" t="s">
        <v>82</v>
      </c>
      <c r="AB4" s="237">
        <v>250</v>
      </c>
      <c r="AC4" s="237">
        <v>200</v>
      </c>
      <c r="AD4" s="237">
        <v>150</v>
      </c>
      <c r="AE4" s="237">
        <v>120</v>
      </c>
      <c r="AF4" s="237">
        <v>90</v>
      </c>
      <c r="AG4" s="237">
        <v>60</v>
      </c>
      <c r="AH4" s="237">
        <v>25</v>
      </c>
      <c r="AI4" s="234"/>
      <c r="AJ4" s="234"/>
      <c r="AK4" s="234"/>
      <c r="AL4" s="251"/>
      <c r="AM4" s="251"/>
      <c r="AN4" s="251"/>
      <c r="AO4" s="251"/>
      <c r="AP4" s="251"/>
      <c r="AQ4" s="251"/>
      <c r="AR4" s="251"/>
      <c r="AS4" s="251"/>
    </row>
    <row r="5" spans="1:45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45</v>
      </c>
      <c r="N5" s="256"/>
      <c r="O5" s="253" t="s">
        <v>44</v>
      </c>
      <c r="P5" s="256"/>
      <c r="Q5" s="253"/>
      <c r="R5" s="257"/>
      <c r="T5" s="242"/>
      <c r="U5" s="242"/>
      <c r="V5" s="242"/>
      <c r="W5" s="242"/>
      <c r="X5" s="242"/>
      <c r="Y5" s="236">
        <f>IF(OR([11]Altalanos!$A$8="F1",[11]Altalanos!$A$8="F2",[11]Altalanos!$A$8="N1",[11]Altalanos!$A$8="N2"),1,2)</f>
        <v>2</v>
      </c>
      <c r="Z5" s="236"/>
      <c r="AA5" s="236" t="s">
        <v>83</v>
      </c>
      <c r="AB5" s="237">
        <v>200</v>
      </c>
      <c r="AC5" s="237">
        <v>150</v>
      </c>
      <c r="AD5" s="237">
        <v>120</v>
      </c>
      <c r="AE5" s="237">
        <v>90</v>
      </c>
      <c r="AF5" s="237">
        <v>60</v>
      </c>
      <c r="AG5" s="237">
        <v>40</v>
      </c>
      <c r="AH5" s="237">
        <v>15</v>
      </c>
      <c r="AI5" s="234"/>
      <c r="AJ5" s="234"/>
      <c r="AK5" s="234"/>
      <c r="AL5" s="242"/>
      <c r="AM5" s="242"/>
      <c r="AN5" s="242"/>
      <c r="AO5" s="242"/>
      <c r="AP5" s="242"/>
      <c r="AQ5" s="242"/>
      <c r="AR5" s="242"/>
      <c r="AS5" s="242"/>
    </row>
    <row r="6" spans="1:45" s="264" customFormat="1" ht="10.95" customHeight="1" thickBot="1" x14ac:dyDescent="0.3">
      <c r="A6" s="258"/>
      <c r="B6" s="259"/>
      <c r="C6" s="259"/>
      <c r="D6" s="259"/>
      <c r="E6" s="259"/>
      <c r="F6" s="258" t="str">
        <f>IF(Y3="","",CONCATENATE(VLOOKUP(Y3,AB1:AH1,4)," pont"))</f>
        <v/>
      </c>
      <c r="G6" s="260"/>
      <c r="H6" s="261"/>
      <c r="I6" s="260"/>
      <c r="J6" s="262"/>
      <c r="K6" s="259" t="str">
        <f>IF(Y3="","",CONCATENATE(VLOOKUP(Y3,AB1:AH1,3)," pont"))</f>
        <v/>
      </c>
      <c r="L6" s="262"/>
      <c r="M6" s="259" t="str">
        <f>IF(Y3="","",CONCATENATE(VLOOKUP(Y3,AB1:AH1,2)," pont"))</f>
        <v/>
      </c>
      <c r="N6" s="262"/>
      <c r="O6" s="259" t="str">
        <f>IF(Y3="","",CONCATENATE(VLOOKUP(Y3,AB1:AH1,1)," pont"))</f>
        <v/>
      </c>
      <c r="P6" s="262"/>
      <c r="Q6" s="259"/>
      <c r="R6" s="263"/>
      <c r="T6" s="265"/>
      <c r="U6" s="265"/>
      <c r="V6" s="265"/>
      <c r="W6" s="265"/>
      <c r="X6" s="265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268"/>
      <c r="AJ6" s="268"/>
      <c r="AK6" s="268"/>
      <c r="AL6" s="265"/>
      <c r="AM6" s="265"/>
      <c r="AN6" s="265"/>
      <c r="AO6" s="265"/>
      <c r="AP6" s="265"/>
      <c r="AQ6" s="265"/>
      <c r="AR6" s="265"/>
      <c r="AS6" s="265"/>
    </row>
    <row r="7" spans="1:45" s="282" customFormat="1" ht="13.05" customHeight="1" x14ac:dyDescent="0.25">
      <c r="A7" s="269">
        <v>1</v>
      </c>
      <c r="B7" s="270" t="str">
        <f>IF($E7="","",VLOOKUP($E7,'[11]1MD ELO'!$A$7:$O$22,14))</f>
        <v/>
      </c>
      <c r="C7" s="271" t="str">
        <f>IF($E7="","",VLOOKUP($E7,'[11]1MD ELO'!$A$7:$O$22,15))</f>
        <v/>
      </c>
      <c r="D7" s="271" t="str">
        <f>IF($E7="","",VLOOKUP($E7,'[11]1MD ELO'!$A$7:$O$22,5))</f>
        <v/>
      </c>
      <c r="E7" s="272"/>
      <c r="F7" s="273" t="s">
        <v>226</v>
      </c>
      <c r="G7" s="273"/>
      <c r="H7" s="303" t="s">
        <v>227</v>
      </c>
      <c r="J7" s="274"/>
      <c r="K7" s="275"/>
      <c r="L7" s="275"/>
      <c r="M7" s="275"/>
      <c r="N7" s="275"/>
      <c r="O7" s="276"/>
      <c r="P7" s="277"/>
      <c r="Q7" s="278"/>
      <c r="R7" s="279"/>
      <c r="S7" s="280"/>
      <c r="T7" s="280"/>
      <c r="U7" s="281" t="str">
        <f>[11]Birók!P21</f>
        <v>Bíró</v>
      </c>
      <c r="V7" s="280"/>
      <c r="W7" s="280"/>
      <c r="X7" s="280"/>
      <c r="Y7" s="236"/>
      <c r="Z7" s="236"/>
      <c r="AA7" s="236" t="s">
        <v>85</v>
      </c>
      <c r="AB7" s="237">
        <v>120</v>
      </c>
      <c r="AC7" s="237">
        <v>90</v>
      </c>
      <c r="AD7" s="237">
        <v>60</v>
      </c>
      <c r="AE7" s="237">
        <v>40</v>
      </c>
      <c r="AF7" s="237">
        <v>25</v>
      </c>
      <c r="AG7" s="237">
        <v>10</v>
      </c>
      <c r="AH7" s="237">
        <v>5</v>
      </c>
      <c r="AI7" s="234"/>
      <c r="AJ7" s="234"/>
      <c r="AK7" s="234"/>
      <c r="AL7" s="280"/>
      <c r="AM7" s="280"/>
      <c r="AN7" s="280"/>
      <c r="AO7" s="280"/>
      <c r="AP7" s="280"/>
      <c r="AQ7" s="280"/>
      <c r="AR7" s="280"/>
      <c r="AS7" s="280"/>
    </row>
    <row r="8" spans="1:45" s="282" customFormat="1" ht="13.05" customHeight="1" x14ac:dyDescent="0.25">
      <c r="A8" s="283"/>
      <c r="B8" s="284"/>
      <c r="C8" s="285"/>
      <c r="D8" s="285"/>
      <c r="E8" s="286"/>
      <c r="F8" s="287"/>
      <c r="G8" s="287"/>
      <c r="H8" s="288"/>
      <c r="I8" s="289" t="s">
        <v>0</v>
      </c>
      <c r="J8" s="290"/>
      <c r="K8" s="291" t="s">
        <v>228</v>
      </c>
      <c r="L8" s="291"/>
      <c r="M8" s="275"/>
      <c r="N8" s="275"/>
      <c r="O8" s="276"/>
      <c r="P8" s="277"/>
      <c r="Q8" s="278"/>
      <c r="R8" s="279"/>
      <c r="S8" s="280"/>
      <c r="T8" s="280"/>
      <c r="U8" s="292" t="str">
        <f>[11]Birók!P22</f>
        <v xml:space="preserve"> </v>
      </c>
      <c r="V8" s="280"/>
      <c r="W8" s="280"/>
      <c r="X8" s="280"/>
      <c r="Y8" s="236"/>
      <c r="Z8" s="236"/>
      <c r="AA8" s="236" t="s">
        <v>86</v>
      </c>
      <c r="AB8" s="237">
        <v>90</v>
      </c>
      <c r="AC8" s="237">
        <v>60</v>
      </c>
      <c r="AD8" s="237">
        <v>40</v>
      </c>
      <c r="AE8" s="237">
        <v>25</v>
      </c>
      <c r="AF8" s="237">
        <v>10</v>
      </c>
      <c r="AG8" s="237">
        <v>5</v>
      </c>
      <c r="AH8" s="237">
        <v>2</v>
      </c>
      <c r="AI8" s="234"/>
      <c r="AJ8" s="234"/>
      <c r="AK8" s="234"/>
      <c r="AL8" s="280"/>
      <c r="AM8" s="280"/>
      <c r="AN8" s="280"/>
      <c r="AO8" s="280"/>
      <c r="AP8" s="280"/>
      <c r="AQ8" s="280"/>
      <c r="AR8" s="280"/>
      <c r="AS8" s="280"/>
    </row>
    <row r="9" spans="1:45" s="282" customFormat="1" ht="13.05" customHeight="1" x14ac:dyDescent="0.25">
      <c r="A9" s="283">
        <v>2</v>
      </c>
      <c r="B9" s="270" t="str">
        <f>IF($E9="","",VLOOKUP($E9,'[11]1MD ELO'!$A$7:$O$22,14))</f>
        <v/>
      </c>
      <c r="C9" s="271" t="str">
        <f>IF($E9="","",VLOOKUP($E9,'[11]1MD ELO'!$A$7:$O$22,15))</f>
        <v/>
      </c>
      <c r="D9" s="271" t="str">
        <f>IF($E9="","",VLOOKUP($E9,'[11]1MD ELO'!$A$7:$O$22,5))</f>
        <v/>
      </c>
      <c r="E9" s="293"/>
      <c r="F9" s="294" t="s">
        <v>229</v>
      </c>
      <c r="G9" s="294"/>
      <c r="H9" s="303" t="s">
        <v>112</v>
      </c>
      <c r="I9" s="294" t="str">
        <f>IF($E9="","",VLOOKUP($E9,'[11]1MD ELO'!$A$7:$O$22,4))</f>
        <v/>
      </c>
      <c r="J9" s="295"/>
      <c r="K9" s="275" t="s">
        <v>230</v>
      </c>
      <c r="L9" s="296"/>
      <c r="M9" s="275"/>
      <c r="N9" s="275"/>
      <c r="O9" s="276"/>
      <c r="P9" s="277"/>
      <c r="Q9" s="278"/>
      <c r="R9" s="279"/>
      <c r="S9" s="280"/>
      <c r="T9" s="280"/>
      <c r="U9" s="292" t="str">
        <f>[11]Birók!P23</f>
        <v xml:space="preserve"> </v>
      </c>
      <c r="V9" s="280"/>
      <c r="W9" s="280"/>
      <c r="X9" s="280"/>
      <c r="Y9" s="236"/>
      <c r="Z9" s="236"/>
      <c r="AA9" s="236" t="s">
        <v>87</v>
      </c>
      <c r="AB9" s="237">
        <v>60</v>
      </c>
      <c r="AC9" s="237">
        <v>40</v>
      </c>
      <c r="AD9" s="237">
        <v>25</v>
      </c>
      <c r="AE9" s="237">
        <v>10</v>
      </c>
      <c r="AF9" s="237">
        <v>5</v>
      </c>
      <c r="AG9" s="237">
        <v>2</v>
      </c>
      <c r="AH9" s="237">
        <v>1</v>
      </c>
      <c r="AI9" s="234"/>
      <c r="AJ9" s="234"/>
      <c r="AK9" s="234"/>
      <c r="AL9" s="280"/>
      <c r="AM9" s="280"/>
      <c r="AN9" s="280"/>
      <c r="AO9" s="280"/>
      <c r="AP9" s="280"/>
      <c r="AQ9" s="280"/>
      <c r="AR9" s="280"/>
      <c r="AS9" s="280"/>
    </row>
    <row r="10" spans="1:45" s="282" customFormat="1" ht="13.05" customHeight="1" x14ac:dyDescent="0.25">
      <c r="A10" s="283"/>
      <c r="B10" s="284"/>
      <c r="C10" s="285"/>
      <c r="D10" s="285"/>
      <c r="E10" s="297"/>
      <c r="F10" s="287"/>
      <c r="G10" s="287"/>
      <c r="H10" s="288"/>
      <c r="I10" s="287"/>
      <c r="J10" s="298"/>
      <c r="K10" s="289" t="s">
        <v>0</v>
      </c>
      <c r="L10" s="299"/>
      <c r="M10" s="291" t="s">
        <v>228</v>
      </c>
      <c r="N10" s="300"/>
      <c r="O10" s="301"/>
      <c r="P10" s="301"/>
      <c r="Q10" s="278"/>
      <c r="R10" s="279"/>
      <c r="S10" s="280"/>
      <c r="T10" s="280"/>
      <c r="U10" s="292" t="str">
        <f>[11]Birók!P24</f>
        <v xml:space="preserve"> </v>
      </c>
      <c r="V10" s="280"/>
      <c r="W10" s="280"/>
      <c r="X10" s="280"/>
      <c r="Y10" s="236"/>
      <c r="Z10" s="236"/>
      <c r="AA10" s="236" t="s">
        <v>88</v>
      </c>
      <c r="AB10" s="237">
        <v>40</v>
      </c>
      <c r="AC10" s="237">
        <v>25</v>
      </c>
      <c r="AD10" s="237">
        <v>15</v>
      </c>
      <c r="AE10" s="237">
        <v>7</v>
      </c>
      <c r="AF10" s="237">
        <v>4</v>
      </c>
      <c r="AG10" s="237">
        <v>1</v>
      </c>
      <c r="AH10" s="237">
        <v>0</v>
      </c>
      <c r="AI10" s="234"/>
      <c r="AJ10" s="234"/>
      <c r="AK10" s="234"/>
      <c r="AL10" s="280"/>
      <c r="AM10" s="280"/>
      <c r="AN10" s="280"/>
      <c r="AO10" s="280"/>
      <c r="AP10" s="280"/>
      <c r="AQ10" s="280"/>
      <c r="AR10" s="280"/>
      <c r="AS10" s="280"/>
    </row>
    <row r="11" spans="1:45" s="282" customFormat="1" ht="13.05" customHeight="1" x14ac:dyDescent="0.25">
      <c r="A11" s="283">
        <v>3</v>
      </c>
      <c r="B11" s="270" t="str">
        <f>IF($E11="","",VLOOKUP($E11,'[11]1MD ELO'!$A$7:$O$22,14))</f>
        <v/>
      </c>
      <c r="C11" s="271" t="str">
        <f>IF($E11="","",VLOOKUP($E11,'[11]1MD ELO'!$A$7:$O$22,15))</f>
        <v/>
      </c>
      <c r="D11" s="271" t="str">
        <f>IF($E11="","",VLOOKUP($E11,'[11]1MD ELO'!$A$7:$O$22,5))</f>
        <v/>
      </c>
      <c r="E11" s="293"/>
      <c r="F11" s="294" t="s">
        <v>231</v>
      </c>
      <c r="G11" s="294"/>
      <c r="H11" s="303" t="s">
        <v>112</v>
      </c>
      <c r="I11" s="294" t="str">
        <f>IF($E11="","",VLOOKUP($E11,'[11]1MD ELO'!$A$7:$O$22,4))</f>
        <v/>
      </c>
      <c r="J11" s="274"/>
      <c r="K11" s="275"/>
      <c r="L11" s="302"/>
      <c r="M11" s="233" t="s">
        <v>114</v>
      </c>
      <c r="N11" s="304"/>
      <c r="O11" s="301"/>
      <c r="P11" s="301"/>
      <c r="Q11" s="278"/>
      <c r="R11" s="279"/>
      <c r="S11" s="280"/>
      <c r="T11" s="280"/>
      <c r="U11" s="292" t="str">
        <f>[11]Birók!P25</f>
        <v xml:space="preserve"> </v>
      </c>
      <c r="V11" s="280"/>
      <c r="W11" s="280"/>
      <c r="X11" s="280"/>
      <c r="Y11" s="236"/>
      <c r="Z11" s="236"/>
      <c r="AA11" s="236" t="s">
        <v>89</v>
      </c>
      <c r="AB11" s="237">
        <v>25</v>
      </c>
      <c r="AC11" s="237">
        <v>15</v>
      </c>
      <c r="AD11" s="237">
        <v>10</v>
      </c>
      <c r="AE11" s="237">
        <v>6</v>
      </c>
      <c r="AF11" s="237">
        <v>3</v>
      </c>
      <c r="AG11" s="237">
        <v>1</v>
      </c>
      <c r="AH11" s="237">
        <v>0</v>
      </c>
      <c r="AI11" s="234"/>
      <c r="AJ11" s="234"/>
      <c r="AK11" s="234"/>
      <c r="AL11" s="280"/>
      <c r="AM11" s="280"/>
      <c r="AN11" s="280"/>
      <c r="AO11" s="280"/>
      <c r="AP11" s="280"/>
      <c r="AQ11" s="280"/>
      <c r="AR11" s="280"/>
      <c r="AS11" s="280"/>
    </row>
    <row r="12" spans="1:45" s="282" customFormat="1" ht="13.05" customHeight="1" x14ac:dyDescent="0.25">
      <c r="A12" s="283"/>
      <c r="B12" s="284"/>
      <c r="C12" s="285"/>
      <c r="D12" s="285"/>
      <c r="E12" s="297"/>
      <c r="F12" s="287"/>
      <c r="G12" s="287"/>
      <c r="H12" s="288"/>
      <c r="I12" s="289" t="s">
        <v>0</v>
      </c>
      <c r="J12" s="290"/>
      <c r="K12" s="291" t="s">
        <v>232</v>
      </c>
      <c r="L12" s="305"/>
      <c r="M12" s="275"/>
      <c r="N12" s="304"/>
      <c r="O12" s="301"/>
      <c r="P12" s="301"/>
      <c r="Q12" s="278"/>
      <c r="R12" s="279"/>
      <c r="S12" s="280"/>
      <c r="T12" s="280"/>
      <c r="U12" s="292" t="str">
        <f>[11]Birók!P26</f>
        <v xml:space="preserve"> </v>
      </c>
      <c r="V12" s="280"/>
      <c r="W12" s="280"/>
      <c r="X12" s="280"/>
      <c r="Y12" s="236"/>
      <c r="Z12" s="236"/>
      <c r="AA12" s="236" t="s">
        <v>94</v>
      </c>
      <c r="AB12" s="237">
        <v>15</v>
      </c>
      <c r="AC12" s="237">
        <v>10</v>
      </c>
      <c r="AD12" s="237">
        <v>6</v>
      </c>
      <c r="AE12" s="237">
        <v>3</v>
      </c>
      <c r="AF12" s="237">
        <v>1</v>
      </c>
      <c r="AG12" s="237">
        <v>0</v>
      </c>
      <c r="AH12" s="237">
        <v>0</v>
      </c>
      <c r="AI12" s="234"/>
      <c r="AJ12" s="234"/>
      <c r="AK12" s="234"/>
      <c r="AL12" s="280"/>
      <c r="AM12" s="280"/>
      <c r="AN12" s="280"/>
      <c r="AO12" s="280"/>
      <c r="AP12" s="280"/>
      <c r="AQ12" s="280"/>
      <c r="AR12" s="280"/>
      <c r="AS12" s="280"/>
    </row>
    <row r="13" spans="1:45" s="282" customFormat="1" ht="13.05" customHeight="1" x14ac:dyDescent="0.25">
      <c r="A13" s="283">
        <v>4</v>
      </c>
      <c r="B13" s="270" t="str">
        <f>IF($E13="","",VLOOKUP($E13,'[11]1MD ELO'!$A$7:$O$22,14))</f>
        <v/>
      </c>
      <c r="C13" s="271" t="str">
        <f>IF($E13="","",VLOOKUP($E13,'[11]1MD ELO'!$A$7:$O$22,15))</f>
        <v/>
      </c>
      <c r="D13" s="271" t="str">
        <f>IF($E13="","",VLOOKUP($E13,'[11]1MD ELO'!$A$7:$O$22,5))</f>
        <v/>
      </c>
      <c r="E13" s="293"/>
      <c r="F13" s="294" t="s">
        <v>233</v>
      </c>
      <c r="G13" s="294"/>
      <c r="H13" s="303" t="s">
        <v>162</v>
      </c>
      <c r="I13" s="294" t="str">
        <f>IF($E13="","",VLOOKUP($E13,'[11]1MD ELO'!$A$7:$O$22,4))</f>
        <v/>
      </c>
      <c r="J13" s="306"/>
      <c r="K13" s="291" t="s">
        <v>128</v>
      </c>
      <c r="L13" s="275"/>
      <c r="M13" s="275"/>
      <c r="N13" s="304"/>
      <c r="O13" s="301"/>
      <c r="P13" s="301"/>
      <c r="Q13" s="278"/>
      <c r="R13" s="279"/>
      <c r="S13" s="280"/>
      <c r="T13" s="280"/>
      <c r="U13" s="292" t="str">
        <f>[11]Birók!P27</f>
        <v xml:space="preserve"> </v>
      </c>
      <c r="V13" s="280"/>
      <c r="W13" s="280"/>
      <c r="X13" s="280"/>
      <c r="Y13" s="236"/>
      <c r="Z13" s="236"/>
      <c r="AA13" s="236" t="s">
        <v>90</v>
      </c>
      <c r="AB13" s="237">
        <v>10</v>
      </c>
      <c r="AC13" s="237">
        <v>6</v>
      </c>
      <c r="AD13" s="237">
        <v>3</v>
      </c>
      <c r="AE13" s="237">
        <v>1</v>
      </c>
      <c r="AF13" s="237">
        <v>0</v>
      </c>
      <c r="AG13" s="237">
        <v>0</v>
      </c>
      <c r="AH13" s="237">
        <v>0</v>
      </c>
      <c r="AI13" s="234"/>
      <c r="AJ13" s="234"/>
      <c r="AK13" s="234"/>
      <c r="AL13" s="280"/>
      <c r="AM13" s="280"/>
      <c r="AN13" s="280"/>
      <c r="AO13" s="280"/>
      <c r="AP13" s="280"/>
      <c r="AQ13" s="280"/>
      <c r="AR13" s="280"/>
      <c r="AS13" s="280"/>
    </row>
    <row r="14" spans="1:45" s="282" customFormat="1" ht="13.05" customHeight="1" x14ac:dyDescent="0.25">
      <c r="A14" s="283"/>
      <c r="B14" s="284"/>
      <c r="C14" s="285"/>
      <c r="D14" s="285"/>
      <c r="E14" s="297"/>
      <c r="F14" s="287"/>
      <c r="G14" s="287"/>
      <c r="H14" s="288"/>
      <c r="I14" s="287"/>
      <c r="J14" s="298"/>
      <c r="K14" s="275"/>
      <c r="L14" s="275"/>
      <c r="M14" s="289" t="s">
        <v>0</v>
      </c>
      <c r="N14" s="299"/>
      <c r="O14" s="291" t="s">
        <v>228</v>
      </c>
      <c r="P14" s="300"/>
      <c r="Q14" s="278"/>
      <c r="R14" s="279"/>
      <c r="S14" s="280"/>
      <c r="T14" s="280"/>
      <c r="U14" s="292" t="str">
        <f>[11]Birók!P28</f>
        <v xml:space="preserve"> </v>
      </c>
      <c r="V14" s="280"/>
      <c r="W14" s="280"/>
      <c r="X14" s="280"/>
      <c r="Y14" s="236"/>
      <c r="Z14" s="236"/>
      <c r="AA14" s="236" t="s">
        <v>91</v>
      </c>
      <c r="AB14" s="237">
        <v>3</v>
      </c>
      <c r="AC14" s="237">
        <v>2</v>
      </c>
      <c r="AD14" s="237">
        <v>1</v>
      </c>
      <c r="AE14" s="237">
        <v>0</v>
      </c>
      <c r="AF14" s="237">
        <v>0</v>
      </c>
      <c r="AG14" s="237">
        <v>0</v>
      </c>
      <c r="AH14" s="237">
        <v>0</v>
      </c>
      <c r="AI14" s="234"/>
      <c r="AJ14" s="234"/>
      <c r="AK14" s="234"/>
      <c r="AL14" s="280"/>
      <c r="AM14" s="280"/>
      <c r="AN14" s="280"/>
      <c r="AO14" s="280"/>
      <c r="AP14" s="280"/>
      <c r="AQ14" s="280"/>
      <c r="AR14" s="280"/>
      <c r="AS14" s="280"/>
    </row>
    <row r="15" spans="1:45" s="282" customFormat="1" ht="13.05" customHeight="1" x14ac:dyDescent="0.3">
      <c r="A15" s="307">
        <v>5</v>
      </c>
      <c r="B15" s="270" t="str">
        <f>IF($E15="","",VLOOKUP($E15,'[11]1MD ELO'!$A$7:$O$22,14))</f>
        <v/>
      </c>
      <c r="C15" s="271" t="str">
        <f>IF($E15="","",VLOOKUP($E15,'[11]1MD ELO'!$A$7:$O$22,15))</f>
        <v/>
      </c>
      <c r="D15" s="271" t="str">
        <f>IF($E15="","",VLOOKUP($E15,'[11]1MD ELO'!$A$7:$O$22,5))</f>
        <v/>
      </c>
      <c r="E15" s="293"/>
      <c r="F15" s="294" t="s">
        <v>234</v>
      </c>
      <c r="G15" s="294"/>
      <c r="H15" s="548" t="s">
        <v>162</v>
      </c>
      <c r="I15" s="294" t="str">
        <f>IF($E15="","",VLOOKUP($E15,'[11]1MD ELO'!$A$7:$O$22,4))</f>
        <v/>
      </c>
      <c r="J15" s="308"/>
      <c r="K15" s="275"/>
      <c r="L15" s="275"/>
      <c r="M15" s="275"/>
      <c r="N15" s="304"/>
      <c r="O15" s="233" t="s">
        <v>235</v>
      </c>
      <c r="P15" s="301"/>
      <c r="Q15" s="278"/>
      <c r="R15" s="279"/>
      <c r="S15" s="280"/>
      <c r="T15" s="280"/>
      <c r="U15" s="292" t="str">
        <f>[11]Birók!P29</f>
        <v xml:space="preserve"> </v>
      </c>
      <c r="V15" s="280"/>
      <c r="W15" s="280"/>
      <c r="X15" s="280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4"/>
      <c r="AJ15" s="234"/>
      <c r="AK15" s="234"/>
      <c r="AL15" s="280"/>
      <c r="AM15" s="280"/>
      <c r="AN15" s="280"/>
      <c r="AO15" s="280"/>
      <c r="AP15" s="280"/>
      <c r="AQ15" s="280"/>
      <c r="AR15" s="280"/>
      <c r="AS15" s="280"/>
    </row>
    <row r="16" spans="1:45" s="282" customFormat="1" ht="13.05" customHeight="1" thickBot="1" x14ac:dyDescent="0.3">
      <c r="A16" s="283"/>
      <c r="B16" s="284"/>
      <c r="C16" s="285"/>
      <c r="D16" s="285"/>
      <c r="E16" s="297"/>
      <c r="F16" s="287"/>
      <c r="G16" s="287"/>
      <c r="H16" s="288"/>
      <c r="I16" s="289" t="s">
        <v>0</v>
      </c>
      <c r="J16" s="290"/>
      <c r="K16" s="291" t="s">
        <v>236</v>
      </c>
      <c r="L16" s="291"/>
      <c r="M16" s="275"/>
      <c r="N16" s="304"/>
      <c r="O16" s="289"/>
      <c r="P16" s="301"/>
      <c r="Q16" s="278"/>
      <c r="R16" s="279"/>
      <c r="S16" s="280"/>
      <c r="T16" s="280"/>
      <c r="U16" s="309" t="str">
        <f>[11]Birók!P30</f>
        <v>Egyik sem</v>
      </c>
      <c r="V16" s="280"/>
      <c r="W16" s="280"/>
      <c r="X16" s="280"/>
      <c r="Y16" s="236"/>
      <c r="Z16" s="236"/>
      <c r="AA16" s="236" t="s">
        <v>52</v>
      </c>
      <c r="AB16" s="237">
        <v>150</v>
      </c>
      <c r="AC16" s="237">
        <v>120</v>
      </c>
      <c r="AD16" s="237">
        <v>90</v>
      </c>
      <c r="AE16" s="237">
        <v>60</v>
      </c>
      <c r="AF16" s="237">
        <v>40</v>
      </c>
      <c r="AG16" s="237">
        <v>25</v>
      </c>
      <c r="AH16" s="237">
        <v>15</v>
      </c>
      <c r="AI16" s="234"/>
      <c r="AJ16" s="234"/>
      <c r="AK16" s="234"/>
      <c r="AL16" s="280"/>
      <c r="AM16" s="280"/>
      <c r="AN16" s="280"/>
      <c r="AO16" s="280"/>
      <c r="AP16" s="280"/>
      <c r="AQ16" s="280"/>
      <c r="AR16" s="280"/>
      <c r="AS16" s="280"/>
    </row>
    <row r="17" spans="1:45" s="282" customFormat="1" ht="13.05" customHeight="1" x14ac:dyDescent="0.25">
      <c r="A17" s="283">
        <v>6</v>
      </c>
      <c r="B17" s="270" t="str">
        <f>IF($E17="","",VLOOKUP($E17,'[11]1MD ELO'!$A$7:$O$22,14))</f>
        <v/>
      </c>
      <c r="C17" s="271" t="str">
        <f>IF($E17="","",VLOOKUP($E17,'[11]1MD ELO'!$A$7:$O$22,15))</f>
        <v/>
      </c>
      <c r="D17" s="271" t="str">
        <f>IF($E17="","",VLOOKUP($E17,'[11]1MD ELO'!$A$7:$O$22,5))</f>
        <v/>
      </c>
      <c r="E17" s="293"/>
      <c r="F17" s="294" t="s">
        <v>237</v>
      </c>
      <c r="G17" s="294"/>
      <c r="H17" s="303" t="s">
        <v>238</v>
      </c>
      <c r="I17" s="294" t="str">
        <f>IF($E17="","",VLOOKUP($E17,'[11]1MD ELO'!$A$7:$O$22,4))</f>
        <v/>
      </c>
      <c r="J17" s="295"/>
      <c r="K17" s="275" t="s">
        <v>145</v>
      </c>
      <c r="L17" s="296"/>
      <c r="M17" s="275"/>
      <c r="N17" s="304"/>
      <c r="O17" s="301"/>
      <c r="P17" s="301"/>
      <c r="Q17" s="278"/>
      <c r="R17" s="279"/>
      <c r="S17" s="280"/>
      <c r="T17" s="280"/>
      <c r="U17" s="280"/>
      <c r="V17" s="280"/>
      <c r="W17" s="280"/>
      <c r="X17" s="280"/>
      <c r="Y17" s="236"/>
      <c r="Z17" s="236"/>
      <c r="AA17" s="236" t="s">
        <v>82</v>
      </c>
      <c r="AB17" s="237">
        <v>120</v>
      </c>
      <c r="AC17" s="237">
        <v>90</v>
      </c>
      <c r="AD17" s="237">
        <v>60</v>
      </c>
      <c r="AE17" s="237">
        <v>40</v>
      </c>
      <c r="AF17" s="237">
        <v>25</v>
      </c>
      <c r="AG17" s="237">
        <v>15</v>
      </c>
      <c r="AH17" s="237">
        <v>8</v>
      </c>
      <c r="AI17" s="234"/>
      <c r="AJ17" s="234"/>
      <c r="AK17" s="234"/>
      <c r="AL17" s="280"/>
      <c r="AM17" s="280"/>
      <c r="AN17" s="280"/>
      <c r="AO17" s="280"/>
      <c r="AP17" s="280"/>
      <c r="AQ17" s="280"/>
      <c r="AR17" s="280"/>
      <c r="AS17" s="280"/>
    </row>
    <row r="18" spans="1:45" s="282" customFormat="1" ht="13.05" customHeight="1" x14ac:dyDescent="0.25">
      <c r="A18" s="283"/>
      <c r="B18" s="284"/>
      <c r="C18" s="285"/>
      <c r="D18" s="285"/>
      <c r="E18" s="297"/>
      <c r="F18" s="287"/>
      <c r="G18" s="287"/>
      <c r="H18" s="288"/>
      <c r="I18" s="287"/>
      <c r="J18" s="298"/>
      <c r="K18" s="289" t="s">
        <v>0</v>
      </c>
      <c r="L18" s="299"/>
      <c r="M18" s="291" t="s">
        <v>239</v>
      </c>
      <c r="N18" s="310"/>
      <c r="O18" s="301"/>
      <c r="P18" s="301"/>
      <c r="Q18" s="278"/>
      <c r="R18" s="279"/>
      <c r="S18" s="280"/>
      <c r="T18" s="280"/>
      <c r="U18" s="280"/>
      <c r="V18" s="280"/>
      <c r="W18" s="280"/>
      <c r="X18" s="280"/>
      <c r="Y18" s="236"/>
      <c r="Z18" s="236"/>
      <c r="AA18" s="236" t="s">
        <v>83</v>
      </c>
      <c r="AB18" s="237">
        <v>90</v>
      </c>
      <c r="AC18" s="237">
        <v>60</v>
      </c>
      <c r="AD18" s="237">
        <v>40</v>
      </c>
      <c r="AE18" s="237">
        <v>25</v>
      </c>
      <c r="AF18" s="237">
        <v>15</v>
      </c>
      <c r="AG18" s="237">
        <v>8</v>
      </c>
      <c r="AH18" s="237">
        <v>4</v>
      </c>
      <c r="AI18" s="234"/>
      <c r="AJ18" s="234"/>
      <c r="AK18" s="234"/>
      <c r="AL18" s="280"/>
      <c r="AM18" s="280"/>
      <c r="AN18" s="280"/>
      <c r="AO18" s="280"/>
      <c r="AP18" s="280"/>
      <c r="AQ18" s="280"/>
      <c r="AR18" s="280"/>
      <c r="AS18" s="280"/>
    </row>
    <row r="19" spans="1:45" s="282" customFormat="1" ht="13.05" customHeight="1" x14ac:dyDescent="0.25">
      <c r="A19" s="283">
        <v>7</v>
      </c>
      <c r="B19" s="270" t="str">
        <f>IF($E19="","",VLOOKUP($E19,'[11]1MD ELO'!$A$7:$O$22,14))</f>
        <v/>
      </c>
      <c r="C19" s="271" t="str">
        <f>IF($E19="","",VLOOKUP($E19,'[11]1MD ELO'!$A$7:$O$22,15))</f>
        <v/>
      </c>
      <c r="D19" s="271" t="str">
        <f>IF($E19="","",VLOOKUP($E19,'[11]1MD ELO'!$A$7:$O$22,5))</f>
        <v/>
      </c>
      <c r="E19" s="293"/>
      <c r="F19" s="294" t="s">
        <v>240</v>
      </c>
      <c r="G19" s="294"/>
      <c r="H19" s="303" t="s">
        <v>112</v>
      </c>
      <c r="I19" s="294" t="str">
        <f>IF($E19="","",VLOOKUP($E19,'[11]1MD ELO'!$A$7:$O$22,4))</f>
        <v/>
      </c>
      <c r="J19" s="274"/>
      <c r="K19" s="275"/>
      <c r="L19" s="302"/>
      <c r="M19" s="233" t="s">
        <v>241</v>
      </c>
      <c r="N19" s="301"/>
      <c r="O19" s="301"/>
      <c r="P19" s="301"/>
      <c r="Q19" s="278"/>
      <c r="R19" s="279"/>
      <c r="S19" s="280"/>
      <c r="T19" s="280"/>
      <c r="U19" s="280"/>
      <c r="V19" s="280"/>
      <c r="W19" s="280"/>
      <c r="X19" s="280"/>
      <c r="Y19" s="236"/>
      <c r="Z19" s="236"/>
      <c r="AA19" s="236" t="s">
        <v>84</v>
      </c>
      <c r="AB19" s="237">
        <v>60</v>
      </c>
      <c r="AC19" s="237">
        <v>40</v>
      </c>
      <c r="AD19" s="237">
        <v>25</v>
      </c>
      <c r="AE19" s="237">
        <v>15</v>
      </c>
      <c r="AF19" s="237">
        <v>8</v>
      </c>
      <c r="AG19" s="237">
        <v>4</v>
      </c>
      <c r="AH19" s="237">
        <v>2</v>
      </c>
      <c r="AI19" s="234"/>
      <c r="AJ19" s="234"/>
      <c r="AK19" s="234"/>
      <c r="AL19" s="280"/>
      <c r="AM19" s="280"/>
      <c r="AN19" s="280"/>
      <c r="AO19" s="280"/>
      <c r="AP19" s="280"/>
      <c r="AQ19" s="280"/>
      <c r="AR19" s="280"/>
      <c r="AS19" s="280"/>
    </row>
    <row r="20" spans="1:45" s="282" customFormat="1" ht="13.05" customHeight="1" x14ac:dyDescent="0.25">
      <c r="A20" s="283"/>
      <c r="B20" s="284"/>
      <c r="C20" s="285"/>
      <c r="D20" s="285"/>
      <c r="E20" s="286"/>
      <c r="F20" s="287"/>
      <c r="G20" s="287"/>
      <c r="H20" s="288"/>
      <c r="I20" s="289" t="s">
        <v>0</v>
      </c>
      <c r="J20" s="290"/>
      <c r="K20" s="291" t="s">
        <v>242</v>
      </c>
      <c r="L20" s="305"/>
      <c r="M20" s="275"/>
      <c r="N20" s="301"/>
      <c r="O20" s="301"/>
      <c r="P20" s="301"/>
      <c r="Q20" s="278"/>
      <c r="R20" s="279"/>
      <c r="S20" s="280"/>
      <c r="T20" s="280"/>
      <c r="U20" s="280"/>
      <c r="V20" s="280"/>
      <c r="W20" s="280"/>
      <c r="X20" s="280"/>
      <c r="Y20" s="236"/>
      <c r="Z20" s="236"/>
      <c r="AA20" s="236" t="s">
        <v>85</v>
      </c>
      <c r="AB20" s="237">
        <v>40</v>
      </c>
      <c r="AC20" s="237">
        <v>25</v>
      </c>
      <c r="AD20" s="237">
        <v>15</v>
      </c>
      <c r="AE20" s="237">
        <v>8</v>
      </c>
      <c r="AF20" s="237">
        <v>4</v>
      </c>
      <c r="AG20" s="237">
        <v>2</v>
      </c>
      <c r="AH20" s="237">
        <v>1</v>
      </c>
      <c r="AI20" s="234"/>
      <c r="AJ20" s="234"/>
      <c r="AK20" s="234"/>
      <c r="AL20" s="280"/>
      <c r="AM20" s="280"/>
      <c r="AN20" s="280"/>
      <c r="AO20" s="280"/>
      <c r="AP20" s="280"/>
      <c r="AQ20" s="280"/>
      <c r="AR20" s="280"/>
      <c r="AS20" s="280"/>
    </row>
    <row r="21" spans="1:45" s="282" customFormat="1" ht="13.05" customHeight="1" x14ac:dyDescent="0.25">
      <c r="A21" s="311">
        <v>8</v>
      </c>
      <c r="B21" s="270" t="str">
        <f>IF($E21="","",VLOOKUP($E21,'[11]1MD ELO'!$A$7:$O$22,14))</f>
        <v/>
      </c>
      <c r="C21" s="271" t="str">
        <f>IF($E21="","",VLOOKUP($E21,'[11]1MD ELO'!$A$7:$O$22,15))</f>
        <v/>
      </c>
      <c r="D21" s="271" t="str">
        <f>IF($E21="","",VLOOKUP($E21,'[11]1MD ELO'!$A$7:$O$22,5))</f>
        <v/>
      </c>
      <c r="E21" s="272"/>
      <c r="F21" s="312" t="s">
        <v>243</v>
      </c>
      <c r="G21" s="312"/>
      <c r="H21" s="303" t="s">
        <v>227</v>
      </c>
      <c r="I21" s="312" t="str">
        <f>IF($E21="","",VLOOKUP($E21,'[11]1MD ELO'!$A$7:$O$22,4))</f>
        <v/>
      </c>
      <c r="J21" s="306"/>
      <c r="K21" s="275" t="s">
        <v>128</v>
      </c>
      <c r="L21" s="275"/>
      <c r="M21" s="275"/>
      <c r="N21" s="301"/>
      <c r="O21" s="301"/>
      <c r="P21" s="301"/>
      <c r="Q21" s="278"/>
      <c r="R21" s="279"/>
      <c r="S21" s="280"/>
      <c r="T21" s="280"/>
      <c r="U21" s="280"/>
      <c r="V21" s="280"/>
      <c r="W21" s="280"/>
      <c r="X21" s="280"/>
      <c r="Y21" s="236"/>
      <c r="Z21" s="236"/>
      <c r="AA21" s="236" t="s">
        <v>86</v>
      </c>
      <c r="AB21" s="237">
        <v>25</v>
      </c>
      <c r="AC21" s="237">
        <v>15</v>
      </c>
      <c r="AD21" s="237">
        <v>10</v>
      </c>
      <c r="AE21" s="237">
        <v>6</v>
      </c>
      <c r="AF21" s="237">
        <v>3</v>
      </c>
      <c r="AG21" s="237">
        <v>1</v>
      </c>
      <c r="AH21" s="237">
        <v>0</v>
      </c>
      <c r="AI21" s="234"/>
      <c r="AJ21" s="234"/>
      <c r="AK21" s="234"/>
      <c r="AL21" s="280"/>
      <c r="AM21" s="280"/>
      <c r="AN21" s="280"/>
      <c r="AO21" s="280"/>
      <c r="AP21" s="280"/>
      <c r="AQ21" s="280"/>
      <c r="AR21" s="280"/>
      <c r="AS21" s="280"/>
    </row>
    <row r="22" spans="1:45" s="282" customFormat="1" ht="9.4499999999999993" customHeight="1" x14ac:dyDescent="0.25">
      <c r="A22" s="313"/>
      <c r="B22" s="276"/>
      <c r="C22" s="276"/>
      <c r="D22" s="276"/>
      <c r="E22" s="286"/>
      <c r="F22" s="276"/>
      <c r="G22" s="276"/>
      <c r="H22" s="276"/>
      <c r="I22" s="276"/>
      <c r="J22" s="286"/>
      <c r="K22" s="276"/>
      <c r="L22" s="276"/>
      <c r="M22" s="276"/>
      <c r="N22" s="278"/>
      <c r="O22" s="278"/>
      <c r="P22" s="278"/>
      <c r="Q22" s="278"/>
      <c r="R22" s="279"/>
      <c r="S22" s="280"/>
      <c r="T22" s="280"/>
      <c r="U22" s="280"/>
      <c r="V22" s="280"/>
      <c r="W22" s="280"/>
      <c r="X22" s="280"/>
      <c r="Y22" s="236"/>
      <c r="Z22" s="236"/>
      <c r="AA22" s="236" t="s">
        <v>87</v>
      </c>
      <c r="AB22" s="237">
        <v>15</v>
      </c>
      <c r="AC22" s="237">
        <v>10</v>
      </c>
      <c r="AD22" s="237">
        <v>6</v>
      </c>
      <c r="AE22" s="237">
        <v>3</v>
      </c>
      <c r="AF22" s="237">
        <v>1</v>
      </c>
      <c r="AG22" s="237">
        <v>0</v>
      </c>
      <c r="AH22" s="237">
        <v>0</v>
      </c>
      <c r="AI22" s="234"/>
      <c r="AJ22" s="234"/>
      <c r="AK22" s="234"/>
      <c r="AL22" s="280"/>
      <c r="AM22" s="280"/>
      <c r="AN22" s="280"/>
      <c r="AO22" s="280"/>
      <c r="AP22" s="280"/>
      <c r="AQ22" s="280"/>
      <c r="AR22" s="280"/>
      <c r="AS22" s="280"/>
    </row>
    <row r="23" spans="1:45" s="282" customFormat="1" ht="9.4499999999999993" customHeight="1" x14ac:dyDescent="0.25">
      <c r="A23" s="314"/>
      <c r="B23" s="286"/>
      <c r="C23" s="286"/>
      <c r="D23" s="286"/>
      <c r="E23" s="286"/>
      <c r="F23" s="276"/>
      <c r="G23" s="276"/>
      <c r="H23" s="280"/>
      <c r="I23" s="315"/>
      <c r="J23" s="286"/>
      <c r="K23" s="276"/>
      <c r="L23" s="276"/>
      <c r="M23" s="276"/>
      <c r="N23" s="278"/>
      <c r="O23" s="278"/>
      <c r="P23" s="278"/>
      <c r="Q23" s="278"/>
      <c r="R23" s="279"/>
      <c r="S23" s="280"/>
      <c r="T23" s="280"/>
      <c r="U23" s="280"/>
      <c r="V23" s="280"/>
      <c r="W23" s="280"/>
      <c r="X23" s="280"/>
      <c r="Y23" s="236"/>
      <c r="Z23" s="236"/>
      <c r="AA23" s="236" t="s">
        <v>88</v>
      </c>
      <c r="AB23" s="237">
        <v>10</v>
      </c>
      <c r="AC23" s="237">
        <v>6</v>
      </c>
      <c r="AD23" s="237">
        <v>3</v>
      </c>
      <c r="AE23" s="237">
        <v>1</v>
      </c>
      <c r="AF23" s="237">
        <v>0</v>
      </c>
      <c r="AG23" s="237">
        <v>0</v>
      </c>
      <c r="AH23" s="237">
        <v>0</v>
      </c>
      <c r="AI23" s="234"/>
      <c r="AJ23" s="234"/>
      <c r="AK23" s="234"/>
      <c r="AL23" s="280"/>
      <c r="AM23" s="280"/>
      <c r="AN23" s="280"/>
      <c r="AO23" s="280"/>
      <c r="AP23" s="280"/>
      <c r="AQ23" s="280"/>
      <c r="AR23" s="280"/>
      <c r="AS23" s="280"/>
    </row>
    <row r="24" spans="1:45" s="282" customFormat="1" ht="9.4499999999999993" customHeight="1" x14ac:dyDescent="0.25">
      <c r="A24" s="314"/>
      <c r="B24" s="276"/>
      <c r="C24" s="276"/>
      <c r="D24" s="276"/>
      <c r="E24" s="286"/>
      <c r="F24" s="276"/>
      <c r="G24" s="276"/>
      <c r="H24" s="276"/>
      <c r="I24" s="276"/>
      <c r="J24" s="286"/>
      <c r="K24" s="276"/>
      <c r="L24" s="316"/>
      <c r="M24" s="276"/>
      <c r="N24" s="278"/>
      <c r="O24" s="278"/>
      <c r="P24" s="278"/>
      <c r="Q24" s="278"/>
      <c r="R24" s="279"/>
      <c r="S24" s="280"/>
      <c r="T24" s="280"/>
      <c r="U24" s="280"/>
      <c r="V24" s="280"/>
      <c r="W24" s="280"/>
      <c r="X24" s="280"/>
      <c r="Y24" s="236"/>
      <c r="Z24" s="236"/>
      <c r="AA24" s="236" t="s">
        <v>89</v>
      </c>
      <c r="AB24" s="237">
        <v>6</v>
      </c>
      <c r="AC24" s="237">
        <v>3</v>
      </c>
      <c r="AD24" s="237">
        <v>1</v>
      </c>
      <c r="AE24" s="237">
        <v>0</v>
      </c>
      <c r="AF24" s="237">
        <v>0</v>
      </c>
      <c r="AG24" s="237">
        <v>0</v>
      </c>
      <c r="AH24" s="237">
        <v>0</v>
      </c>
      <c r="AI24" s="234"/>
      <c r="AJ24" s="234"/>
      <c r="AK24" s="234"/>
      <c r="AL24" s="280"/>
      <c r="AM24" s="280"/>
      <c r="AN24" s="280"/>
      <c r="AO24" s="280"/>
      <c r="AP24" s="280"/>
      <c r="AQ24" s="280"/>
      <c r="AR24" s="280"/>
      <c r="AS24" s="280"/>
    </row>
    <row r="25" spans="1:45" s="282" customFormat="1" ht="9.4499999999999993" customHeight="1" x14ac:dyDescent="0.25">
      <c r="A25" s="314"/>
      <c r="B25" s="286"/>
      <c r="C25" s="286"/>
      <c r="D25" s="286"/>
      <c r="E25" s="286"/>
      <c r="F25" s="276"/>
      <c r="G25" s="276"/>
      <c r="H25" s="280"/>
      <c r="I25" s="276"/>
      <c r="J25" s="286"/>
      <c r="K25" s="315"/>
      <c r="L25" s="286"/>
      <c r="M25" s="276"/>
      <c r="N25" s="278"/>
      <c r="O25" s="278"/>
      <c r="P25" s="278"/>
      <c r="Q25" s="278"/>
      <c r="R25" s="279"/>
      <c r="S25" s="280"/>
      <c r="T25" s="280"/>
      <c r="U25" s="280"/>
      <c r="V25" s="280"/>
      <c r="W25" s="280"/>
      <c r="X25" s="280"/>
      <c r="Y25" s="236"/>
      <c r="Z25" s="236"/>
      <c r="AA25" s="236" t="s">
        <v>94</v>
      </c>
      <c r="AB25" s="237">
        <v>3</v>
      </c>
      <c r="AC25" s="237">
        <v>2</v>
      </c>
      <c r="AD25" s="237">
        <v>1</v>
      </c>
      <c r="AE25" s="237">
        <v>0</v>
      </c>
      <c r="AF25" s="237">
        <v>0</v>
      </c>
      <c r="AG25" s="237">
        <v>0</v>
      </c>
      <c r="AH25" s="237">
        <v>0</v>
      </c>
      <c r="AI25" s="234"/>
      <c r="AJ25" s="234"/>
      <c r="AK25" s="234"/>
      <c r="AL25" s="280"/>
      <c r="AM25" s="280"/>
      <c r="AN25" s="280"/>
      <c r="AO25" s="280"/>
      <c r="AP25" s="280"/>
      <c r="AQ25" s="280"/>
      <c r="AR25" s="280"/>
      <c r="AS25" s="280"/>
    </row>
    <row r="26" spans="1:45" s="282" customFormat="1" ht="9.4499999999999993" customHeight="1" x14ac:dyDescent="0.25">
      <c r="A26" s="314"/>
      <c r="B26" s="276"/>
      <c r="C26" s="276"/>
      <c r="D26" s="276"/>
      <c r="E26" s="286"/>
      <c r="F26" s="276"/>
      <c r="G26" s="276"/>
      <c r="H26" s="276"/>
      <c r="I26" s="276"/>
      <c r="J26" s="286"/>
      <c r="K26" s="276"/>
      <c r="L26" s="276"/>
      <c r="M26" s="276"/>
      <c r="N26" s="278"/>
      <c r="O26" s="278"/>
      <c r="P26" s="278"/>
      <c r="Q26" s="278"/>
      <c r="R26" s="279"/>
      <c r="S26" s="317"/>
      <c r="T26" s="280"/>
      <c r="U26" s="280"/>
      <c r="V26" s="280"/>
      <c r="W26" s="280"/>
      <c r="X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234"/>
      <c r="AJ26" s="234"/>
      <c r="AK26" s="234"/>
      <c r="AL26" s="280"/>
      <c r="AM26" s="280"/>
      <c r="AN26" s="280"/>
      <c r="AO26" s="280"/>
      <c r="AP26" s="280"/>
      <c r="AQ26" s="280"/>
      <c r="AR26" s="280"/>
      <c r="AS26" s="280"/>
    </row>
    <row r="27" spans="1:45" s="282" customFormat="1" ht="9.4499999999999993" customHeight="1" x14ac:dyDescent="0.25">
      <c r="A27" s="314"/>
      <c r="B27" s="286"/>
      <c r="C27" s="286"/>
      <c r="D27" s="286"/>
      <c r="E27" s="286"/>
      <c r="F27" s="276"/>
      <c r="G27" s="276"/>
      <c r="H27" s="280"/>
      <c r="I27" s="315"/>
      <c r="J27" s="286"/>
      <c r="K27" s="276"/>
      <c r="L27" s="276"/>
      <c r="M27" s="276"/>
      <c r="N27" s="278"/>
      <c r="O27" s="278"/>
      <c r="P27" s="278"/>
      <c r="Q27" s="278"/>
      <c r="R27" s="279"/>
      <c r="S27" s="280"/>
      <c r="T27" s="280"/>
      <c r="U27" s="280"/>
      <c r="V27" s="280"/>
      <c r="W27" s="280"/>
      <c r="X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234"/>
      <c r="AJ27" s="234"/>
      <c r="AK27" s="234"/>
      <c r="AL27" s="280"/>
      <c r="AM27" s="280"/>
      <c r="AN27" s="280"/>
      <c r="AO27" s="280"/>
      <c r="AP27" s="280"/>
      <c r="AQ27" s="280"/>
      <c r="AR27" s="280"/>
      <c r="AS27" s="280"/>
    </row>
    <row r="28" spans="1:45" s="282" customFormat="1" ht="9.4499999999999993" customHeight="1" x14ac:dyDescent="0.25">
      <c r="A28" s="314"/>
      <c r="B28" s="276"/>
      <c r="C28" s="276"/>
      <c r="D28" s="276"/>
      <c r="E28" s="286"/>
      <c r="F28" s="276"/>
      <c r="G28" s="276"/>
      <c r="H28" s="276"/>
      <c r="I28" s="276"/>
      <c r="J28" s="286"/>
      <c r="K28" s="276"/>
      <c r="L28" s="276"/>
      <c r="M28" s="276"/>
      <c r="N28" s="278"/>
      <c r="O28" s="278"/>
      <c r="P28" s="278"/>
      <c r="Q28" s="278"/>
      <c r="R28" s="279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</row>
    <row r="29" spans="1:45" s="282" customFormat="1" ht="9.4499999999999993" customHeight="1" x14ac:dyDescent="0.25">
      <c r="A29" s="314"/>
      <c r="B29" s="286"/>
      <c r="C29" s="286"/>
      <c r="D29" s="286"/>
      <c r="E29" s="286"/>
      <c r="F29" s="276"/>
      <c r="G29" s="276"/>
      <c r="H29" s="280"/>
      <c r="I29" s="276"/>
      <c r="J29" s="286"/>
      <c r="K29" s="276"/>
      <c r="L29" s="276"/>
      <c r="M29" s="315"/>
      <c r="N29" s="286"/>
      <c r="O29" s="276"/>
      <c r="P29" s="278"/>
      <c r="Q29" s="278"/>
      <c r="R29" s="279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</row>
    <row r="30" spans="1:45" s="282" customFormat="1" ht="9.4499999999999993" customHeight="1" x14ac:dyDescent="0.25">
      <c r="A30" s="314"/>
      <c r="B30" s="276"/>
      <c r="C30" s="276"/>
      <c r="D30" s="276"/>
      <c r="E30" s="286"/>
      <c r="F30" s="276"/>
      <c r="G30" s="276"/>
      <c r="H30" s="276"/>
      <c r="I30" s="276"/>
      <c r="J30" s="286"/>
      <c r="K30" s="276"/>
      <c r="L30" s="276"/>
      <c r="M30" s="276"/>
      <c r="N30" s="278"/>
      <c r="O30" s="276"/>
      <c r="P30" s="278"/>
      <c r="Q30" s="278"/>
      <c r="R30" s="279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</row>
    <row r="31" spans="1:45" s="282" customFormat="1" ht="9.4499999999999993" customHeight="1" x14ac:dyDescent="0.25">
      <c r="A31" s="314"/>
      <c r="B31" s="286"/>
      <c r="C31" s="286"/>
      <c r="D31" s="286"/>
      <c r="E31" s="286"/>
      <c r="F31" s="276"/>
      <c r="G31" s="276"/>
      <c r="H31" s="280"/>
      <c r="I31" s="315"/>
      <c r="J31" s="286"/>
      <c r="K31" s="276"/>
      <c r="L31" s="276"/>
      <c r="M31" s="276"/>
      <c r="N31" s="278"/>
      <c r="O31" s="278"/>
      <c r="P31" s="278"/>
      <c r="Q31" s="278"/>
      <c r="R31" s="279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</row>
    <row r="32" spans="1:45" s="282" customFormat="1" ht="9.4499999999999993" customHeight="1" x14ac:dyDescent="0.25">
      <c r="A32" s="314"/>
      <c r="B32" s="276"/>
      <c r="C32" s="276"/>
      <c r="D32" s="276"/>
      <c r="E32" s="286"/>
      <c r="F32" s="276"/>
      <c r="G32" s="276"/>
      <c r="H32" s="276"/>
      <c r="I32" s="276"/>
      <c r="J32" s="286"/>
      <c r="K32" s="276"/>
      <c r="L32" s="316"/>
      <c r="M32" s="276"/>
      <c r="N32" s="278"/>
      <c r="O32" s="278"/>
      <c r="P32" s="278"/>
      <c r="Q32" s="278"/>
      <c r="R32" s="279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</row>
    <row r="33" spans="1:45" s="282" customFormat="1" ht="9.4499999999999993" customHeight="1" x14ac:dyDescent="0.25">
      <c r="A33" s="314"/>
      <c r="B33" s="286"/>
      <c r="C33" s="286"/>
      <c r="D33" s="286"/>
      <c r="E33" s="286"/>
      <c r="F33" s="276"/>
      <c r="G33" s="276"/>
      <c r="H33" s="280"/>
      <c r="I33" s="276"/>
      <c r="J33" s="286"/>
      <c r="K33" s="315"/>
      <c r="L33" s="286"/>
      <c r="M33" s="276"/>
      <c r="N33" s="278"/>
      <c r="O33" s="278"/>
      <c r="P33" s="278"/>
      <c r="Q33" s="278"/>
      <c r="R33" s="279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</row>
    <row r="34" spans="1:45" s="282" customFormat="1" ht="9.4499999999999993" customHeight="1" x14ac:dyDescent="0.25">
      <c r="A34" s="314"/>
      <c r="B34" s="276"/>
      <c r="C34" s="276"/>
      <c r="D34" s="276"/>
      <c r="E34" s="286"/>
      <c r="F34" s="276"/>
      <c r="G34" s="276"/>
      <c r="H34" s="276"/>
      <c r="I34" s="276"/>
      <c r="J34" s="286"/>
      <c r="K34" s="276"/>
      <c r="L34" s="276"/>
      <c r="M34" s="276"/>
      <c r="N34" s="278"/>
      <c r="O34" s="278"/>
      <c r="P34" s="278"/>
      <c r="Q34" s="278"/>
      <c r="R34" s="279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</row>
    <row r="35" spans="1:45" s="282" customFormat="1" ht="9.4499999999999993" customHeight="1" x14ac:dyDescent="0.25">
      <c r="A35" s="314"/>
      <c r="B35" s="286"/>
      <c r="C35" s="286"/>
      <c r="D35" s="286"/>
      <c r="E35" s="286"/>
      <c r="F35" s="276"/>
      <c r="G35" s="276"/>
      <c r="H35" s="280"/>
      <c r="I35" s="315"/>
      <c r="J35" s="286"/>
      <c r="K35" s="276"/>
      <c r="L35" s="276"/>
      <c r="M35" s="276"/>
      <c r="N35" s="278"/>
      <c r="O35" s="278"/>
      <c r="P35" s="278"/>
      <c r="Q35" s="278"/>
      <c r="R35" s="279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</row>
    <row r="36" spans="1:45" s="282" customFormat="1" ht="9.4499999999999993" customHeight="1" x14ac:dyDescent="0.25">
      <c r="A36" s="313"/>
      <c r="B36" s="276"/>
      <c r="C36" s="276"/>
      <c r="D36" s="276"/>
      <c r="E36" s="286"/>
      <c r="F36" s="276"/>
      <c r="G36" s="276"/>
      <c r="H36" s="276"/>
      <c r="I36" s="276"/>
      <c r="J36" s="286"/>
      <c r="K36" s="276"/>
      <c r="L36" s="276"/>
      <c r="M36" s="276"/>
      <c r="N36" s="276"/>
      <c r="O36" s="276"/>
      <c r="P36" s="276"/>
      <c r="Q36" s="278"/>
      <c r="R36" s="279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</row>
    <row r="37" spans="1:45" s="282" customFormat="1" ht="9.4499999999999993" customHeight="1" x14ac:dyDescent="0.25">
      <c r="A37" s="314"/>
      <c r="B37" s="286"/>
      <c r="C37" s="286"/>
      <c r="D37" s="286"/>
      <c r="E37" s="286"/>
      <c r="F37" s="318"/>
      <c r="G37" s="318"/>
      <c r="H37" s="319"/>
      <c r="I37" s="275"/>
      <c r="J37" s="298"/>
      <c r="K37" s="275"/>
      <c r="L37" s="275"/>
      <c r="M37" s="275"/>
      <c r="N37" s="301"/>
      <c r="O37" s="301"/>
      <c r="P37" s="301"/>
      <c r="Q37" s="278"/>
      <c r="R37" s="279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</row>
    <row r="38" spans="1:45" s="282" customFormat="1" ht="9.4499999999999993" customHeight="1" x14ac:dyDescent="0.25">
      <c r="A38" s="313"/>
      <c r="B38" s="276"/>
      <c r="C38" s="276"/>
      <c r="D38" s="276"/>
      <c r="E38" s="286"/>
      <c r="F38" s="276"/>
      <c r="G38" s="276"/>
      <c r="H38" s="276"/>
      <c r="I38" s="276"/>
      <c r="J38" s="286"/>
      <c r="K38" s="276"/>
      <c r="L38" s="276"/>
      <c r="M38" s="276"/>
      <c r="N38" s="278"/>
      <c r="O38" s="278"/>
      <c r="P38" s="278"/>
      <c r="Q38" s="278"/>
      <c r="R38" s="279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</row>
    <row r="39" spans="1:45" s="282" customFormat="1" ht="9.4499999999999993" customHeight="1" x14ac:dyDescent="0.25">
      <c r="A39" s="314"/>
      <c r="B39" s="286"/>
      <c r="C39" s="286"/>
      <c r="D39" s="286"/>
      <c r="E39" s="286"/>
      <c r="F39" s="276"/>
      <c r="G39" s="276"/>
      <c r="H39" s="280"/>
      <c r="I39" s="315"/>
      <c r="J39" s="286"/>
      <c r="K39" s="276"/>
      <c r="L39" s="276"/>
      <c r="M39" s="276"/>
      <c r="N39" s="278"/>
      <c r="O39" s="278"/>
      <c r="P39" s="278"/>
      <c r="Q39" s="278"/>
      <c r="R39" s="279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</row>
    <row r="40" spans="1:45" s="282" customFormat="1" ht="9.4499999999999993" customHeight="1" x14ac:dyDescent="0.25">
      <c r="A40" s="314"/>
      <c r="B40" s="276"/>
      <c r="C40" s="276"/>
      <c r="D40" s="276"/>
      <c r="E40" s="286"/>
      <c r="F40" s="276"/>
      <c r="G40" s="276"/>
      <c r="H40" s="276"/>
      <c r="I40" s="276"/>
      <c r="J40" s="286"/>
      <c r="K40" s="276"/>
      <c r="L40" s="316"/>
      <c r="M40" s="276"/>
      <c r="N40" s="278"/>
      <c r="O40" s="278"/>
      <c r="P40" s="278"/>
      <c r="Q40" s="278"/>
      <c r="R40" s="279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</row>
    <row r="41" spans="1:45" s="282" customFormat="1" ht="9.4499999999999993" customHeight="1" x14ac:dyDescent="0.25">
      <c r="A41" s="314"/>
      <c r="B41" s="286"/>
      <c r="C41" s="286"/>
      <c r="D41" s="286"/>
      <c r="E41" s="286"/>
      <c r="F41" s="276"/>
      <c r="G41" s="276"/>
      <c r="H41" s="280"/>
      <c r="I41" s="276"/>
      <c r="J41" s="286"/>
      <c r="K41" s="315"/>
      <c r="L41" s="286"/>
      <c r="M41" s="276"/>
      <c r="N41" s="278"/>
      <c r="O41" s="278"/>
      <c r="P41" s="278"/>
      <c r="Q41" s="278"/>
      <c r="R41" s="279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</row>
    <row r="42" spans="1:45" s="282" customFormat="1" ht="9.4499999999999993" customHeight="1" x14ac:dyDescent="0.25">
      <c r="A42" s="314"/>
      <c r="B42" s="276"/>
      <c r="C42" s="276"/>
      <c r="D42" s="276"/>
      <c r="E42" s="286"/>
      <c r="F42" s="276"/>
      <c r="G42" s="276"/>
      <c r="H42" s="276"/>
      <c r="I42" s="276"/>
      <c r="J42" s="286"/>
      <c r="K42" s="276"/>
      <c r="L42" s="276"/>
      <c r="M42" s="276"/>
      <c r="N42" s="278"/>
      <c r="O42" s="278"/>
      <c r="P42" s="278"/>
      <c r="Q42" s="278"/>
      <c r="R42" s="279"/>
      <c r="S42" s="317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</row>
    <row r="43" spans="1:45" s="282" customFormat="1" ht="9.4499999999999993" customHeight="1" x14ac:dyDescent="0.25">
      <c r="A43" s="314"/>
      <c r="B43" s="286"/>
      <c r="C43" s="286"/>
      <c r="D43" s="286"/>
      <c r="E43" s="286"/>
      <c r="F43" s="276"/>
      <c r="G43" s="276"/>
      <c r="H43" s="280"/>
      <c r="I43" s="315"/>
      <c r="J43" s="286"/>
      <c r="K43" s="276"/>
      <c r="L43" s="276"/>
      <c r="M43" s="276"/>
      <c r="N43" s="278"/>
      <c r="O43" s="278"/>
      <c r="P43" s="278"/>
      <c r="Q43" s="278"/>
      <c r="R43" s="279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</row>
    <row r="44" spans="1:45" s="282" customFormat="1" ht="9.4499999999999993" customHeight="1" x14ac:dyDescent="0.25">
      <c r="A44" s="314"/>
      <c r="B44" s="276"/>
      <c r="C44" s="276"/>
      <c r="D44" s="276"/>
      <c r="E44" s="286"/>
      <c r="F44" s="276"/>
      <c r="G44" s="276"/>
      <c r="H44" s="276"/>
      <c r="I44" s="276"/>
      <c r="J44" s="286"/>
      <c r="K44" s="276"/>
      <c r="L44" s="276"/>
      <c r="M44" s="276"/>
      <c r="N44" s="278"/>
      <c r="O44" s="278"/>
      <c r="P44" s="278"/>
      <c r="Q44" s="278"/>
      <c r="R44" s="279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</row>
    <row r="45" spans="1:45" s="282" customFormat="1" ht="9.4499999999999993" customHeight="1" x14ac:dyDescent="0.25">
      <c r="A45" s="314"/>
      <c r="B45" s="286"/>
      <c r="C45" s="286"/>
      <c r="D45" s="286"/>
      <c r="E45" s="286"/>
      <c r="F45" s="276"/>
      <c r="G45" s="276"/>
      <c r="H45" s="280"/>
      <c r="I45" s="276"/>
      <c r="J45" s="286"/>
      <c r="K45" s="276"/>
      <c r="L45" s="276"/>
      <c r="M45" s="315"/>
      <c r="N45" s="286"/>
      <c r="O45" s="276"/>
      <c r="P45" s="278"/>
      <c r="Q45" s="278"/>
      <c r="R45" s="279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</row>
    <row r="46" spans="1:45" s="282" customFormat="1" ht="9.4499999999999993" customHeight="1" x14ac:dyDescent="0.25">
      <c r="A46" s="314"/>
      <c r="B46" s="276"/>
      <c r="C46" s="276"/>
      <c r="D46" s="276"/>
      <c r="E46" s="286"/>
      <c r="F46" s="276"/>
      <c r="G46" s="276"/>
      <c r="H46" s="276"/>
      <c r="I46" s="276"/>
      <c r="J46" s="286"/>
      <c r="K46" s="276"/>
      <c r="L46" s="276"/>
      <c r="M46" s="276"/>
      <c r="N46" s="278"/>
      <c r="O46" s="276"/>
      <c r="P46" s="278"/>
      <c r="Q46" s="278"/>
      <c r="R46" s="279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</row>
    <row r="47" spans="1:45" s="282" customFormat="1" ht="9.4499999999999993" customHeight="1" x14ac:dyDescent="0.25">
      <c r="A47" s="314"/>
      <c r="B47" s="286"/>
      <c r="C47" s="286"/>
      <c r="D47" s="286"/>
      <c r="E47" s="286"/>
      <c r="F47" s="276"/>
      <c r="G47" s="276"/>
      <c r="H47" s="280"/>
      <c r="I47" s="315"/>
      <c r="J47" s="286"/>
      <c r="K47" s="276"/>
      <c r="L47" s="276"/>
      <c r="M47" s="276"/>
      <c r="N47" s="278"/>
      <c r="O47" s="278"/>
      <c r="P47" s="278"/>
      <c r="Q47" s="278"/>
      <c r="R47" s="279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</row>
    <row r="48" spans="1:45" s="282" customFormat="1" ht="9.4499999999999993" customHeight="1" x14ac:dyDescent="0.25">
      <c r="A48" s="314"/>
      <c r="B48" s="276"/>
      <c r="C48" s="276"/>
      <c r="D48" s="276"/>
      <c r="E48" s="286"/>
      <c r="F48" s="276"/>
      <c r="G48" s="276"/>
      <c r="H48" s="276"/>
      <c r="I48" s="276"/>
      <c r="J48" s="286"/>
      <c r="K48" s="276"/>
      <c r="L48" s="316"/>
      <c r="M48" s="276"/>
      <c r="N48" s="278"/>
      <c r="O48" s="278"/>
      <c r="P48" s="278"/>
      <c r="Q48" s="278"/>
      <c r="R48" s="279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</row>
    <row r="49" spans="1:45" s="282" customFormat="1" ht="9.4499999999999993" customHeight="1" x14ac:dyDescent="0.25">
      <c r="A49" s="314"/>
      <c r="B49" s="286"/>
      <c r="C49" s="286"/>
      <c r="D49" s="286"/>
      <c r="E49" s="286"/>
      <c r="F49" s="276"/>
      <c r="G49" s="276"/>
      <c r="H49" s="280"/>
      <c r="I49" s="276"/>
      <c r="J49" s="286"/>
      <c r="K49" s="315"/>
      <c r="L49" s="286"/>
      <c r="M49" s="276"/>
      <c r="N49" s="278"/>
      <c r="O49" s="278"/>
      <c r="P49" s="278"/>
      <c r="Q49" s="278"/>
      <c r="R49" s="279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</row>
    <row r="50" spans="1:45" s="282" customFormat="1" ht="9.4499999999999993" customHeight="1" x14ac:dyDescent="0.25">
      <c r="A50" s="314"/>
      <c r="B50" s="276"/>
      <c r="C50" s="276"/>
      <c r="D50" s="276"/>
      <c r="E50" s="286"/>
      <c r="F50" s="276"/>
      <c r="G50" s="276"/>
      <c r="H50" s="276"/>
      <c r="I50" s="276"/>
      <c r="J50" s="286"/>
      <c r="K50" s="276"/>
      <c r="L50" s="276"/>
      <c r="M50" s="276"/>
      <c r="N50" s="278"/>
      <c r="O50" s="278"/>
      <c r="P50" s="278"/>
      <c r="Q50" s="278"/>
      <c r="R50" s="279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</row>
    <row r="51" spans="1:45" s="282" customFormat="1" ht="9.4499999999999993" customHeight="1" x14ac:dyDescent="0.25">
      <c r="A51" s="314"/>
      <c r="B51" s="286"/>
      <c r="C51" s="286"/>
      <c r="D51" s="286"/>
      <c r="E51" s="286"/>
      <c r="F51" s="276"/>
      <c r="G51" s="276"/>
      <c r="H51" s="280"/>
      <c r="I51" s="315"/>
      <c r="J51" s="286"/>
      <c r="K51" s="276"/>
      <c r="L51" s="276"/>
      <c r="M51" s="276"/>
      <c r="N51" s="278"/>
      <c r="O51" s="278"/>
      <c r="P51" s="278"/>
      <c r="Q51" s="278"/>
      <c r="R51" s="279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</row>
    <row r="52" spans="1:45" s="282" customFormat="1" ht="9.4499999999999993" customHeight="1" x14ac:dyDescent="0.25">
      <c r="A52" s="313"/>
      <c r="B52" s="276"/>
      <c r="C52" s="276"/>
      <c r="D52" s="276"/>
      <c r="E52" s="286"/>
      <c r="F52" s="320"/>
      <c r="G52" s="320"/>
      <c r="H52" s="320"/>
      <c r="I52" s="320"/>
      <c r="J52" s="286"/>
      <c r="K52" s="276"/>
      <c r="L52" s="276"/>
      <c r="M52" s="276"/>
      <c r="N52" s="276"/>
      <c r="O52" s="276"/>
      <c r="P52" s="276"/>
      <c r="Q52" s="278"/>
      <c r="R52" s="279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</row>
    <row r="53" spans="1:45" s="327" customFormat="1" ht="6.75" customHeight="1" x14ac:dyDescent="0.25">
      <c r="A53" s="321"/>
      <c r="B53" s="321"/>
      <c r="C53" s="321"/>
      <c r="D53" s="321"/>
      <c r="E53" s="321"/>
      <c r="F53" s="322"/>
      <c r="G53" s="322"/>
      <c r="H53" s="322"/>
      <c r="I53" s="322"/>
      <c r="J53" s="323"/>
      <c r="K53" s="324"/>
      <c r="L53" s="325"/>
      <c r="M53" s="324"/>
      <c r="N53" s="325"/>
      <c r="O53" s="324"/>
      <c r="P53" s="325"/>
      <c r="Q53" s="324"/>
      <c r="R53" s="325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280"/>
      <c r="AJ53" s="280"/>
      <c r="AK53" s="280"/>
      <c r="AL53" s="326"/>
      <c r="AM53" s="326"/>
      <c r="AN53" s="326"/>
      <c r="AO53" s="326"/>
      <c r="AP53" s="326"/>
      <c r="AQ53" s="326"/>
      <c r="AR53" s="326"/>
      <c r="AS53" s="326"/>
    </row>
    <row r="54" spans="1:45" s="340" customFormat="1" ht="10.5" customHeight="1" x14ac:dyDescent="0.25">
      <c r="A54" s="328" t="s">
        <v>32</v>
      </c>
      <c r="B54" s="329"/>
      <c r="C54" s="329"/>
      <c r="D54" s="330"/>
      <c r="E54" s="331" t="s">
        <v>3</v>
      </c>
      <c r="F54" s="332" t="s">
        <v>34</v>
      </c>
      <c r="G54" s="331"/>
      <c r="H54" s="333"/>
      <c r="I54" s="334"/>
      <c r="J54" s="331" t="s">
        <v>3</v>
      </c>
      <c r="K54" s="332" t="s">
        <v>41</v>
      </c>
      <c r="L54" s="335"/>
      <c r="M54" s="332" t="s">
        <v>42</v>
      </c>
      <c r="N54" s="336"/>
      <c r="O54" s="337" t="s">
        <v>43</v>
      </c>
      <c r="P54" s="337"/>
      <c r="Q54" s="338"/>
      <c r="R54" s="339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2"/>
      <c r="AJ54" s="342"/>
      <c r="AK54" s="342"/>
      <c r="AL54" s="341"/>
      <c r="AM54" s="341"/>
      <c r="AN54" s="341"/>
      <c r="AO54" s="341"/>
      <c r="AP54" s="341"/>
      <c r="AQ54" s="341"/>
      <c r="AR54" s="341"/>
      <c r="AS54" s="341"/>
    </row>
    <row r="55" spans="1:45" s="340" customFormat="1" ht="9" customHeight="1" x14ac:dyDescent="0.25">
      <c r="A55" s="343" t="s">
        <v>33</v>
      </c>
      <c r="B55" s="344"/>
      <c r="C55" s="345"/>
      <c r="D55" s="346"/>
      <c r="E55" s="347">
        <v>1</v>
      </c>
      <c r="F55" s="341" t="str">
        <f>IF(E55&gt;$R$62,,UPPER(VLOOKUP(E55,'[11]1MD ELO'!$A$7:$Q$134,2)))</f>
        <v/>
      </c>
      <c r="G55" s="347"/>
      <c r="H55" s="341"/>
      <c r="I55" s="348"/>
      <c r="J55" s="349" t="s">
        <v>4</v>
      </c>
      <c r="K55" s="350"/>
      <c r="L55" s="351"/>
      <c r="M55" s="350"/>
      <c r="N55" s="352"/>
      <c r="O55" s="353" t="s">
        <v>35</v>
      </c>
      <c r="P55" s="354"/>
      <c r="Q55" s="354"/>
      <c r="R55" s="352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2"/>
      <c r="AJ55" s="342"/>
      <c r="AK55" s="342"/>
      <c r="AL55" s="341"/>
      <c r="AM55" s="341"/>
      <c r="AN55" s="341"/>
      <c r="AO55" s="341"/>
      <c r="AP55" s="341"/>
      <c r="AQ55" s="341"/>
      <c r="AR55" s="341"/>
      <c r="AS55" s="341"/>
    </row>
    <row r="56" spans="1:45" s="340" customFormat="1" ht="9" customHeight="1" x14ac:dyDescent="0.25">
      <c r="A56" s="355" t="s">
        <v>40</v>
      </c>
      <c r="B56" s="356"/>
      <c r="C56" s="357"/>
      <c r="D56" s="358"/>
      <c r="E56" s="347">
        <v>2</v>
      </c>
      <c r="F56" s="341" t="str">
        <f>IF(E56&gt;$R$62,,UPPER(VLOOKUP(E56,'[11]1MD ELO'!$A$7:$Q$134,2)))</f>
        <v/>
      </c>
      <c r="G56" s="347"/>
      <c r="H56" s="341"/>
      <c r="I56" s="348"/>
      <c r="J56" s="349" t="s">
        <v>5</v>
      </c>
      <c r="K56" s="350"/>
      <c r="L56" s="351"/>
      <c r="M56" s="350"/>
      <c r="N56" s="352"/>
      <c r="O56" s="359"/>
      <c r="P56" s="360"/>
      <c r="Q56" s="356"/>
      <c r="R56" s="36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2"/>
      <c r="AJ56" s="342"/>
      <c r="AK56" s="342"/>
      <c r="AL56" s="341"/>
      <c r="AM56" s="341"/>
      <c r="AN56" s="341"/>
      <c r="AO56" s="341"/>
      <c r="AP56" s="341"/>
      <c r="AQ56" s="341"/>
      <c r="AR56" s="341"/>
      <c r="AS56" s="341"/>
    </row>
    <row r="57" spans="1:45" s="340" customFormat="1" ht="9" customHeight="1" x14ac:dyDescent="0.25">
      <c r="A57" s="362"/>
      <c r="B57" s="363"/>
      <c r="C57" s="364"/>
      <c r="D57" s="365"/>
      <c r="E57" s="347"/>
      <c r="F57" s="341"/>
      <c r="G57" s="347"/>
      <c r="H57" s="341"/>
      <c r="I57" s="348"/>
      <c r="J57" s="349" t="s">
        <v>6</v>
      </c>
      <c r="K57" s="350"/>
      <c r="L57" s="351"/>
      <c r="M57" s="350"/>
      <c r="N57" s="352"/>
      <c r="O57" s="353" t="s">
        <v>36</v>
      </c>
      <c r="P57" s="354"/>
      <c r="Q57" s="354"/>
      <c r="R57" s="352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2"/>
      <c r="AJ57" s="342"/>
      <c r="AK57" s="342"/>
      <c r="AL57" s="341"/>
      <c r="AM57" s="341"/>
      <c r="AN57" s="341"/>
      <c r="AO57" s="341"/>
      <c r="AP57" s="341"/>
      <c r="AQ57" s="341"/>
      <c r="AR57" s="341"/>
      <c r="AS57" s="341"/>
    </row>
    <row r="58" spans="1:45" s="340" customFormat="1" ht="9" customHeight="1" x14ac:dyDescent="0.25">
      <c r="A58" s="366"/>
      <c r="B58" s="252"/>
      <c r="C58" s="252"/>
      <c r="D58" s="367"/>
      <c r="E58" s="347"/>
      <c r="F58" s="341"/>
      <c r="G58" s="347"/>
      <c r="H58" s="341"/>
      <c r="I58" s="348"/>
      <c r="J58" s="349" t="s">
        <v>7</v>
      </c>
      <c r="K58" s="350"/>
      <c r="L58" s="351"/>
      <c r="M58" s="350"/>
      <c r="N58" s="352"/>
      <c r="O58" s="350"/>
      <c r="P58" s="351"/>
      <c r="Q58" s="350"/>
      <c r="R58" s="352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2"/>
      <c r="AJ58" s="342"/>
      <c r="AK58" s="342"/>
      <c r="AL58" s="341"/>
      <c r="AM58" s="341"/>
      <c r="AN58" s="341"/>
      <c r="AO58" s="341"/>
      <c r="AP58" s="341"/>
      <c r="AQ58" s="341"/>
      <c r="AR58" s="341"/>
      <c r="AS58" s="341"/>
    </row>
    <row r="59" spans="1:45" s="340" customFormat="1" ht="9" customHeight="1" x14ac:dyDescent="0.25">
      <c r="A59" s="368"/>
      <c r="B59" s="369"/>
      <c r="C59" s="369"/>
      <c r="D59" s="370"/>
      <c r="E59" s="347"/>
      <c r="F59" s="341"/>
      <c r="G59" s="347"/>
      <c r="H59" s="341"/>
      <c r="I59" s="348"/>
      <c r="J59" s="349" t="s">
        <v>8</v>
      </c>
      <c r="K59" s="350"/>
      <c r="L59" s="351"/>
      <c r="M59" s="350"/>
      <c r="N59" s="352"/>
      <c r="O59" s="356"/>
      <c r="P59" s="360"/>
      <c r="Q59" s="356"/>
      <c r="R59" s="36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J59" s="342"/>
      <c r="AK59" s="342"/>
      <c r="AL59" s="341"/>
      <c r="AM59" s="341"/>
      <c r="AN59" s="341"/>
      <c r="AO59" s="341"/>
      <c r="AP59" s="341"/>
      <c r="AQ59" s="341"/>
      <c r="AR59" s="341"/>
      <c r="AS59" s="341"/>
    </row>
    <row r="60" spans="1:45" s="340" customFormat="1" ht="9" customHeight="1" x14ac:dyDescent="0.25">
      <c r="A60" s="371"/>
      <c r="B60" s="372"/>
      <c r="C60" s="252"/>
      <c r="D60" s="367"/>
      <c r="E60" s="347"/>
      <c r="F60" s="341"/>
      <c r="G60" s="347"/>
      <c r="H60" s="341"/>
      <c r="I60" s="348"/>
      <c r="J60" s="349" t="s">
        <v>9</v>
      </c>
      <c r="K60" s="350"/>
      <c r="L60" s="351"/>
      <c r="M60" s="350"/>
      <c r="N60" s="352"/>
      <c r="O60" s="353" t="s">
        <v>28</v>
      </c>
      <c r="P60" s="354"/>
      <c r="Q60" s="354"/>
      <c r="R60" s="352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2"/>
      <c r="AJ60" s="342"/>
      <c r="AK60" s="342"/>
      <c r="AL60" s="341"/>
      <c r="AM60" s="341"/>
      <c r="AN60" s="341"/>
      <c r="AO60" s="341"/>
      <c r="AP60" s="341"/>
      <c r="AQ60" s="341"/>
      <c r="AR60" s="341"/>
      <c r="AS60" s="341"/>
    </row>
    <row r="61" spans="1:45" s="340" customFormat="1" ht="9" customHeight="1" x14ac:dyDescent="0.25">
      <c r="A61" s="371"/>
      <c r="B61" s="372"/>
      <c r="C61" s="373"/>
      <c r="D61" s="374"/>
      <c r="E61" s="347"/>
      <c r="F61" s="341"/>
      <c r="G61" s="347"/>
      <c r="H61" s="341"/>
      <c r="I61" s="348"/>
      <c r="J61" s="349" t="s">
        <v>10</v>
      </c>
      <c r="K61" s="350"/>
      <c r="L61" s="351"/>
      <c r="M61" s="350"/>
      <c r="N61" s="352"/>
      <c r="O61" s="350"/>
      <c r="P61" s="351"/>
      <c r="Q61" s="350"/>
      <c r="R61" s="352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2"/>
      <c r="AJ61" s="342"/>
      <c r="AK61" s="342"/>
      <c r="AL61" s="341"/>
      <c r="AM61" s="341"/>
      <c r="AN61" s="341"/>
      <c r="AO61" s="341"/>
      <c r="AP61" s="341"/>
      <c r="AQ61" s="341"/>
      <c r="AR61" s="341"/>
      <c r="AS61" s="341"/>
    </row>
    <row r="62" spans="1:45" s="340" customFormat="1" ht="9" customHeight="1" x14ac:dyDescent="0.25">
      <c r="A62" s="375"/>
      <c r="B62" s="376"/>
      <c r="C62" s="377"/>
      <c r="D62" s="378"/>
      <c r="E62" s="379"/>
      <c r="F62" s="359"/>
      <c r="G62" s="379"/>
      <c r="H62" s="359"/>
      <c r="I62" s="380"/>
      <c r="J62" s="381" t="s">
        <v>11</v>
      </c>
      <c r="K62" s="356"/>
      <c r="L62" s="360"/>
      <c r="M62" s="356"/>
      <c r="N62" s="361"/>
      <c r="O62" s="356">
        <f>R4</f>
        <v>0</v>
      </c>
      <c r="P62" s="360"/>
      <c r="Q62" s="356"/>
      <c r="R62" s="382">
        <f>MIN(4,'[11]1MD ELO'!Q5)</f>
        <v>4</v>
      </c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2"/>
      <c r="AJ62" s="342"/>
      <c r="AK62" s="342"/>
      <c r="AL62" s="341"/>
      <c r="AM62" s="341"/>
      <c r="AN62" s="341"/>
      <c r="AO62" s="341"/>
      <c r="AP62" s="341"/>
      <c r="AQ62" s="341"/>
      <c r="AR62" s="341"/>
      <c r="AS62" s="341"/>
    </row>
    <row r="63" spans="1:45" x14ac:dyDescent="0.25"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L63" s="385"/>
      <c r="AM63" s="385"/>
      <c r="AN63" s="385"/>
      <c r="AO63" s="385"/>
      <c r="AP63" s="385"/>
      <c r="AQ63" s="385"/>
      <c r="AR63" s="385"/>
      <c r="AS63" s="385"/>
    </row>
    <row r="64" spans="1:45" x14ac:dyDescent="0.25"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L64" s="385"/>
      <c r="AM64" s="385"/>
      <c r="AN64" s="385"/>
      <c r="AO64" s="385"/>
      <c r="AP64" s="385"/>
      <c r="AQ64" s="385"/>
      <c r="AR64" s="385"/>
      <c r="AS64" s="385"/>
    </row>
    <row r="65" spans="20:45" x14ac:dyDescent="0.25"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L65" s="385"/>
      <c r="AM65" s="385"/>
      <c r="AN65" s="385"/>
      <c r="AO65" s="385"/>
      <c r="AP65" s="385"/>
      <c r="AQ65" s="385"/>
      <c r="AR65" s="385"/>
      <c r="AS65" s="385"/>
    </row>
    <row r="66" spans="20:45" x14ac:dyDescent="0.25"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385"/>
      <c r="AH66" s="385"/>
      <c r="AL66" s="385"/>
      <c r="AM66" s="385"/>
      <c r="AN66" s="385"/>
      <c r="AO66" s="385"/>
      <c r="AP66" s="385"/>
      <c r="AQ66" s="385"/>
      <c r="AR66" s="385"/>
      <c r="AS66" s="385"/>
    </row>
    <row r="67" spans="20:45" x14ac:dyDescent="0.25"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385"/>
      <c r="AH67" s="385"/>
      <c r="AL67" s="385"/>
      <c r="AM67" s="385"/>
      <c r="AN67" s="385"/>
      <c r="AO67" s="385"/>
      <c r="AP67" s="385"/>
      <c r="AQ67" s="385"/>
      <c r="AR67" s="385"/>
      <c r="AS67" s="385"/>
    </row>
    <row r="68" spans="20:45" x14ac:dyDescent="0.25"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385"/>
      <c r="AH68" s="385"/>
      <c r="AL68" s="385"/>
      <c r="AM68" s="385"/>
      <c r="AN68" s="385"/>
      <c r="AO68" s="385"/>
      <c r="AP68" s="385"/>
      <c r="AQ68" s="385"/>
      <c r="AR68" s="385"/>
      <c r="AS68" s="385"/>
    </row>
    <row r="69" spans="20:45" x14ac:dyDescent="0.25">
      <c r="T69" s="385"/>
      <c r="U69" s="385"/>
      <c r="V69" s="385"/>
      <c r="W69" s="385"/>
      <c r="X69" s="385"/>
      <c r="Y69" s="385"/>
      <c r="Z69" s="385"/>
      <c r="AA69" s="385"/>
      <c r="AB69" s="385"/>
      <c r="AC69" s="385"/>
      <c r="AD69" s="385"/>
      <c r="AE69" s="385"/>
      <c r="AF69" s="385"/>
      <c r="AG69" s="385"/>
      <c r="AH69" s="385"/>
      <c r="AL69" s="385"/>
      <c r="AM69" s="385"/>
      <c r="AN69" s="385"/>
      <c r="AO69" s="385"/>
      <c r="AP69" s="385"/>
      <c r="AQ69" s="385"/>
      <c r="AR69" s="385"/>
      <c r="AS69" s="385"/>
    </row>
    <row r="70" spans="20:45" x14ac:dyDescent="0.25"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L70" s="385"/>
      <c r="AM70" s="385"/>
      <c r="AN70" s="385"/>
      <c r="AO70" s="385"/>
      <c r="AP70" s="385"/>
      <c r="AQ70" s="385"/>
      <c r="AR70" s="385"/>
      <c r="AS70" s="385"/>
    </row>
    <row r="71" spans="20:45" x14ac:dyDescent="0.25">
      <c r="T71" s="385"/>
      <c r="U71" s="385"/>
      <c r="V71" s="385"/>
      <c r="W71" s="385"/>
      <c r="X71" s="385"/>
      <c r="Y71" s="385"/>
      <c r="Z71" s="385"/>
      <c r="AA71" s="385"/>
      <c r="AB71" s="385"/>
      <c r="AC71" s="385"/>
      <c r="AD71" s="385"/>
      <c r="AE71" s="385"/>
      <c r="AF71" s="385"/>
      <c r="AG71" s="385"/>
      <c r="AH71" s="385"/>
      <c r="AL71" s="385"/>
      <c r="AM71" s="385"/>
      <c r="AN71" s="385"/>
      <c r="AO71" s="385"/>
      <c r="AP71" s="385"/>
      <c r="AQ71" s="385"/>
      <c r="AR71" s="385"/>
      <c r="AS71" s="385"/>
    </row>
    <row r="72" spans="20:45" x14ac:dyDescent="0.25">
      <c r="T72" s="385"/>
      <c r="U72" s="385"/>
      <c r="V72" s="385"/>
      <c r="W72" s="385"/>
      <c r="X72" s="385"/>
      <c r="Y72" s="385"/>
      <c r="Z72" s="385"/>
      <c r="AA72" s="385"/>
      <c r="AB72" s="385"/>
      <c r="AC72" s="385"/>
      <c r="AD72" s="385"/>
      <c r="AE72" s="385"/>
      <c r="AF72" s="385"/>
      <c r="AG72" s="385"/>
      <c r="AH72" s="385"/>
      <c r="AL72" s="385"/>
      <c r="AM72" s="385"/>
      <c r="AN72" s="385"/>
      <c r="AO72" s="385"/>
      <c r="AP72" s="385"/>
      <c r="AQ72" s="385"/>
      <c r="AR72" s="385"/>
      <c r="AS72" s="385"/>
    </row>
    <row r="73" spans="20:45" x14ac:dyDescent="0.25"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L73" s="385"/>
      <c r="AM73" s="385"/>
      <c r="AN73" s="385"/>
      <c r="AO73" s="385"/>
      <c r="AP73" s="385"/>
      <c r="AQ73" s="385"/>
      <c r="AR73" s="385"/>
      <c r="AS73" s="385"/>
    </row>
    <row r="74" spans="20:45" x14ac:dyDescent="0.25">
      <c r="T74" s="385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5"/>
      <c r="AL74" s="385"/>
      <c r="AM74" s="385"/>
      <c r="AN74" s="385"/>
      <c r="AO74" s="385"/>
      <c r="AP74" s="385"/>
      <c r="AQ74" s="385"/>
      <c r="AR74" s="385"/>
      <c r="AS74" s="385"/>
    </row>
    <row r="75" spans="20:45" x14ac:dyDescent="0.25">
      <c r="T75" s="385"/>
      <c r="U75" s="385"/>
      <c r="V75" s="385"/>
      <c r="W75" s="385"/>
      <c r="X75" s="385"/>
      <c r="Y75" s="385"/>
      <c r="Z75" s="385"/>
      <c r="AA75" s="385"/>
      <c r="AB75" s="385"/>
      <c r="AC75" s="385"/>
      <c r="AD75" s="385"/>
      <c r="AE75" s="385"/>
      <c r="AF75" s="385"/>
      <c r="AG75" s="385"/>
      <c r="AH75" s="385"/>
      <c r="AL75" s="385"/>
      <c r="AM75" s="385"/>
      <c r="AN75" s="385"/>
      <c r="AO75" s="385"/>
      <c r="AP75" s="385"/>
      <c r="AQ75" s="385"/>
      <c r="AR75" s="385"/>
      <c r="AS75" s="385"/>
    </row>
    <row r="76" spans="20:45" x14ac:dyDescent="0.25"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L76" s="385"/>
      <c r="AM76" s="385"/>
      <c r="AN76" s="385"/>
      <c r="AO76" s="385"/>
      <c r="AP76" s="385"/>
      <c r="AQ76" s="385"/>
      <c r="AR76" s="385"/>
      <c r="AS76" s="385"/>
    </row>
    <row r="77" spans="20:45" x14ac:dyDescent="0.25"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L77" s="385"/>
      <c r="AM77" s="385"/>
      <c r="AN77" s="385"/>
      <c r="AO77" s="385"/>
      <c r="AP77" s="385"/>
      <c r="AQ77" s="385"/>
      <c r="AR77" s="385"/>
      <c r="AS77" s="385"/>
    </row>
    <row r="78" spans="20:45" x14ac:dyDescent="0.25"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L78" s="385"/>
      <c r="AM78" s="385"/>
      <c r="AN78" s="385"/>
      <c r="AO78" s="385"/>
      <c r="AP78" s="385"/>
      <c r="AQ78" s="385"/>
      <c r="AR78" s="385"/>
      <c r="AS78" s="385"/>
    </row>
    <row r="79" spans="20:45" x14ac:dyDescent="0.25">
      <c r="T79" s="385"/>
      <c r="U79" s="385"/>
      <c r="V79" s="385"/>
      <c r="W79" s="385"/>
      <c r="X79" s="385"/>
      <c r="Y79" s="385"/>
      <c r="Z79" s="385"/>
      <c r="AA79" s="385"/>
      <c r="AB79" s="385"/>
      <c r="AC79" s="385"/>
      <c r="AD79" s="385"/>
      <c r="AE79" s="385"/>
      <c r="AF79" s="385"/>
      <c r="AG79" s="385"/>
      <c r="AH79" s="385"/>
      <c r="AL79" s="385"/>
      <c r="AM79" s="385"/>
      <c r="AN79" s="385"/>
      <c r="AO79" s="385"/>
      <c r="AP79" s="385"/>
      <c r="AQ79" s="385"/>
      <c r="AR79" s="385"/>
      <c r="AS79" s="385"/>
    </row>
    <row r="80" spans="20:45" x14ac:dyDescent="0.25">
      <c r="T80" s="385"/>
      <c r="U80" s="385"/>
      <c r="V80" s="385"/>
      <c r="W80" s="385"/>
      <c r="X80" s="385"/>
      <c r="Y80" s="385"/>
      <c r="Z80" s="385"/>
      <c r="AA80" s="385"/>
      <c r="AB80" s="385"/>
      <c r="AC80" s="385"/>
      <c r="AD80" s="385"/>
      <c r="AE80" s="385"/>
      <c r="AF80" s="385"/>
      <c r="AG80" s="385"/>
      <c r="AH80" s="385"/>
      <c r="AL80" s="385"/>
      <c r="AM80" s="385"/>
      <c r="AN80" s="385"/>
      <c r="AO80" s="385"/>
      <c r="AP80" s="385"/>
      <c r="AQ80" s="385"/>
      <c r="AR80" s="385"/>
      <c r="AS80" s="385"/>
    </row>
    <row r="81" spans="20:45" x14ac:dyDescent="0.25"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L81" s="385"/>
      <c r="AM81" s="385"/>
      <c r="AN81" s="385"/>
      <c r="AO81" s="385"/>
      <c r="AP81" s="385"/>
      <c r="AQ81" s="385"/>
      <c r="AR81" s="385"/>
      <c r="AS81" s="385"/>
    </row>
    <row r="82" spans="20:45" x14ac:dyDescent="0.25">
      <c r="T82" s="385"/>
      <c r="U82" s="385"/>
      <c r="V82" s="385"/>
      <c r="W82" s="385"/>
      <c r="X82" s="385"/>
      <c r="Y82" s="385"/>
      <c r="Z82" s="385"/>
      <c r="AA82" s="385"/>
      <c r="AB82" s="385"/>
      <c r="AC82" s="385"/>
      <c r="AD82" s="385"/>
      <c r="AE82" s="385"/>
      <c r="AF82" s="385"/>
      <c r="AG82" s="385"/>
      <c r="AH82" s="385"/>
      <c r="AL82" s="385"/>
      <c r="AM82" s="385"/>
      <c r="AN82" s="385"/>
      <c r="AO82" s="385"/>
      <c r="AP82" s="385"/>
      <c r="AQ82" s="385"/>
      <c r="AR82" s="385"/>
      <c r="AS82" s="385"/>
    </row>
    <row r="83" spans="20:45" x14ac:dyDescent="0.25">
      <c r="T83" s="385"/>
      <c r="U83" s="385"/>
      <c r="V83" s="385"/>
      <c r="W83" s="385"/>
      <c r="X83" s="385"/>
      <c r="Y83" s="385"/>
      <c r="Z83" s="385"/>
      <c r="AA83" s="385"/>
      <c r="AB83" s="385"/>
      <c r="AC83" s="385"/>
      <c r="AD83" s="385"/>
      <c r="AE83" s="385"/>
      <c r="AF83" s="385"/>
      <c r="AG83" s="385"/>
      <c r="AH83" s="385"/>
      <c r="AL83" s="385"/>
      <c r="AM83" s="385"/>
      <c r="AN83" s="385"/>
      <c r="AO83" s="385"/>
      <c r="AP83" s="385"/>
      <c r="AQ83" s="385"/>
      <c r="AR83" s="385"/>
      <c r="AS83" s="385"/>
    </row>
    <row r="84" spans="20:45" x14ac:dyDescent="0.25">
      <c r="T84" s="385"/>
      <c r="U84" s="385"/>
      <c r="V84" s="385"/>
      <c r="W84" s="385"/>
      <c r="X84" s="385"/>
      <c r="Y84" s="385"/>
      <c r="Z84" s="385"/>
      <c r="AA84" s="385"/>
      <c r="AB84" s="385"/>
      <c r="AC84" s="385"/>
      <c r="AD84" s="385"/>
      <c r="AE84" s="385"/>
      <c r="AF84" s="385"/>
      <c r="AG84" s="385"/>
      <c r="AH84" s="385"/>
      <c r="AL84" s="385"/>
      <c r="AM84" s="385"/>
      <c r="AN84" s="385"/>
      <c r="AO84" s="385"/>
      <c r="AP84" s="385"/>
      <c r="AQ84" s="385"/>
      <c r="AR84" s="385"/>
      <c r="AS84" s="385"/>
    </row>
    <row r="85" spans="20:45" x14ac:dyDescent="0.25"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L85" s="385"/>
      <c r="AM85" s="385"/>
      <c r="AN85" s="385"/>
      <c r="AO85" s="385"/>
      <c r="AP85" s="385"/>
      <c r="AQ85" s="385"/>
      <c r="AR85" s="385"/>
      <c r="AS85" s="385"/>
    </row>
    <row r="86" spans="20:45" x14ac:dyDescent="0.25"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5"/>
      <c r="AG86" s="385"/>
      <c r="AH86" s="385"/>
      <c r="AL86" s="385"/>
      <c r="AM86" s="385"/>
      <c r="AN86" s="385"/>
      <c r="AO86" s="385"/>
      <c r="AP86" s="385"/>
      <c r="AQ86" s="385"/>
      <c r="AR86" s="385"/>
      <c r="AS86" s="385"/>
    </row>
    <row r="87" spans="20:45" x14ac:dyDescent="0.25"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5"/>
      <c r="AG87" s="385"/>
      <c r="AH87" s="385"/>
      <c r="AL87" s="385"/>
      <c r="AM87" s="385"/>
      <c r="AN87" s="385"/>
      <c r="AO87" s="385"/>
      <c r="AP87" s="385"/>
      <c r="AQ87" s="385"/>
      <c r="AR87" s="385"/>
      <c r="AS87" s="385"/>
    </row>
    <row r="88" spans="20:45" x14ac:dyDescent="0.25"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L88" s="385"/>
      <c r="AM88" s="385"/>
      <c r="AN88" s="385"/>
      <c r="AO88" s="385"/>
      <c r="AP88" s="385"/>
      <c r="AQ88" s="385"/>
      <c r="AR88" s="385"/>
      <c r="AS88" s="385"/>
    </row>
    <row r="89" spans="20:45" x14ac:dyDescent="0.25"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5"/>
      <c r="AG89" s="385"/>
      <c r="AH89" s="385"/>
      <c r="AL89" s="385"/>
      <c r="AM89" s="385"/>
      <c r="AN89" s="385"/>
      <c r="AO89" s="385"/>
      <c r="AP89" s="385"/>
      <c r="AQ89" s="385"/>
      <c r="AR89" s="385"/>
      <c r="AS89" s="385"/>
    </row>
    <row r="90" spans="20:45" x14ac:dyDescent="0.25"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5"/>
      <c r="AG90" s="385"/>
      <c r="AH90" s="385"/>
      <c r="AL90" s="385"/>
      <c r="AM90" s="385"/>
      <c r="AN90" s="385"/>
      <c r="AO90" s="385"/>
      <c r="AP90" s="385"/>
      <c r="AQ90" s="385"/>
      <c r="AR90" s="385"/>
      <c r="AS90" s="385"/>
    </row>
    <row r="91" spans="20:45" x14ac:dyDescent="0.25"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5"/>
      <c r="AG91" s="385"/>
      <c r="AH91" s="385"/>
      <c r="AL91" s="385"/>
      <c r="AM91" s="385"/>
      <c r="AN91" s="385"/>
      <c r="AO91" s="385"/>
      <c r="AP91" s="385"/>
      <c r="AQ91" s="385"/>
      <c r="AR91" s="385"/>
      <c r="AS91" s="385"/>
    </row>
    <row r="92" spans="20:45" x14ac:dyDescent="0.25"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5"/>
      <c r="AG92" s="385"/>
      <c r="AH92" s="385"/>
      <c r="AL92" s="385"/>
      <c r="AM92" s="385"/>
      <c r="AN92" s="385"/>
      <c r="AO92" s="385"/>
      <c r="AP92" s="385"/>
      <c r="AQ92" s="385"/>
      <c r="AR92" s="385"/>
      <c r="AS92" s="385"/>
    </row>
    <row r="93" spans="20:45" x14ac:dyDescent="0.25"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5"/>
      <c r="AG93" s="385"/>
      <c r="AH93" s="385"/>
      <c r="AL93" s="385"/>
      <c r="AM93" s="385"/>
      <c r="AN93" s="385"/>
      <c r="AO93" s="385"/>
      <c r="AP93" s="385"/>
      <c r="AQ93" s="385"/>
      <c r="AR93" s="385"/>
      <c r="AS93" s="385"/>
    </row>
    <row r="94" spans="20:45" x14ac:dyDescent="0.25"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L94" s="385"/>
      <c r="AM94" s="385"/>
      <c r="AN94" s="385"/>
      <c r="AO94" s="385"/>
      <c r="AP94" s="385"/>
      <c r="AQ94" s="385"/>
      <c r="AR94" s="385"/>
      <c r="AS94" s="385"/>
    </row>
    <row r="95" spans="20:45" x14ac:dyDescent="0.25"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L95" s="385"/>
      <c r="AM95" s="385"/>
      <c r="AN95" s="385"/>
      <c r="AO95" s="385"/>
      <c r="AP95" s="385"/>
      <c r="AQ95" s="385"/>
      <c r="AR95" s="385"/>
      <c r="AS95" s="385"/>
    </row>
    <row r="96" spans="20:45" x14ac:dyDescent="0.25"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L96" s="385"/>
      <c r="AM96" s="385"/>
      <c r="AN96" s="385"/>
      <c r="AO96" s="385"/>
      <c r="AP96" s="385"/>
      <c r="AQ96" s="385"/>
      <c r="AR96" s="385"/>
      <c r="AS96" s="385"/>
    </row>
    <row r="97" spans="20:45" x14ac:dyDescent="0.25"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L97" s="385"/>
      <c r="AM97" s="385"/>
      <c r="AN97" s="385"/>
      <c r="AO97" s="385"/>
      <c r="AP97" s="385"/>
      <c r="AQ97" s="385"/>
      <c r="AR97" s="385"/>
      <c r="AS97" s="385"/>
    </row>
    <row r="98" spans="20:45" x14ac:dyDescent="0.25"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L98" s="385"/>
      <c r="AM98" s="385"/>
      <c r="AN98" s="385"/>
      <c r="AO98" s="385"/>
      <c r="AP98" s="385"/>
      <c r="AQ98" s="385"/>
      <c r="AR98" s="385"/>
      <c r="AS98" s="385"/>
    </row>
    <row r="99" spans="20:45" x14ac:dyDescent="0.25"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L99" s="385"/>
      <c r="AM99" s="385"/>
      <c r="AN99" s="385"/>
      <c r="AO99" s="385"/>
      <c r="AP99" s="385"/>
      <c r="AQ99" s="385"/>
      <c r="AR99" s="385"/>
      <c r="AS99" s="385"/>
    </row>
    <row r="100" spans="20:45" x14ac:dyDescent="0.25"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5"/>
      <c r="AG100" s="385"/>
      <c r="AH100" s="385"/>
      <c r="AL100" s="385"/>
      <c r="AM100" s="385"/>
      <c r="AN100" s="385"/>
      <c r="AO100" s="385"/>
      <c r="AP100" s="385"/>
      <c r="AQ100" s="385"/>
      <c r="AR100" s="385"/>
      <c r="AS100" s="385"/>
    </row>
    <row r="101" spans="20:45" x14ac:dyDescent="0.25"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5"/>
      <c r="AL101" s="385"/>
      <c r="AM101" s="385"/>
      <c r="AN101" s="385"/>
      <c r="AO101" s="385"/>
      <c r="AP101" s="385"/>
      <c r="AQ101" s="385"/>
      <c r="AR101" s="385"/>
      <c r="AS101" s="385"/>
    </row>
    <row r="102" spans="20:45" x14ac:dyDescent="0.25"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5"/>
      <c r="AG102" s="385"/>
      <c r="AH102" s="385"/>
      <c r="AL102" s="385"/>
      <c r="AM102" s="385"/>
      <c r="AN102" s="385"/>
      <c r="AO102" s="385"/>
      <c r="AP102" s="385"/>
      <c r="AQ102" s="385"/>
      <c r="AR102" s="385"/>
      <c r="AS102" s="385"/>
    </row>
    <row r="103" spans="20:45" x14ac:dyDescent="0.25"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L103" s="385"/>
      <c r="AM103" s="385"/>
      <c r="AN103" s="385"/>
      <c r="AO103" s="385"/>
      <c r="AP103" s="385"/>
      <c r="AQ103" s="385"/>
      <c r="AR103" s="385"/>
      <c r="AS103" s="385"/>
    </row>
    <row r="104" spans="20:45" x14ac:dyDescent="0.25"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5"/>
      <c r="AG104" s="385"/>
      <c r="AH104" s="385"/>
      <c r="AL104" s="385"/>
      <c r="AM104" s="385"/>
      <c r="AN104" s="385"/>
      <c r="AO104" s="385"/>
      <c r="AP104" s="385"/>
      <c r="AQ104" s="385"/>
      <c r="AR104" s="385"/>
      <c r="AS104" s="385"/>
    </row>
    <row r="105" spans="20:45" x14ac:dyDescent="0.25"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L105" s="385"/>
      <c r="AM105" s="385"/>
      <c r="AN105" s="385"/>
      <c r="AO105" s="385"/>
      <c r="AP105" s="385"/>
      <c r="AQ105" s="385"/>
      <c r="AR105" s="385"/>
      <c r="AS105" s="385"/>
    </row>
    <row r="106" spans="20:45" x14ac:dyDescent="0.25"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L106" s="385"/>
      <c r="AM106" s="385"/>
      <c r="AN106" s="385"/>
      <c r="AO106" s="385"/>
      <c r="AP106" s="385"/>
      <c r="AQ106" s="385"/>
      <c r="AR106" s="385"/>
      <c r="AS106" s="385"/>
    </row>
    <row r="107" spans="20:45" x14ac:dyDescent="0.25"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L107" s="385"/>
      <c r="AM107" s="385"/>
      <c r="AN107" s="385"/>
      <c r="AO107" s="385"/>
      <c r="AP107" s="385"/>
      <c r="AQ107" s="385"/>
      <c r="AR107" s="385"/>
      <c r="AS107" s="385"/>
    </row>
    <row r="108" spans="20:45" x14ac:dyDescent="0.25"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L108" s="385"/>
      <c r="AM108" s="385"/>
      <c r="AN108" s="385"/>
      <c r="AO108" s="385"/>
      <c r="AP108" s="385"/>
      <c r="AQ108" s="385"/>
      <c r="AR108" s="385"/>
      <c r="AS108" s="385"/>
    </row>
    <row r="109" spans="20:45" x14ac:dyDescent="0.25"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5"/>
      <c r="AG109" s="385"/>
      <c r="AH109" s="385"/>
      <c r="AL109" s="385"/>
      <c r="AM109" s="385"/>
      <c r="AN109" s="385"/>
      <c r="AO109" s="385"/>
      <c r="AP109" s="385"/>
      <c r="AQ109" s="385"/>
      <c r="AR109" s="385"/>
      <c r="AS109" s="385"/>
    </row>
    <row r="110" spans="20:45" x14ac:dyDescent="0.25"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5"/>
      <c r="AH110" s="385"/>
      <c r="AL110" s="385"/>
      <c r="AM110" s="385"/>
      <c r="AN110" s="385"/>
      <c r="AO110" s="385"/>
      <c r="AP110" s="385"/>
      <c r="AQ110" s="385"/>
      <c r="AR110" s="385"/>
      <c r="AS110" s="385"/>
    </row>
    <row r="111" spans="20:45" x14ac:dyDescent="0.25"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L111" s="385"/>
      <c r="AM111" s="385"/>
      <c r="AN111" s="385"/>
      <c r="AO111" s="385"/>
      <c r="AP111" s="385"/>
      <c r="AQ111" s="385"/>
      <c r="AR111" s="385"/>
      <c r="AS111" s="385"/>
    </row>
    <row r="112" spans="20:45" x14ac:dyDescent="0.25"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L112" s="385"/>
      <c r="AM112" s="385"/>
      <c r="AN112" s="385"/>
      <c r="AO112" s="385"/>
      <c r="AP112" s="385"/>
      <c r="AQ112" s="385"/>
      <c r="AR112" s="385"/>
      <c r="AS112" s="385"/>
    </row>
    <row r="113" spans="20:45" x14ac:dyDescent="0.25"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L113" s="385"/>
      <c r="AM113" s="385"/>
      <c r="AN113" s="385"/>
      <c r="AO113" s="385"/>
      <c r="AP113" s="385"/>
      <c r="AQ113" s="385"/>
      <c r="AR113" s="385"/>
      <c r="AS113" s="385"/>
    </row>
    <row r="114" spans="20:45" x14ac:dyDescent="0.25"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L114" s="385"/>
      <c r="AM114" s="385"/>
      <c r="AN114" s="385"/>
      <c r="AO114" s="385"/>
      <c r="AP114" s="385"/>
      <c r="AQ114" s="385"/>
      <c r="AR114" s="385"/>
      <c r="AS114" s="385"/>
    </row>
    <row r="115" spans="20:45" x14ac:dyDescent="0.25"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L115" s="385"/>
      <c r="AM115" s="385"/>
      <c r="AN115" s="385"/>
      <c r="AO115" s="385"/>
      <c r="AP115" s="385"/>
      <c r="AQ115" s="385"/>
      <c r="AR115" s="385"/>
      <c r="AS115" s="385"/>
    </row>
    <row r="116" spans="20:45" x14ac:dyDescent="0.25"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L116" s="385"/>
      <c r="AM116" s="385"/>
      <c r="AN116" s="385"/>
      <c r="AO116" s="385"/>
      <c r="AP116" s="385"/>
      <c r="AQ116" s="385"/>
      <c r="AR116" s="385"/>
      <c r="AS116" s="385"/>
    </row>
    <row r="117" spans="20:45" x14ac:dyDescent="0.25"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L117" s="385"/>
      <c r="AM117" s="385"/>
      <c r="AN117" s="385"/>
      <c r="AO117" s="385"/>
      <c r="AP117" s="385"/>
      <c r="AQ117" s="385"/>
      <c r="AR117" s="385"/>
      <c r="AS117" s="385"/>
    </row>
    <row r="118" spans="20:45" x14ac:dyDescent="0.25"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L118" s="385"/>
      <c r="AM118" s="385"/>
      <c r="AN118" s="385"/>
      <c r="AO118" s="385"/>
      <c r="AP118" s="385"/>
      <c r="AQ118" s="385"/>
      <c r="AR118" s="385"/>
      <c r="AS118" s="385"/>
    </row>
    <row r="119" spans="20:45" x14ac:dyDescent="0.25"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5"/>
      <c r="AG119" s="385"/>
      <c r="AH119" s="385"/>
      <c r="AL119" s="385"/>
      <c r="AM119" s="385"/>
      <c r="AN119" s="385"/>
      <c r="AO119" s="385"/>
      <c r="AP119" s="385"/>
      <c r="AQ119" s="385"/>
      <c r="AR119" s="385"/>
      <c r="AS119" s="385"/>
    </row>
    <row r="120" spans="20:45" x14ac:dyDescent="0.25"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  <c r="AG120" s="385"/>
      <c r="AH120" s="385"/>
      <c r="AL120" s="385"/>
      <c r="AM120" s="385"/>
      <c r="AN120" s="385"/>
      <c r="AO120" s="385"/>
      <c r="AP120" s="385"/>
      <c r="AQ120" s="385"/>
      <c r="AR120" s="385"/>
      <c r="AS120" s="385"/>
    </row>
    <row r="121" spans="20:45" x14ac:dyDescent="0.25"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L121" s="385"/>
      <c r="AM121" s="385"/>
      <c r="AN121" s="385"/>
      <c r="AO121" s="385"/>
      <c r="AP121" s="385"/>
      <c r="AQ121" s="385"/>
      <c r="AR121" s="385"/>
      <c r="AS121" s="385"/>
    </row>
    <row r="122" spans="20:45" x14ac:dyDescent="0.25"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L122" s="385"/>
      <c r="AM122" s="385"/>
      <c r="AN122" s="385"/>
      <c r="AO122" s="385"/>
      <c r="AP122" s="385"/>
      <c r="AQ122" s="385"/>
      <c r="AR122" s="385"/>
      <c r="AS122" s="385"/>
    </row>
    <row r="123" spans="20:45" x14ac:dyDescent="0.25"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L123" s="385"/>
      <c r="AM123" s="385"/>
      <c r="AN123" s="385"/>
      <c r="AO123" s="385"/>
      <c r="AP123" s="385"/>
      <c r="AQ123" s="385"/>
      <c r="AR123" s="385"/>
      <c r="AS123" s="385"/>
    </row>
    <row r="124" spans="20:45" x14ac:dyDescent="0.25"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L124" s="385"/>
      <c r="AM124" s="385"/>
      <c r="AN124" s="385"/>
      <c r="AO124" s="385"/>
      <c r="AP124" s="385"/>
      <c r="AQ124" s="385"/>
      <c r="AR124" s="385"/>
      <c r="AS124" s="385"/>
    </row>
    <row r="125" spans="20:45" x14ac:dyDescent="0.25"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L125" s="385"/>
      <c r="AM125" s="385"/>
      <c r="AN125" s="385"/>
      <c r="AO125" s="385"/>
      <c r="AP125" s="385"/>
      <c r="AQ125" s="385"/>
      <c r="AR125" s="385"/>
      <c r="AS125" s="385"/>
    </row>
    <row r="126" spans="20:45" x14ac:dyDescent="0.25"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L126" s="385"/>
      <c r="AM126" s="385"/>
      <c r="AN126" s="385"/>
      <c r="AO126" s="385"/>
      <c r="AP126" s="385"/>
      <c r="AQ126" s="385"/>
      <c r="AR126" s="385"/>
      <c r="AS126" s="385"/>
    </row>
    <row r="127" spans="20:45" x14ac:dyDescent="0.25"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L127" s="385"/>
      <c r="AM127" s="385"/>
      <c r="AN127" s="385"/>
      <c r="AO127" s="385"/>
      <c r="AP127" s="385"/>
      <c r="AQ127" s="385"/>
      <c r="AR127" s="385"/>
      <c r="AS127" s="385"/>
    </row>
    <row r="128" spans="20:45" x14ac:dyDescent="0.25"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L128" s="385"/>
      <c r="AM128" s="385"/>
      <c r="AN128" s="385"/>
      <c r="AO128" s="385"/>
      <c r="AP128" s="385"/>
      <c r="AQ128" s="385"/>
      <c r="AR128" s="385"/>
      <c r="AS128" s="385"/>
    </row>
    <row r="129" spans="20:45" x14ac:dyDescent="0.25"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L129" s="385"/>
      <c r="AM129" s="385"/>
      <c r="AN129" s="385"/>
      <c r="AO129" s="385"/>
      <c r="AP129" s="385"/>
      <c r="AQ129" s="385"/>
      <c r="AR129" s="385"/>
      <c r="AS129" s="385"/>
    </row>
    <row r="130" spans="20:45" x14ac:dyDescent="0.25"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L130" s="385"/>
      <c r="AM130" s="385"/>
      <c r="AN130" s="385"/>
      <c r="AO130" s="385"/>
      <c r="AP130" s="385"/>
      <c r="AQ130" s="385"/>
      <c r="AR130" s="385"/>
      <c r="AS130" s="385"/>
    </row>
    <row r="131" spans="20:45" x14ac:dyDescent="0.25"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L131" s="385"/>
      <c r="AM131" s="385"/>
      <c r="AN131" s="385"/>
      <c r="AO131" s="385"/>
      <c r="AP131" s="385"/>
      <c r="AQ131" s="385"/>
      <c r="AR131" s="385"/>
      <c r="AS131" s="385"/>
    </row>
    <row r="132" spans="20:45" x14ac:dyDescent="0.25"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L132" s="385"/>
      <c r="AM132" s="385"/>
      <c r="AN132" s="385"/>
      <c r="AO132" s="385"/>
      <c r="AP132" s="385"/>
      <c r="AQ132" s="385"/>
      <c r="AR132" s="385"/>
      <c r="AS132" s="385"/>
    </row>
    <row r="133" spans="20:45" x14ac:dyDescent="0.25"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5"/>
      <c r="AG133" s="385"/>
      <c r="AH133" s="385"/>
      <c r="AL133" s="385"/>
      <c r="AM133" s="385"/>
      <c r="AN133" s="385"/>
      <c r="AO133" s="385"/>
      <c r="AP133" s="385"/>
      <c r="AQ133" s="385"/>
      <c r="AR133" s="385"/>
      <c r="AS133" s="385"/>
    </row>
    <row r="134" spans="20:45" x14ac:dyDescent="0.25"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L134" s="385"/>
      <c r="AM134" s="385"/>
      <c r="AN134" s="385"/>
      <c r="AO134" s="385"/>
      <c r="AP134" s="385"/>
      <c r="AQ134" s="385"/>
      <c r="AR134" s="385"/>
      <c r="AS134" s="385"/>
    </row>
    <row r="135" spans="20:45" x14ac:dyDescent="0.25"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L135" s="385"/>
      <c r="AM135" s="385"/>
      <c r="AN135" s="385"/>
      <c r="AO135" s="385"/>
      <c r="AP135" s="385"/>
      <c r="AQ135" s="385"/>
      <c r="AR135" s="385"/>
      <c r="AS135" s="385"/>
    </row>
    <row r="136" spans="20:45" x14ac:dyDescent="0.25"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/>
      <c r="AG136" s="385"/>
      <c r="AH136" s="385"/>
      <c r="AL136" s="385"/>
      <c r="AM136" s="385"/>
      <c r="AN136" s="385"/>
      <c r="AO136" s="385"/>
      <c r="AP136" s="385"/>
      <c r="AQ136" s="385"/>
      <c r="AR136" s="385"/>
      <c r="AS136" s="385"/>
    </row>
    <row r="137" spans="20:45" x14ac:dyDescent="0.25"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5"/>
      <c r="AG137" s="385"/>
      <c r="AH137" s="385"/>
      <c r="AL137" s="385"/>
      <c r="AM137" s="385"/>
      <c r="AN137" s="385"/>
      <c r="AO137" s="385"/>
      <c r="AP137" s="385"/>
      <c r="AQ137" s="385"/>
      <c r="AR137" s="385"/>
      <c r="AS137" s="385"/>
    </row>
    <row r="138" spans="20:45" x14ac:dyDescent="0.25"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5"/>
      <c r="AG138" s="385"/>
      <c r="AH138" s="385"/>
      <c r="AL138" s="385"/>
      <c r="AM138" s="385"/>
      <c r="AN138" s="385"/>
      <c r="AO138" s="385"/>
      <c r="AP138" s="385"/>
      <c r="AQ138" s="385"/>
      <c r="AR138" s="385"/>
      <c r="AS138" s="385"/>
    </row>
    <row r="139" spans="20:45" x14ac:dyDescent="0.25"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L139" s="385"/>
      <c r="AM139" s="385"/>
      <c r="AN139" s="385"/>
      <c r="AO139" s="385"/>
      <c r="AP139" s="385"/>
      <c r="AQ139" s="385"/>
      <c r="AR139" s="385"/>
      <c r="AS139" s="385"/>
    </row>
    <row r="140" spans="20:45" x14ac:dyDescent="0.25"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L140" s="385"/>
      <c r="AM140" s="385"/>
      <c r="AN140" s="385"/>
      <c r="AO140" s="385"/>
      <c r="AP140" s="385"/>
      <c r="AQ140" s="385"/>
      <c r="AR140" s="385"/>
      <c r="AS140" s="385"/>
    </row>
  </sheetData>
  <mergeCells count="1">
    <mergeCell ref="A4:C4"/>
  </mergeCells>
  <conditionalFormatting sqref="B22 B24 B26 B28 B30 B32 B34 B36 B38 B40 B42 B44 B46 B48 B50 B52">
    <cfRule type="cellIs" dxfId="64" priority="13" stopIfTrue="1" operator="equal">
      <formula>"QA"</formula>
    </cfRule>
    <cfRule type="cellIs" dxfId="63" priority="14" stopIfTrue="1" operator="equal">
      <formula>"DA"</formula>
    </cfRule>
  </conditionalFormatting>
  <conditionalFormatting sqref="E7 E21">
    <cfRule type="expression" dxfId="62" priority="16" stopIfTrue="1">
      <formula>$E7&lt;5</formula>
    </cfRule>
  </conditionalFormatting>
  <conditionalFormatting sqref="E22 E24 E26 E28 E30 E32 E34 E36 E38 E40 E42 E44 E46 E48 E50 E52">
    <cfRule type="expression" dxfId="61" priority="8" stopIfTrue="1">
      <formula>AND($E22&lt;9,$C22&gt;0)</formula>
    </cfRule>
  </conditionalFormatting>
  <conditionalFormatting sqref="F7 F9 F11 F13 F15 F17 F19">
    <cfRule type="cellIs" dxfId="60" priority="17" stopIfTrue="1" operator="equal">
      <formula>"Bye"</formula>
    </cfRule>
  </conditionalFormatting>
  <conditionalFormatting sqref="F21:F22 F24 F26 F28 F30 F32 F34 F36 F38 F40 F42 F44 F46 F48 F50">
    <cfRule type="cellIs" dxfId="59" priority="9" stopIfTrue="1" operator="equal">
      <formula>"Bye"</formula>
    </cfRule>
  </conditionalFormatting>
  <conditionalFormatting sqref="F22 F24 F26 F28 F30 F32 F34 F36 F38 F40 F42 F44 F46 F48 F50">
    <cfRule type="expression" dxfId="58" priority="10" stopIfTrue="1">
      <formula>AND($E22&lt;9,$C22&gt;0)</formula>
    </cfRule>
  </conditionalFormatting>
  <conditionalFormatting sqref="H9 H11 H13 H17 H19 G22:I22 G24:I24 G26:I26 G28:I28 G30:I30 G32:I32 G34:I34 G36:I36 G38:I38 G40:I40 G42:I42 G44:I44 G46:I46 G48:I48 G50:I50">
    <cfRule type="expression" dxfId="57" priority="4" stopIfTrue="1">
      <formula>AND($E9&lt;9,$C9&gt;0)</formula>
    </cfRule>
  </conditionalFormatting>
  <conditionalFormatting sqref="I8 K10 I12 M14 I16 K18 I20 I23 K25 I27 M29 I31 K33 I35 I39 K41 I43 M45 I47 K49 I51">
    <cfRule type="expression" dxfId="56" priority="5" stopIfTrue="1">
      <formula>AND($O$1="CU",I8="Umpire")</formula>
    </cfRule>
    <cfRule type="expression" dxfId="55" priority="6" stopIfTrue="1">
      <formula>AND($O$1="CU",I8&lt;&gt;"Umpire",J8&lt;&gt;"")</formula>
    </cfRule>
    <cfRule type="expression" dxfId="54" priority="7" stopIfTrue="1">
      <formula>AND($O$1="CU",I8&lt;&gt;"Umpire")</formula>
    </cfRule>
  </conditionalFormatting>
  <conditionalFormatting sqref="J8 L10 J12 N14 J16 L18 J20 R62">
    <cfRule type="expression" dxfId="53" priority="15" stopIfTrue="1">
      <formula>$O$1="CU"</formula>
    </cfRule>
  </conditionalFormatting>
  <conditionalFormatting sqref="K8 M10 K12:K13 O14 K16 M18 K20 K23 M25 K27 O29 K31 M33 K35 K39 M41 K43 O45 K47 M49 K51">
    <cfRule type="expression" dxfId="52" priority="11" stopIfTrue="1">
      <formula>J8="as"</formula>
    </cfRule>
    <cfRule type="expression" dxfId="51" priority="12" stopIfTrue="1">
      <formula>J8="bs"</formula>
    </cfRule>
  </conditionalFormatting>
  <conditionalFormatting sqref="O16">
    <cfRule type="expression" dxfId="50" priority="1" stopIfTrue="1">
      <formula>AND($O$1="CU",O16="Umpire")</formula>
    </cfRule>
    <cfRule type="expression" dxfId="49" priority="2" stopIfTrue="1">
      <formula>AND($O$1="CU",O16&lt;&gt;"Umpire",P16&lt;&gt;"")</formula>
    </cfRule>
    <cfRule type="expression" dxfId="48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8152412A-D8F8-4ECC-B865-14DE61FBB904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3121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22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EC6B5-88C5-4495-9C3C-2ABAF328E3A4}">
  <sheetPr>
    <tabColor indexed="11"/>
  </sheetPr>
  <dimension ref="A1:AS140"/>
  <sheetViews>
    <sheetView workbookViewId="0">
      <selection activeCell="O16" sqref="O16"/>
    </sheetView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33203125" style="303" customWidth="1"/>
    <col min="5" max="5" width="4.33203125" style="303" customWidth="1"/>
    <col min="6" max="6" width="17" style="303" customWidth="1"/>
    <col min="7" max="7" width="2.6640625" style="303" customWidth="1"/>
    <col min="8" max="8" width="24.77734375" style="303" bestFit="1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27" width="0" style="303" hidden="1" customWidth="1"/>
    <col min="28" max="28" width="10.33203125" style="303" hidden="1" customWidth="1"/>
    <col min="29" max="34" width="0" style="303" hidden="1" customWidth="1"/>
    <col min="35" max="37" width="9.109375" style="385" customWidth="1"/>
    <col min="38" max="16384" width="8.77734375" style="303"/>
  </cols>
  <sheetData>
    <row r="1" spans="1:45" s="224" customFormat="1" ht="21.75" customHeight="1" x14ac:dyDescent="0.25">
      <c r="A1" s="217" t="str">
        <f>[12]Altalanos!$A$6</f>
        <v>OB</v>
      </c>
      <c r="B1" s="217"/>
      <c r="C1" s="218"/>
      <c r="D1" s="218"/>
      <c r="E1" s="218"/>
      <c r="F1" s="218"/>
      <c r="G1" s="218"/>
      <c r="H1" s="217"/>
      <c r="I1" s="219"/>
      <c r="J1" s="220"/>
      <c r="K1" s="221" t="s">
        <v>39</v>
      </c>
      <c r="L1" s="222"/>
      <c r="M1" s="223"/>
      <c r="N1" s="220"/>
      <c r="O1" s="220" t="s">
        <v>12</v>
      </c>
      <c r="P1" s="220"/>
      <c r="Q1" s="218"/>
      <c r="R1" s="220"/>
      <c r="T1" s="225"/>
      <c r="U1" s="225"/>
      <c r="V1" s="225"/>
      <c r="W1" s="225"/>
      <c r="X1" s="225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  <c r="AI1" s="227"/>
      <c r="AJ1" s="227"/>
      <c r="AK1" s="227"/>
    </row>
    <row r="2" spans="1:45" s="233" customFormat="1" x14ac:dyDescent="0.25">
      <c r="A2" s="228" t="s">
        <v>38</v>
      </c>
      <c r="B2" s="229"/>
      <c r="C2" s="229"/>
      <c r="D2" s="229"/>
      <c r="E2" s="229">
        <f>[12]Altalanos!$A$8</f>
        <v>0</v>
      </c>
      <c r="F2" s="229"/>
      <c r="G2" s="230"/>
      <c r="H2" s="231"/>
      <c r="I2" s="231"/>
      <c r="J2" s="232"/>
      <c r="K2" s="222"/>
      <c r="L2" s="222"/>
      <c r="M2" s="222"/>
      <c r="N2" s="232"/>
      <c r="O2" s="231"/>
      <c r="P2" s="232"/>
      <c r="Q2" s="231"/>
      <c r="R2" s="232"/>
      <c r="T2" s="234"/>
      <c r="U2" s="234"/>
      <c r="V2" s="234"/>
      <c r="W2" s="234"/>
      <c r="X2" s="234"/>
      <c r="Y2" s="235"/>
      <c r="Z2" s="236"/>
      <c r="AA2" s="236" t="s">
        <v>52</v>
      </c>
      <c r="AB2" s="237">
        <v>300</v>
      </c>
      <c r="AC2" s="237">
        <v>250</v>
      </c>
      <c r="AD2" s="237">
        <v>200</v>
      </c>
      <c r="AE2" s="237">
        <v>150</v>
      </c>
      <c r="AF2" s="237">
        <v>120</v>
      </c>
      <c r="AG2" s="237">
        <v>90</v>
      </c>
      <c r="AH2" s="237">
        <v>40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</row>
    <row r="3" spans="1:45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T3" s="242"/>
      <c r="U3" s="242"/>
      <c r="V3" s="242"/>
      <c r="W3" s="242"/>
      <c r="X3" s="242"/>
      <c r="Y3" s="236" t="str">
        <f>IF(K4="OB","A",IF(K4="IX","W",IF(K4="","",K4)))</f>
        <v/>
      </c>
      <c r="Z3" s="236"/>
      <c r="AA3" s="236" t="s">
        <v>53</v>
      </c>
      <c r="AB3" s="237">
        <v>280</v>
      </c>
      <c r="AC3" s="237">
        <v>230</v>
      </c>
      <c r="AD3" s="237">
        <v>180</v>
      </c>
      <c r="AE3" s="237">
        <v>140</v>
      </c>
      <c r="AF3" s="237">
        <v>80</v>
      </c>
      <c r="AG3" s="237">
        <v>0</v>
      </c>
      <c r="AH3" s="237">
        <v>0</v>
      </c>
      <c r="AI3" s="234"/>
      <c r="AJ3" s="234"/>
      <c r="AK3" s="234"/>
      <c r="AL3" s="242"/>
      <c r="AM3" s="242"/>
      <c r="AN3" s="242"/>
      <c r="AO3" s="242"/>
      <c r="AP3" s="242"/>
      <c r="AQ3" s="242"/>
      <c r="AR3" s="242"/>
      <c r="AS3" s="242"/>
    </row>
    <row r="4" spans="1:45" s="250" customFormat="1" ht="11.25" customHeight="1" thickBot="1" x14ac:dyDescent="0.3">
      <c r="A4" s="243">
        <f>[12]Altalanos!$A$10</f>
        <v>0</v>
      </c>
      <c r="B4" s="243"/>
      <c r="C4" s="243"/>
      <c r="D4" s="244"/>
      <c r="E4" s="245"/>
      <c r="F4" s="245"/>
      <c r="G4" s="245">
        <f>[12]Altalanos!$C$10</f>
        <v>0</v>
      </c>
      <c r="H4" s="246"/>
      <c r="I4" s="245"/>
      <c r="J4" s="247"/>
      <c r="K4" s="137"/>
      <c r="L4" s="247"/>
      <c r="M4" s="248"/>
      <c r="N4" s="247"/>
      <c r="O4" s="245"/>
      <c r="P4" s="247"/>
      <c r="Q4" s="245"/>
      <c r="R4" s="249">
        <f>[12]Altalanos!$E$10</f>
        <v>0</v>
      </c>
      <c r="T4" s="251"/>
      <c r="U4" s="251"/>
      <c r="V4" s="251"/>
      <c r="W4" s="251"/>
      <c r="X4" s="251"/>
      <c r="Y4" s="236"/>
      <c r="Z4" s="236"/>
      <c r="AA4" s="236" t="s">
        <v>82</v>
      </c>
      <c r="AB4" s="237">
        <v>250</v>
      </c>
      <c r="AC4" s="237">
        <v>200</v>
      </c>
      <c r="AD4" s="237">
        <v>150</v>
      </c>
      <c r="AE4" s="237">
        <v>120</v>
      </c>
      <c r="AF4" s="237">
        <v>90</v>
      </c>
      <c r="AG4" s="237">
        <v>60</v>
      </c>
      <c r="AH4" s="237">
        <v>25</v>
      </c>
      <c r="AI4" s="234"/>
      <c r="AJ4" s="234"/>
      <c r="AK4" s="234"/>
      <c r="AL4" s="251"/>
      <c r="AM4" s="251"/>
      <c r="AN4" s="251"/>
      <c r="AO4" s="251"/>
      <c r="AP4" s="251"/>
      <c r="AQ4" s="251"/>
      <c r="AR4" s="251"/>
      <c r="AS4" s="251"/>
    </row>
    <row r="5" spans="1:45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45</v>
      </c>
      <c r="N5" s="256"/>
      <c r="O5" s="253" t="s">
        <v>44</v>
      </c>
      <c r="P5" s="256"/>
      <c r="Q5" s="253"/>
      <c r="R5" s="257"/>
      <c r="T5" s="242"/>
      <c r="U5" s="242"/>
      <c r="V5" s="242"/>
      <c r="W5" s="242"/>
      <c r="X5" s="242"/>
      <c r="Y5" s="236">
        <f>IF(OR([12]Altalanos!$A$8="F1",[12]Altalanos!$A$8="F2",[12]Altalanos!$A$8="N1",[12]Altalanos!$A$8="N2"),1,2)</f>
        <v>2</v>
      </c>
      <c r="Z5" s="236"/>
      <c r="AA5" s="236" t="s">
        <v>83</v>
      </c>
      <c r="AB5" s="237">
        <v>200</v>
      </c>
      <c r="AC5" s="237">
        <v>150</v>
      </c>
      <c r="AD5" s="237">
        <v>120</v>
      </c>
      <c r="AE5" s="237">
        <v>90</v>
      </c>
      <c r="AF5" s="237">
        <v>60</v>
      </c>
      <c r="AG5" s="237">
        <v>40</v>
      </c>
      <c r="AH5" s="237">
        <v>15</v>
      </c>
      <c r="AI5" s="234"/>
      <c r="AJ5" s="234"/>
      <c r="AK5" s="234"/>
      <c r="AL5" s="242"/>
      <c r="AM5" s="242"/>
      <c r="AN5" s="242"/>
      <c r="AO5" s="242"/>
      <c r="AP5" s="242"/>
      <c r="AQ5" s="242"/>
      <c r="AR5" s="242"/>
      <c r="AS5" s="242"/>
    </row>
    <row r="6" spans="1:45" s="264" customFormat="1" ht="10.95" customHeight="1" thickBot="1" x14ac:dyDescent="0.3">
      <c r="A6" s="258"/>
      <c r="B6" s="259"/>
      <c r="C6" s="259"/>
      <c r="D6" s="259"/>
      <c r="E6" s="259"/>
      <c r="F6" s="258" t="str">
        <f>IF(Y3="","",CONCATENATE(VLOOKUP(Y3,AB1:AH1,4)," pont"))</f>
        <v/>
      </c>
      <c r="G6" s="260"/>
      <c r="H6" s="261"/>
      <c r="I6" s="260"/>
      <c r="J6" s="262"/>
      <c r="K6" s="259" t="str">
        <f>IF(Y3="","",CONCATENATE(VLOOKUP(Y3,AB1:AH1,3)," pont"))</f>
        <v/>
      </c>
      <c r="L6" s="262"/>
      <c r="M6" s="259" t="str">
        <f>IF(Y3="","",CONCATENATE(VLOOKUP(Y3,AB1:AH1,2)," pont"))</f>
        <v/>
      </c>
      <c r="N6" s="262"/>
      <c r="O6" s="259" t="str">
        <f>IF(Y3="","",CONCATENATE(VLOOKUP(Y3,AB1:AH1,1)," pont"))</f>
        <v/>
      </c>
      <c r="P6" s="262"/>
      <c r="Q6" s="259"/>
      <c r="R6" s="263"/>
      <c r="T6" s="265"/>
      <c r="U6" s="265"/>
      <c r="V6" s="265"/>
      <c r="W6" s="265"/>
      <c r="X6" s="265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268"/>
      <c r="AJ6" s="268"/>
      <c r="AK6" s="268"/>
      <c r="AL6" s="265"/>
      <c r="AM6" s="265"/>
      <c r="AN6" s="265"/>
      <c r="AO6" s="265"/>
      <c r="AP6" s="265"/>
      <c r="AQ6" s="265"/>
      <c r="AR6" s="265"/>
      <c r="AS6" s="265"/>
    </row>
    <row r="7" spans="1:45" s="282" customFormat="1" ht="13.05" customHeight="1" x14ac:dyDescent="0.25">
      <c r="A7" s="269">
        <v>1</v>
      </c>
      <c r="B7" s="270" t="str">
        <f>IF($E7="","",VLOOKUP($E7,'[12]1MD ELO'!$A$7:$O$22,14))</f>
        <v/>
      </c>
      <c r="C7" s="271" t="str">
        <f>IF($E7="","",VLOOKUP($E7,'[12]1MD ELO'!$A$7:$O$22,15))</f>
        <v/>
      </c>
      <c r="D7" s="271" t="str">
        <f>IF($E7="","",VLOOKUP($E7,'[12]1MD ELO'!$A$7:$O$22,5))</f>
        <v/>
      </c>
      <c r="E7" s="272"/>
      <c r="F7" s="273" t="s">
        <v>244</v>
      </c>
      <c r="G7" s="273" t="str">
        <f>IF($E7="","",VLOOKUP($E7,'[12]1MD ELO'!$A$7:$O$22,3))</f>
        <v/>
      </c>
      <c r="H7" s="273" t="s">
        <v>187</v>
      </c>
      <c r="I7" s="273" t="str">
        <f>IF($E7="","",VLOOKUP($E7,'[12]1MD ELO'!$A$7:$O$22,4))</f>
        <v/>
      </c>
      <c r="J7" s="274"/>
      <c r="K7" s="275"/>
      <c r="L7" s="275"/>
      <c r="M7" s="275"/>
      <c r="N7" s="275"/>
      <c r="O7" s="276"/>
      <c r="P7" s="277"/>
      <c r="Q7" s="278"/>
      <c r="R7" s="279"/>
      <c r="S7" s="280"/>
      <c r="T7" s="280"/>
      <c r="U7" s="281" t="str">
        <f>[12]Birók!P21</f>
        <v>Bíró</v>
      </c>
      <c r="V7" s="280"/>
      <c r="W7" s="280"/>
      <c r="X7" s="280"/>
      <c r="Y7" s="236"/>
      <c r="Z7" s="236"/>
      <c r="AA7" s="236" t="s">
        <v>85</v>
      </c>
      <c r="AB7" s="237">
        <v>120</v>
      </c>
      <c r="AC7" s="237">
        <v>90</v>
      </c>
      <c r="AD7" s="237">
        <v>60</v>
      </c>
      <c r="AE7" s="237">
        <v>40</v>
      </c>
      <c r="AF7" s="237">
        <v>25</v>
      </c>
      <c r="AG7" s="237">
        <v>10</v>
      </c>
      <c r="AH7" s="237">
        <v>5</v>
      </c>
      <c r="AI7" s="234"/>
      <c r="AJ7" s="234"/>
      <c r="AK7" s="234"/>
      <c r="AL7" s="280"/>
      <c r="AM7" s="280"/>
      <c r="AN7" s="280"/>
      <c r="AO7" s="280"/>
      <c r="AP7" s="280"/>
      <c r="AQ7" s="280"/>
      <c r="AR7" s="280"/>
      <c r="AS7" s="280"/>
    </row>
    <row r="8" spans="1:45" s="282" customFormat="1" ht="13.05" customHeight="1" x14ac:dyDescent="0.25">
      <c r="A8" s="283"/>
      <c r="B8" s="284"/>
      <c r="C8" s="285"/>
      <c r="D8" s="285"/>
      <c r="E8" s="286"/>
      <c r="F8" s="287"/>
      <c r="G8" s="287"/>
      <c r="H8" s="288"/>
      <c r="I8" s="289" t="s">
        <v>0</v>
      </c>
      <c r="J8" s="290"/>
      <c r="K8" s="291" t="s">
        <v>245</v>
      </c>
      <c r="L8" s="291"/>
      <c r="M8" s="275"/>
      <c r="N8" s="275"/>
      <c r="O8" s="276"/>
      <c r="P8" s="277"/>
      <c r="Q8" s="278"/>
      <c r="R8" s="279"/>
      <c r="S8" s="280"/>
      <c r="T8" s="280"/>
      <c r="U8" s="292" t="str">
        <f>[12]Birók!P22</f>
        <v xml:space="preserve"> </v>
      </c>
      <c r="V8" s="280"/>
      <c r="W8" s="280"/>
      <c r="X8" s="280"/>
      <c r="Y8" s="236"/>
      <c r="Z8" s="236"/>
      <c r="AA8" s="236" t="s">
        <v>86</v>
      </c>
      <c r="AB8" s="237">
        <v>90</v>
      </c>
      <c r="AC8" s="237">
        <v>60</v>
      </c>
      <c r="AD8" s="237">
        <v>40</v>
      </c>
      <c r="AE8" s="237">
        <v>25</v>
      </c>
      <c r="AF8" s="237">
        <v>10</v>
      </c>
      <c r="AG8" s="237">
        <v>5</v>
      </c>
      <c r="AH8" s="237">
        <v>2</v>
      </c>
      <c r="AI8" s="234"/>
      <c r="AJ8" s="234"/>
      <c r="AK8" s="234"/>
      <c r="AL8" s="280"/>
      <c r="AM8" s="280"/>
      <c r="AN8" s="280"/>
      <c r="AO8" s="280"/>
      <c r="AP8" s="280"/>
      <c r="AQ8" s="280"/>
      <c r="AR8" s="280"/>
      <c r="AS8" s="280"/>
    </row>
    <row r="9" spans="1:45" s="282" customFormat="1" ht="13.05" customHeight="1" x14ac:dyDescent="0.25">
      <c r="A9" s="283">
        <v>2</v>
      </c>
      <c r="B9" s="270" t="str">
        <f>IF($E9="","",VLOOKUP($E9,'[12]1MD ELO'!$A$7:$O$22,14))</f>
        <v/>
      </c>
      <c r="C9" s="271" t="str">
        <f>IF($E9="","",VLOOKUP($E9,'[12]1MD ELO'!$A$7:$O$22,15))</f>
        <v/>
      </c>
      <c r="D9" s="271" t="str">
        <f>IF($E9="","",VLOOKUP($E9,'[12]1MD ELO'!$A$7:$O$22,5))</f>
        <v/>
      </c>
      <c r="E9" s="293"/>
      <c r="F9" s="294" t="s">
        <v>246</v>
      </c>
      <c r="G9" s="294" t="str">
        <f>IF($E9="","",VLOOKUP($E9,'[12]1MD ELO'!$A$7:$O$22,3))</f>
        <v/>
      </c>
      <c r="H9" s="294" t="s">
        <v>247</v>
      </c>
      <c r="I9" s="294" t="str">
        <f>IF($E9="","",VLOOKUP($E9,'[12]1MD ELO'!$A$7:$O$22,4))</f>
        <v/>
      </c>
      <c r="J9" s="295"/>
      <c r="K9" s="275" t="s">
        <v>114</v>
      </c>
      <c r="L9" s="296"/>
      <c r="M9" s="275"/>
      <c r="N9" s="275"/>
      <c r="O9" s="276"/>
      <c r="P9" s="277"/>
      <c r="Q9" s="278"/>
      <c r="R9" s="279"/>
      <c r="S9" s="280"/>
      <c r="T9" s="280"/>
      <c r="U9" s="292" t="str">
        <f>[12]Birók!P23</f>
        <v xml:space="preserve"> </v>
      </c>
      <c r="V9" s="280"/>
      <c r="W9" s="280"/>
      <c r="X9" s="280"/>
      <c r="Y9" s="236"/>
      <c r="Z9" s="236"/>
      <c r="AA9" s="236" t="s">
        <v>87</v>
      </c>
      <c r="AB9" s="237">
        <v>60</v>
      </c>
      <c r="AC9" s="237">
        <v>40</v>
      </c>
      <c r="AD9" s="237">
        <v>25</v>
      </c>
      <c r="AE9" s="237">
        <v>10</v>
      </c>
      <c r="AF9" s="237">
        <v>5</v>
      </c>
      <c r="AG9" s="237">
        <v>2</v>
      </c>
      <c r="AH9" s="237">
        <v>1</v>
      </c>
      <c r="AI9" s="234"/>
      <c r="AJ9" s="234"/>
      <c r="AK9" s="234"/>
      <c r="AL9" s="280"/>
      <c r="AM9" s="280"/>
      <c r="AN9" s="280"/>
      <c r="AO9" s="280"/>
      <c r="AP9" s="280"/>
      <c r="AQ9" s="280"/>
      <c r="AR9" s="280"/>
      <c r="AS9" s="280"/>
    </row>
    <row r="10" spans="1:45" s="282" customFormat="1" ht="13.05" customHeight="1" x14ac:dyDescent="0.25">
      <c r="A10" s="283"/>
      <c r="B10" s="284"/>
      <c r="C10" s="285"/>
      <c r="D10" s="285"/>
      <c r="E10" s="297"/>
      <c r="F10" s="287"/>
      <c r="G10" s="287"/>
      <c r="H10" s="288"/>
      <c r="I10" s="287"/>
      <c r="J10" s="298"/>
      <c r="K10" s="289" t="s">
        <v>0</v>
      </c>
      <c r="L10" s="299"/>
      <c r="M10" s="291" t="s">
        <v>245</v>
      </c>
      <c r="N10" s="300"/>
      <c r="O10" s="301"/>
      <c r="P10" s="301"/>
      <c r="Q10" s="278"/>
      <c r="R10" s="279"/>
      <c r="S10" s="280"/>
      <c r="T10" s="280"/>
      <c r="U10" s="292" t="str">
        <f>[12]Birók!P24</f>
        <v xml:space="preserve"> </v>
      </c>
      <c r="V10" s="280"/>
      <c r="W10" s="280"/>
      <c r="X10" s="280"/>
      <c r="Y10" s="236"/>
      <c r="Z10" s="236"/>
      <c r="AA10" s="236" t="s">
        <v>88</v>
      </c>
      <c r="AB10" s="237">
        <v>40</v>
      </c>
      <c r="AC10" s="237">
        <v>25</v>
      </c>
      <c r="AD10" s="237">
        <v>15</v>
      </c>
      <c r="AE10" s="237">
        <v>7</v>
      </c>
      <c r="AF10" s="237">
        <v>4</v>
      </c>
      <c r="AG10" s="237">
        <v>1</v>
      </c>
      <c r="AH10" s="237">
        <v>0</v>
      </c>
      <c r="AI10" s="234"/>
      <c r="AJ10" s="234"/>
      <c r="AK10" s="234"/>
      <c r="AL10" s="280"/>
      <c r="AM10" s="280"/>
      <c r="AN10" s="280"/>
      <c r="AO10" s="280"/>
      <c r="AP10" s="280"/>
      <c r="AQ10" s="280"/>
      <c r="AR10" s="280"/>
      <c r="AS10" s="280"/>
    </row>
    <row r="11" spans="1:45" s="282" customFormat="1" ht="13.05" customHeight="1" x14ac:dyDescent="0.25">
      <c r="A11" s="283">
        <v>3</v>
      </c>
      <c r="B11" s="270" t="str">
        <f>IF($E11="","",VLOOKUP($E11,'[12]1MD ELO'!$A$7:$O$22,14))</f>
        <v/>
      </c>
      <c r="C11" s="271" t="str">
        <f>IF($E11="","",VLOOKUP($E11,'[12]1MD ELO'!$A$7:$O$22,15))</f>
        <v/>
      </c>
      <c r="D11" s="271" t="str">
        <f>IF($E11="","",VLOOKUP($E11,'[12]1MD ELO'!$A$7:$O$22,5))</f>
        <v/>
      </c>
      <c r="E11" s="293"/>
      <c r="F11" s="294" t="s">
        <v>248</v>
      </c>
      <c r="G11" s="294" t="str">
        <f>IF($E11="","",VLOOKUP($E11,'[12]1MD ELO'!$A$7:$O$22,3))</f>
        <v/>
      </c>
      <c r="H11" s="294" t="s">
        <v>202</v>
      </c>
      <c r="I11" s="294" t="str">
        <f>IF($E11="","",VLOOKUP($E11,'[12]1MD ELO'!$A$7:$O$22,4))</f>
        <v/>
      </c>
      <c r="J11" s="274"/>
      <c r="K11" s="275"/>
      <c r="L11" s="302"/>
      <c r="M11" s="275" t="s">
        <v>124</v>
      </c>
      <c r="N11" s="304"/>
      <c r="O11" s="301"/>
      <c r="P11" s="301"/>
      <c r="Q11" s="278"/>
      <c r="R11" s="279"/>
      <c r="S11" s="280"/>
      <c r="T11" s="280"/>
      <c r="U11" s="292" t="str">
        <f>[12]Birók!P25</f>
        <v xml:space="preserve"> </v>
      </c>
      <c r="V11" s="280"/>
      <c r="W11" s="280"/>
      <c r="X11" s="280"/>
      <c r="Y11" s="236"/>
      <c r="Z11" s="236"/>
      <c r="AA11" s="236" t="s">
        <v>89</v>
      </c>
      <c r="AB11" s="237">
        <v>25</v>
      </c>
      <c r="AC11" s="237">
        <v>15</v>
      </c>
      <c r="AD11" s="237">
        <v>10</v>
      </c>
      <c r="AE11" s="237">
        <v>6</v>
      </c>
      <c r="AF11" s="237">
        <v>3</v>
      </c>
      <c r="AG11" s="237">
        <v>1</v>
      </c>
      <c r="AH11" s="237">
        <v>0</v>
      </c>
      <c r="AI11" s="234"/>
      <c r="AJ11" s="234"/>
      <c r="AK11" s="234"/>
      <c r="AL11" s="280"/>
      <c r="AM11" s="280"/>
      <c r="AN11" s="280"/>
      <c r="AO11" s="280"/>
      <c r="AP11" s="280"/>
      <c r="AQ11" s="280"/>
      <c r="AR11" s="280"/>
      <c r="AS11" s="280"/>
    </row>
    <row r="12" spans="1:45" s="282" customFormat="1" ht="13.05" customHeight="1" x14ac:dyDescent="0.25">
      <c r="A12" s="283"/>
      <c r="B12" s="284"/>
      <c r="C12" s="285"/>
      <c r="D12" s="285"/>
      <c r="E12" s="297"/>
      <c r="F12" s="287"/>
      <c r="G12" s="287"/>
      <c r="H12" s="288"/>
      <c r="I12" s="289" t="s">
        <v>0</v>
      </c>
      <c r="J12" s="290"/>
      <c r="K12" s="291" t="s">
        <v>249</v>
      </c>
      <c r="L12" s="305"/>
      <c r="M12" s="275"/>
      <c r="N12" s="304"/>
      <c r="O12" s="301"/>
      <c r="P12" s="301"/>
      <c r="Q12" s="278"/>
      <c r="R12" s="279"/>
      <c r="S12" s="280"/>
      <c r="T12" s="280"/>
      <c r="U12" s="292" t="str">
        <f>[12]Birók!P26</f>
        <v xml:space="preserve"> </v>
      </c>
      <c r="V12" s="280"/>
      <c r="W12" s="280"/>
      <c r="X12" s="280"/>
      <c r="Y12" s="236"/>
      <c r="Z12" s="236"/>
      <c r="AA12" s="236" t="s">
        <v>94</v>
      </c>
      <c r="AB12" s="237">
        <v>15</v>
      </c>
      <c r="AC12" s="237">
        <v>10</v>
      </c>
      <c r="AD12" s="237">
        <v>6</v>
      </c>
      <c r="AE12" s="237">
        <v>3</v>
      </c>
      <c r="AF12" s="237">
        <v>1</v>
      </c>
      <c r="AG12" s="237">
        <v>0</v>
      </c>
      <c r="AH12" s="237">
        <v>0</v>
      </c>
      <c r="AI12" s="234"/>
      <c r="AJ12" s="234"/>
      <c r="AK12" s="234"/>
      <c r="AL12" s="280"/>
      <c r="AM12" s="280"/>
      <c r="AN12" s="280"/>
      <c r="AO12" s="280"/>
      <c r="AP12" s="280"/>
      <c r="AQ12" s="280"/>
      <c r="AR12" s="280"/>
      <c r="AS12" s="280"/>
    </row>
    <row r="13" spans="1:45" s="282" customFormat="1" ht="13.05" customHeight="1" x14ac:dyDescent="0.25">
      <c r="A13" s="283">
        <v>4</v>
      </c>
      <c r="B13" s="270" t="str">
        <f>IF($E13="","",VLOOKUP($E13,'[12]1MD ELO'!$A$7:$O$22,14))</f>
        <v/>
      </c>
      <c r="C13" s="271" t="str">
        <f>IF($E13="","",VLOOKUP($E13,'[12]1MD ELO'!$A$7:$O$22,15))</f>
        <v/>
      </c>
      <c r="D13" s="271" t="str">
        <f>IF($E13="","",VLOOKUP($E13,'[12]1MD ELO'!$A$7:$O$22,5))</f>
        <v/>
      </c>
      <c r="E13" s="293"/>
      <c r="F13" s="294" t="s">
        <v>250</v>
      </c>
      <c r="G13" s="294" t="str">
        <f>IF($E13="","",VLOOKUP($E13,'[12]1MD ELO'!$A$7:$O$22,3))</f>
        <v/>
      </c>
      <c r="H13" s="294" t="s">
        <v>251</v>
      </c>
      <c r="I13" s="294" t="str">
        <f>IF($E13="","",VLOOKUP($E13,'[12]1MD ELO'!$A$7:$O$22,4))</f>
        <v/>
      </c>
      <c r="J13" s="306"/>
      <c r="K13" s="275" t="s">
        <v>114</v>
      </c>
      <c r="L13" s="275"/>
      <c r="M13" s="275"/>
      <c r="N13" s="304"/>
      <c r="O13" s="301"/>
      <c r="P13" s="301"/>
      <c r="Q13" s="278"/>
      <c r="R13" s="279"/>
      <c r="S13" s="280"/>
      <c r="T13" s="280"/>
      <c r="U13" s="292" t="str">
        <f>[12]Birók!P27</f>
        <v xml:space="preserve"> </v>
      </c>
      <c r="V13" s="280"/>
      <c r="W13" s="280"/>
      <c r="X13" s="280"/>
      <c r="Y13" s="236"/>
      <c r="Z13" s="236"/>
      <c r="AA13" s="236" t="s">
        <v>90</v>
      </c>
      <c r="AB13" s="237">
        <v>10</v>
      </c>
      <c r="AC13" s="237">
        <v>6</v>
      </c>
      <c r="AD13" s="237">
        <v>3</v>
      </c>
      <c r="AE13" s="237">
        <v>1</v>
      </c>
      <c r="AF13" s="237">
        <v>0</v>
      </c>
      <c r="AG13" s="237">
        <v>0</v>
      </c>
      <c r="AH13" s="237">
        <v>0</v>
      </c>
      <c r="AI13" s="234"/>
      <c r="AJ13" s="234"/>
      <c r="AK13" s="234"/>
      <c r="AL13" s="280"/>
      <c r="AM13" s="280"/>
      <c r="AN13" s="280"/>
      <c r="AO13" s="280"/>
      <c r="AP13" s="280"/>
      <c r="AQ13" s="280"/>
      <c r="AR13" s="280"/>
      <c r="AS13" s="280"/>
    </row>
    <row r="14" spans="1:45" s="282" customFormat="1" ht="13.05" customHeight="1" x14ac:dyDescent="0.25">
      <c r="A14" s="283"/>
      <c r="B14" s="284"/>
      <c r="C14" s="285"/>
      <c r="D14" s="285"/>
      <c r="E14" s="297"/>
      <c r="F14" s="287"/>
      <c r="G14" s="287"/>
      <c r="H14" s="288"/>
      <c r="I14" s="287"/>
      <c r="J14" s="298"/>
      <c r="K14" s="275"/>
      <c r="L14" s="275"/>
      <c r="M14" s="289" t="s">
        <v>0</v>
      </c>
      <c r="N14" s="299"/>
      <c r="O14" s="291" t="s">
        <v>245</v>
      </c>
      <c r="P14" s="300"/>
      <c r="Q14" s="278"/>
      <c r="R14" s="279"/>
      <c r="S14" s="280"/>
      <c r="T14" s="280"/>
      <c r="U14" s="292" t="str">
        <f>[12]Birók!P28</f>
        <v xml:space="preserve"> </v>
      </c>
      <c r="V14" s="280"/>
      <c r="W14" s="280"/>
      <c r="X14" s="280"/>
      <c r="Y14" s="236"/>
      <c r="Z14" s="236"/>
      <c r="AA14" s="236" t="s">
        <v>91</v>
      </c>
      <c r="AB14" s="237">
        <v>3</v>
      </c>
      <c r="AC14" s="237">
        <v>2</v>
      </c>
      <c r="AD14" s="237">
        <v>1</v>
      </c>
      <c r="AE14" s="237">
        <v>0</v>
      </c>
      <c r="AF14" s="237">
        <v>0</v>
      </c>
      <c r="AG14" s="237">
        <v>0</v>
      </c>
      <c r="AH14" s="237">
        <v>0</v>
      </c>
      <c r="AI14" s="234"/>
      <c r="AJ14" s="234"/>
      <c r="AK14" s="234"/>
      <c r="AL14" s="280"/>
      <c r="AM14" s="280"/>
      <c r="AN14" s="280"/>
      <c r="AO14" s="280"/>
      <c r="AP14" s="280"/>
      <c r="AQ14" s="280"/>
      <c r="AR14" s="280"/>
      <c r="AS14" s="280"/>
    </row>
    <row r="15" spans="1:45" s="282" customFormat="1" ht="13.05" customHeight="1" x14ac:dyDescent="0.25">
      <c r="A15" s="307">
        <v>5</v>
      </c>
      <c r="B15" s="270" t="str">
        <f>IF($E15="","",VLOOKUP($E15,'[12]1MD ELO'!$A$7:$O$22,14))</f>
        <v/>
      </c>
      <c r="C15" s="271" t="str">
        <f>IF($E15="","",VLOOKUP($E15,'[12]1MD ELO'!$A$7:$O$22,15))</f>
        <v/>
      </c>
      <c r="D15" s="271" t="str">
        <f>IF($E15="","",VLOOKUP($E15,'[12]1MD ELO'!$A$7:$O$22,5))</f>
        <v/>
      </c>
      <c r="E15" s="293"/>
      <c r="F15" s="294" t="s">
        <v>252</v>
      </c>
      <c r="G15" s="294" t="str">
        <f>IF($E15="","",VLOOKUP($E15,'[12]1MD ELO'!$A$7:$O$22,3))</f>
        <v/>
      </c>
      <c r="H15" s="294" t="s">
        <v>211</v>
      </c>
      <c r="I15" s="294" t="str">
        <f>IF($E15="","",VLOOKUP($E15,'[12]1MD ELO'!$A$7:$O$22,4))</f>
        <v/>
      </c>
      <c r="J15" s="308"/>
      <c r="K15" s="275"/>
      <c r="L15" s="275"/>
      <c r="M15" s="275"/>
      <c r="N15" s="304"/>
      <c r="O15" s="275" t="s">
        <v>253</v>
      </c>
      <c r="P15" s="301"/>
      <c r="Q15" s="278"/>
      <c r="R15" s="279"/>
      <c r="S15" s="280"/>
      <c r="T15" s="280"/>
      <c r="U15" s="292" t="str">
        <f>[12]Birók!P29</f>
        <v xml:space="preserve"> </v>
      </c>
      <c r="V15" s="280"/>
      <c r="W15" s="280"/>
      <c r="X15" s="280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4"/>
      <c r="AJ15" s="234"/>
      <c r="AK15" s="234"/>
      <c r="AL15" s="280"/>
      <c r="AM15" s="280"/>
      <c r="AN15" s="280"/>
      <c r="AO15" s="280"/>
      <c r="AP15" s="280"/>
      <c r="AQ15" s="280"/>
      <c r="AR15" s="280"/>
      <c r="AS15" s="280"/>
    </row>
    <row r="16" spans="1:45" s="282" customFormat="1" ht="13.05" customHeight="1" thickBot="1" x14ac:dyDescent="0.3">
      <c r="A16" s="283"/>
      <c r="B16" s="284"/>
      <c r="C16" s="285"/>
      <c r="D16" s="285"/>
      <c r="E16" s="297"/>
      <c r="F16" s="287"/>
      <c r="G16" s="287"/>
      <c r="H16" s="288"/>
      <c r="I16" s="289" t="s">
        <v>0</v>
      </c>
      <c r="J16" s="290"/>
      <c r="K16" s="291" t="s">
        <v>254</v>
      </c>
      <c r="L16" s="291"/>
      <c r="M16" s="275"/>
      <c r="N16" s="304"/>
      <c r="O16" s="289"/>
      <c r="P16" s="301"/>
      <c r="Q16" s="278"/>
      <c r="R16" s="279"/>
      <c r="S16" s="280"/>
      <c r="T16" s="280"/>
      <c r="U16" s="309" t="str">
        <f>[12]Birók!P30</f>
        <v>Egyik sem</v>
      </c>
      <c r="V16" s="280"/>
      <c r="W16" s="280"/>
      <c r="X16" s="280"/>
      <c r="Y16" s="236"/>
      <c r="Z16" s="236"/>
      <c r="AA16" s="236" t="s">
        <v>52</v>
      </c>
      <c r="AB16" s="237">
        <v>150</v>
      </c>
      <c r="AC16" s="237">
        <v>120</v>
      </c>
      <c r="AD16" s="237">
        <v>90</v>
      </c>
      <c r="AE16" s="237">
        <v>60</v>
      </c>
      <c r="AF16" s="237">
        <v>40</v>
      </c>
      <c r="AG16" s="237">
        <v>25</v>
      </c>
      <c r="AH16" s="237">
        <v>15</v>
      </c>
      <c r="AI16" s="234"/>
      <c r="AJ16" s="234"/>
      <c r="AK16" s="234"/>
      <c r="AL16" s="280"/>
      <c r="AM16" s="280"/>
      <c r="AN16" s="280"/>
      <c r="AO16" s="280"/>
      <c r="AP16" s="280"/>
      <c r="AQ16" s="280"/>
      <c r="AR16" s="280"/>
      <c r="AS16" s="280"/>
    </row>
    <row r="17" spans="1:45" s="282" customFormat="1" ht="13.05" customHeight="1" x14ac:dyDescent="0.25">
      <c r="A17" s="283">
        <v>6</v>
      </c>
      <c r="B17" s="270" t="str">
        <f>IF($E17="","",VLOOKUP($E17,'[12]1MD ELO'!$A$7:$O$22,14))</f>
        <v/>
      </c>
      <c r="C17" s="271" t="str">
        <f>IF($E17="","",VLOOKUP($E17,'[12]1MD ELO'!$A$7:$O$22,15))</f>
        <v/>
      </c>
      <c r="D17" s="271" t="str">
        <f>IF($E17="","",VLOOKUP($E17,'[12]1MD ELO'!$A$7:$O$22,5))</f>
        <v/>
      </c>
      <c r="E17" s="293"/>
      <c r="F17" s="294" t="s">
        <v>255</v>
      </c>
      <c r="G17" s="294" t="str">
        <f>IF($E17="","",VLOOKUP($E17,'[12]1MD ELO'!$A$7:$O$22,3))</f>
        <v/>
      </c>
      <c r="H17" s="294" t="s">
        <v>247</v>
      </c>
      <c r="I17" s="294" t="str">
        <f>IF($E17="","",VLOOKUP($E17,'[12]1MD ELO'!$A$7:$O$22,4))</f>
        <v/>
      </c>
      <c r="J17" s="295"/>
      <c r="K17" s="275" t="s">
        <v>256</v>
      </c>
      <c r="L17" s="296"/>
      <c r="M17" s="275"/>
      <c r="N17" s="304"/>
      <c r="O17" s="301"/>
      <c r="P17" s="301"/>
      <c r="Q17" s="278"/>
      <c r="R17" s="279"/>
      <c r="S17" s="280"/>
      <c r="T17" s="280"/>
      <c r="U17" s="280"/>
      <c r="V17" s="280"/>
      <c r="W17" s="280"/>
      <c r="X17" s="280"/>
      <c r="Y17" s="236"/>
      <c r="Z17" s="236"/>
      <c r="AA17" s="236" t="s">
        <v>82</v>
      </c>
      <c r="AB17" s="237">
        <v>120</v>
      </c>
      <c r="AC17" s="237">
        <v>90</v>
      </c>
      <c r="AD17" s="237">
        <v>60</v>
      </c>
      <c r="AE17" s="237">
        <v>40</v>
      </c>
      <c r="AF17" s="237">
        <v>25</v>
      </c>
      <c r="AG17" s="237">
        <v>15</v>
      </c>
      <c r="AH17" s="237">
        <v>8</v>
      </c>
      <c r="AI17" s="234"/>
      <c r="AJ17" s="234"/>
      <c r="AK17" s="234"/>
      <c r="AL17" s="280"/>
      <c r="AM17" s="280"/>
      <c r="AN17" s="280"/>
      <c r="AO17" s="280"/>
      <c r="AP17" s="280"/>
      <c r="AQ17" s="280"/>
      <c r="AR17" s="280"/>
      <c r="AS17" s="280"/>
    </row>
    <row r="18" spans="1:45" s="282" customFormat="1" ht="13.05" customHeight="1" x14ac:dyDescent="0.25">
      <c r="A18" s="283"/>
      <c r="B18" s="284"/>
      <c r="C18" s="285"/>
      <c r="D18" s="285"/>
      <c r="E18" s="297"/>
      <c r="F18" s="287"/>
      <c r="G18" s="287"/>
      <c r="H18" s="288"/>
      <c r="I18" s="287"/>
      <c r="J18" s="298"/>
      <c r="K18" s="289" t="s">
        <v>0</v>
      </c>
      <c r="L18" s="299"/>
      <c r="M18" s="291" t="s">
        <v>257</v>
      </c>
      <c r="N18" s="310"/>
      <c r="O18" s="301"/>
      <c r="P18" s="301"/>
      <c r="Q18" s="278"/>
      <c r="R18" s="279"/>
      <c r="S18" s="280"/>
      <c r="T18" s="280"/>
      <c r="U18" s="280"/>
      <c r="V18" s="280"/>
      <c r="W18" s="280"/>
      <c r="X18" s="280"/>
      <c r="Y18" s="236"/>
      <c r="Z18" s="236"/>
      <c r="AA18" s="236" t="s">
        <v>83</v>
      </c>
      <c r="AB18" s="237">
        <v>90</v>
      </c>
      <c r="AC18" s="237">
        <v>60</v>
      </c>
      <c r="AD18" s="237">
        <v>40</v>
      </c>
      <c r="AE18" s="237">
        <v>25</v>
      </c>
      <c r="AF18" s="237">
        <v>15</v>
      </c>
      <c r="AG18" s="237">
        <v>8</v>
      </c>
      <c r="AH18" s="237">
        <v>4</v>
      </c>
      <c r="AI18" s="234"/>
      <c r="AJ18" s="234"/>
      <c r="AK18" s="234"/>
      <c r="AL18" s="280"/>
      <c r="AM18" s="280"/>
      <c r="AN18" s="280"/>
      <c r="AO18" s="280"/>
      <c r="AP18" s="280"/>
      <c r="AQ18" s="280"/>
      <c r="AR18" s="280"/>
      <c r="AS18" s="280"/>
    </row>
    <row r="19" spans="1:45" s="282" customFormat="1" ht="13.05" customHeight="1" x14ac:dyDescent="0.25">
      <c r="A19" s="283">
        <v>7</v>
      </c>
      <c r="B19" s="270" t="str">
        <f>IF($E19="","",VLOOKUP($E19,'[12]1MD ELO'!$A$7:$O$22,14))</f>
        <v/>
      </c>
      <c r="C19" s="271" t="str">
        <f>IF($E19="","",VLOOKUP($E19,'[12]1MD ELO'!$A$7:$O$22,15))</f>
        <v/>
      </c>
      <c r="D19" s="271" t="str">
        <f>IF($E19="","",VLOOKUP($E19,'[12]1MD ELO'!$A$7:$O$22,5))</f>
        <v/>
      </c>
      <c r="E19" s="293"/>
      <c r="F19" s="294" t="s">
        <v>258</v>
      </c>
      <c r="G19" s="294" t="str">
        <f>IF($E19="","",VLOOKUP($E19,'[12]1MD ELO'!$A$7:$O$22,3))</f>
        <v/>
      </c>
      <c r="H19" s="294" t="s">
        <v>259</v>
      </c>
      <c r="I19" s="294" t="str">
        <f>IF($E19="","",VLOOKUP($E19,'[12]1MD ELO'!$A$7:$O$22,4))</f>
        <v/>
      </c>
      <c r="J19" s="274"/>
      <c r="K19" s="275"/>
      <c r="L19" s="302"/>
      <c r="M19" s="275" t="s">
        <v>194</v>
      </c>
      <c r="N19" s="301"/>
      <c r="O19" s="301"/>
      <c r="P19" s="301"/>
      <c r="Q19" s="278"/>
      <c r="R19" s="279"/>
      <c r="S19" s="280"/>
      <c r="T19" s="280"/>
      <c r="U19" s="280"/>
      <c r="V19" s="280"/>
      <c r="W19" s="280"/>
      <c r="X19" s="280"/>
      <c r="Y19" s="236"/>
      <c r="Z19" s="236"/>
      <c r="AA19" s="236" t="s">
        <v>84</v>
      </c>
      <c r="AB19" s="237">
        <v>60</v>
      </c>
      <c r="AC19" s="237">
        <v>40</v>
      </c>
      <c r="AD19" s="237">
        <v>25</v>
      </c>
      <c r="AE19" s="237">
        <v>15</v>
      </c>
      <c r="AF19" s="237">
        <v>8</v>
      </c>
      <c r="AG19" s="237">
        <v>4</v>
      </c>
      <c r="AH19" s="237">
        <v>2</v>
      </c>
      <c r="AI19" s="234"/>
      <c r="AJ19" s="234"/>
      <c r="AK19" s="234"/>
      <c r="AL19" s="280"/>
      <c r="AM19" s="280"/>
      <c r="AN19" s="280"/>
      <c r="AO19" s="280"/>
      <c r="AP19" s="280"/>
      <c r="AQ19" s="280"/>
      <c r="AR19" s="280"/>
      <c r="AS19" s="280"/>
    </row>
    <row r="20" spans="1:45" s="282" customFormat="1" ht="13.05" customHeight="1" x14ac:dyDescent="0.25">
      <c r="A20" s="283"/>
      <c r="B20" s="284"/>
      <c r="C20" s="285"/>
      <c r="D20" s="285"/>
      <c r="E20" s="286"/>
      <c r="F20" s="287"/>
      <c r="G20" s="287"/>
      <c r="H20" s="288"/>
      <c r="I20" s="289" t="s">
        <v>0</v>
      </c>
      <c r="J20" s="290"/>
      <c r="K20" s="291" t="s">
        <v>257</v>
      </c>
      <c r="L20" s="305"/>
      <c r="M20" s="275"/>
      <c r="N20" s="301"/>
      <c r="O20" s="301"/>
      <c r="P20" s="301"/>
      <c r="Q20" s="278"/>
      <c r="R20" s="279"/>
      <c r="S20" s="280"/>
      <c r="T20" s="280"/>
      <c r="U20" s="280"/>
      <c r="V20" s="280"/>
      <c r="W20" s="280"/>
      <c r="X20" s="280"/>
      <c r="Y20" s="236"/>
      <c r="Z20" s="236"/>
      <c r="AA20" s="236" t="s">
        <v>85</v>
      </c>
      <c r="AB20" s="237">
        <v>40</v>
      </c>
      <c r="AC20" s="237">
        <v>25</v>
      </c>
      <c r="AD20" s="237">
        <v>15</v>
      </c>
      <c r="AE20" s="237">
        <v>8</v>
      </c>
      <c r="AF20" s="237">
        <v>4</v>
      </c>
      <c r="AG20" s="237">
        <v>2</v>
      </c>
      <c r="AH20" s="237">
        <v>1</v>
      </c>
      <c r="AI20" s="234"/>
      <c r="AJ20" s="234"/>
      <c r="AK20" s="234"/>
      <c r="AL20" s="280"/>
      <c r="AM20" s="280"/>
      <c r="AN20" s="280"/>
      <c r="AO20" s="280"/>
      <c r="AP20" s="280"/>
      <c r="AQ20" s="280"/>
      <c r="AR20" s="280"/>
      <c r="AS20" s="280"/>
    </row>
    <row r="21" spans="1:45" s="282" customFormat="1" ht="13.05" customHeight="1" x14ac:dyDescent="0.25">
      <c r="A21" s="311">
        <v>8</v>
      </c>
      <c r="B21" s="270" t="str">
        <f>IF($E21="","",VLOOKUP($E21,'[12]1MD ELO'!$A$7:$O$22,14))</f>
        <v/>
      </c>
      <c r="C21" s="271" t="str">
        <f>IF($E21="","",VLOOKUP($E21,'[12]1MD ELO'!$A$7:$O$22,15))</f>
        <v/>
      </c>
      <c r="D21" s="271" t="str">
        <f>IF($E21="","",VLOOKUP($E21,'[12]1MD ELO'!$A$7:$O$22,5))</f>
        <v/>
      </c>
      <c r="E21" s="272"/>
      <c r="F21" s="312" t="s">
        <v>260</v>
      </c>
      <c r="G21" s="312" t="str">
        <f>IF($E21="","",VLOOKUP($E21,'[12]1MD ELO'!$A$7:$O$22,3))</f>
        <v/>
      </c>
      <c r="H21" s="312" t="s">
        <v>247</v>
      </c>
      <c r="I21" s="312" t="str">
        <f>IF($E21="","",VLOOKUP($E21,'[12]1MD ELO'!$A$7:$O$22,4))</f>
        <v/>
      </c>
      <c r="J21" s="306"/>
      <c r="K21" s="275" t="s">
        <v>261</v>
      </c>
      <c r="L21" s="275"/>
      <c r="M21" s="275"/>
      <c r="N21" s="301"/>
      <c r="O21" s="301"/>
      <c r="P21" s="301"/>
      <c r="Q21" s="278"/>
      <c r="R21" s="279"/>
      <c r="S21" s="280"/>
      <c r="T21" s="280"/>
      <c r="U21" s="280"/>
      <c r="V21" s="280"/>
      <c r="W21" s="280"/>
      <c r="X21" s="280"/>
      <c r="Y21" s="236"/>
      <c r="Z21" s="236"/>
      <c r="AA21" s="236" t="s">
        <v>86</v>
      </c>
      <c r="AB21" s="237">
        <v>25</v>
      </c>
      <c r="AC21" s="237">
        <v>15</v>
      </c>
      <c r="AD21" s="237">
        <v>10</v>
      </c>
      <c r="AE21" s="237">
        <v>6</v>
      </c>
      <c r="AF21" s="237">
        <v>3</v>
      </c>
      <c r="AG21" s="237">
        <v>1</v>
      </c>
      <c r="AH21" s="237">
        <v>0</v>
      </c>
      <c r="AI21" s="234"/>
      <c r="AJ21" s="234"/>
      <c r="AK21" s="234"/>
      <c r="AL21" s="280"/>
      <c r="AM21" s="280"/>
      <c r="AN21" s="280"/>
      <c r="AO21" s="280"/>
      <c r="AP21" s="280"/>
      <c r="AQ21" s="280"/>
      <c r="AR21" s="280"/>
      <c r="AS21" s="280"/>
    </row>
    <row r="22" spans="1:45" s="282" customFormat="1" ht="9.4499999999999993" customHeight="1" x14ac:dyDescent="0.25">
      <c r="A22" s="313"/>
      <c r="B22" s="276"/>
      <c r="C22" s="276"/>
      <c r="D22" s="276"/>
      <c r="E22" s="286"/>
      <c r="F22" s="276"/>
      <c r="G22" s="276"/>
      <c r="H22" s="276"/>
      <c r="I22" s="276"/>
      <c r="J22" s="286"/>
      <c r="K22" s="276"/>
      <c r="L22" s="276"/>
      <c r="M22" s="276"/>
      <c r="N22" s="278"/>
      <c r="O22" s="278"/>
      <c r="P22" s="278"/>
      <c r="Q22" s="278"/>
      <c r="R22" s="279"/>
      <c r="S22" s="280"/>
      <c r="T22" s="280"/>
      <c r="U22" s="280"/>
      <c r="V22" s="280"/>
      <c r="W22" s="280"/>
      <c r="X22" s="280"/>
      <c r="Y22" s="236"/>
      <c r="Z22" s="236"/>
      <c r="AA22" s="236" t="s">
        <v>87</v>
      </c>
      <c r="AB22" s="237">
        <v>15</v>
      </c>
      <c r="AC22" s="237">
        <v>10</v>
      </c>
      <c r="AD22" s="237">
        <v>6</v>
      </c>
      <c r="AE22" s="237">
        <v>3</v>
      </c>
      <c r="AF22" s="237">
        <v>1</v>
      </c>
      <c r="AG22" s="237">
        <v>0</v>
      </c>
      <c r="AH22" s="237">
        <v>0</v>
      </c>
      <c r="AI22" s="234"/>
      <c r="AJ22" s="234"/>
      <c r="AK22" s="234"/>
      <c r="AL22" s="280"/>
      <c r="AM22" s="280"/>
      <c r="AN22" s="280"/>
      <c r="AO22" s="280"/>
      <c r="AP22" s="280"/>
      <c r="AQ22" s="280"/>
      <c r="AR22" s="280"/>
      <c r="AS22" s="280"/>
    </row>
    <row r="23" spans="1:45" s="282" customFormat="1" ht="9.4499999999999993" customHeight="1" x14ac:dyDescent="0.25">
      <c r="A23" s="314"/>
      <c r="B23" s="286"/>
      <c r="C23" s="286"/>
      <c r="D23" s="286"/>
      <c r="E23" s="286"/>
      <c r="F23" s="276"/>
      <c r="G23" s="276"/>
      <c r="H23" s="280"/>
      <c r="I23" s="315"/>
      <c r="J23" s="286"/>
      <c r="K23" s="276"/>
      <c r="L23" s="276"/>
      <c r="M23" s="276"/>
      <c r="N23" s="278"/>
      <c r="O23" s="278"/>
      <c r="P23" s="278"/>
      <c r="Q23" s="278"/>
      <c r="R23" s="279"/>
      <c r="S23" s="280"/>
      <c r="T23" s="280"/>
      <c r="U23" s="280"/>
      <c r="V23" s="280"/>
      <c r="W23" s="280"/>
      <c r="X23" s="280"/>
      <c r="Y23" s="236"/>
      <c r="Z23" s="236"/>
      <c r="AA23" s="236" t="s">
        <v>88</v>
      </c>
      <c r="AB23" s="237">
        <v>10</v>
      </c>
      <c r="AC23" s="237">
        <v>6</v>
      </c>
      <c r="AD23" s="237">
        <v>3</v>
      </c>
      <c r="AE23" s="237">
        <v>1</v>
      </c>
      <c r="AF23" s="237">
        <v>0</v>
      </c>
      <c r="AG23" s="237">
        <v>0</v>
      </c>
      <c r="AH23" s="237">
        <v>0</v>
      </c>
      <c r="AI23" s="234"/>
      <c r="AJ23" s="234"/>
      <c r="AK23" s="234"/>
      <c r="AL23" s="280"/>
      <c r="AM23" s="280"/>
      <c r="AN23" s="280"/>
      <c r="AO23" s="280"/>
      <c r="AP23" s="280"/>
      <c r="AQ23" s="280"/>
      <c r="AR23" s="280"/>
      <c r="AS23" s="280"/>
    </row>
    <row r="24" spans="1:45" s="282" customFormat="1" ht="9.4499999999999993" customHeight="1" x14ac:dyDescent="0.25">
      <c r="A24" s="314"/>
      <c r="B24" s="276"/>
      <c r="C24" s="276"/>
      <c r="D24" s="276"/>
      <c r="E24" s="286"/>
      <c r="F24" s="276"/>
      <c r="G24" s="276"/>
      <c r="H24" s="276"/>
      <c r="I24" s="276"/>
      <c r="J24" s="286"/>
      <c r="K24" s="276"/>
      <c r="L24" s="316"/>
      <c r="M24" s="276"/>
      <c r="N24" s="278"/>
      <c r="O24" s="278"/>
      <c r="P24" s="278"/>
      <c r="Q24" s="278"/>
      <c r="R24" s="279"/>
      <c r="S24" s="280"/>
      <c r="T24" s="280"/>
      <c r="U24" s="280"/>
      <c r="V24" s="280"/>
      <c r="W24" s="280"/>
      <c r="X24" s="280"/>
      <c r="Y24" s="236"/>
      <c r="Z24" s="236"/>
      <c r="AA24" s="236" t="s">
        <v>89</v>
      </c>
      <c r="AB24" s="237">
        <v>6</v>
      </c>
      <c r="AC24" s="237">
        <v>3</v>
      </c>
      <c r="AD24" s="237">
        <v>1</v>
      </c>
      <c r="AE24" s="237">
        <v>0</v>
      </c>
      <c r="AF24" s="237">
        <v>0</v>
      </c>
      <c r="AG24" s="237">
        <v>0</v>
      </c>
      <c r="AH24" s="237">
        <v>0</v>
      </c>
      <c r="AI24" s="234"/>
      <c r="AJ24" s="234"/>
      <c r="AK24" s="234"/>
      <c r="AL24" s="280"/>
      <c r="AM24" s="280"/>
      <c r="AN24" s="280"/>
      <c r="AO24" s="280"/>
      <c r="AP24" s="280"/>
      <c r="AQ24" s="280"/>
      <c r="AR24" s="280"/>
      <c r="AS24" s="280"/>
    </row>
    <row r="25" spans="1:45" s="282" customFormat="1" ht="9.4499999999999993" customHeight="1" x14ac:dyDescent="0.25">
      <c r="A25" s="314"/>
      <c r="B25" s="286"/>
      <c r="C25" s="286"/>
      <c r="D25" s="286"/>
      <c r="E25" s="286"/>
      <c r="F25" s="276"/>
      <c r="G25" s="276"/>
      <c r="H25" s="280"/>
      <c r="I25" s="276"/>
      <c r="J25" s="286"/>
      <c r="K25" s="315"/>
      <c r="L25" s="286"/>
      <c r="M25" s="276"/>
      <c r="N25" s="278"/>
      <c r="O25" s="278"/>
      <c r="P25" s="278"/>
      <c r="Q25" s="278"/>
      <c r="R25" s="279"/>
      <c r="S25" s="280"/>
      <c r="T25" s="280"/>
      <c r="U25" s="280"/>
      <c r="V25" s="280"/>
      <c r="W25" s="280"/>
      <c r="X25" s="280"/>
      <c r="Y25" s="236"/>
      <c r="Z25" s="236"/>
      <c r="AA25" s="236" t="s">
        <v>94</v>
      </c>
      <c r="AB25" s="237">
        <v>3</v>
      </c>
      <c r="AC25" s="237">
        <v>2</v>
      </c>
      <c r="AD25" s="237">
        <v>1</v>
      </c>
      <c r="AE25" s="237">
        <v>0</v>
      </c>
      <c r="AF25" s="237">
        <v>0</v>
      </c>
      <c r="AG25" s="237">
        <v>0</v>
      </c>
      <c r="AH25" s="237">
        <v>0</v>
      </c>
      <c r="AI25" s="234"/>
      <c r="AJ25" s="234"/>
      <c r="AK25" s="234"/>
      <c r="AL25" s="280"/>
      <c r="AM25" s="280"/>
      <c r="AN25" s="280"/>
      <c r="AO25" s="280"/>
      <c r="AP25" s="280"/>
      <c r="AQ25" s="280"/>
      <c r="AR25" s="280"/>
      <c r="AS25" s="280"/>
    </row>
    <row r="26" spans="1:45" s="282" customFormat="1" ht="9.4499999999999993" customHeight="1" x14ac:dyDescent="0.25">
      <c r="A26" s="314"/>
      <c r="B26" s="276"/>
      <c r="C26" s="276"/>
      <c r="D26" s="276"/>
      <c r="E26" s="286"/>
      <c r="F26" s="276"/>
      <c r="G26" s="276"/>
      <c r="H26" s="276"/>
      <c r="I26" s="276"/>
      <c r="J26" s="286"/>
      <c r="K26" s="276"/>
      <c r="L26" s="276"/>
      <c r="M26" s="276"/>
      <c r="N26" s="278"/>
      <c r="O26" s="278"/>
      <c r="P26" s="278"/>
      <c r="Q26" s="278"/>
      <c r="R26" s="279"/>
      <c r="S26" s="317"/>
      <c r="T26" s="280"/>
      <c r="U26" s="280"/>
      <c r="V26" s="280"/>
      <c r="W26" s="280"/>
      <c r="X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234"/>
      <c r="AJ26" s="234"/>
      <c r="AK26" s="234"/>
      <c r="AL26" s="280"/>
      <c r="AM26" s="280"/>
      <c r="AN26" s="280"/>
      <c r="AO26" s="280"/>
      <c r="AP26" s="280"/>
      <c r="AQ26" s="280"/>
      <c r="AR26" s="280"/>
      <c r="AS26" s="280"/>
    </row>
    <row r="27" spans="1:45" s="282" customFormat="1" ht="9.4499999999999993" customHeight="1" x14ac:dyDescent="0.25">
      <c r="A27" s="314"/>
      <c r="B27" s="286"/>
      <c r="C27" s="286"/>
      <c r="D27" s="286"/>
      <c r="E27" s="286"/>
      <c r="F27" s="276"/>
      <c r="G27" s="276"/>
      <c r="H27" s="280"/>
      <c r="I27" s="315"/>
      <c r="J27" s="286"/>
      <c r="K27" s="276"/>
      <c r="L27" s="276"/>
      <c r="M27" s="276"/>
      <c r="N27" s="278"/>
      <c r="O27" s="278"/>
      <c r="P27" s="278"/>
      <c r="Q27" s="278"/>
      <c r="R27" s="279"/>
      <c r="S27" s="280"/>
      <c r="T27" s="280"/>
      <c r="U27" s="280"/>
      <c r="V27" s="280"/>
      <c r="W27" s="280"/>
      <c r="X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234"/>
      <c r="AJ27" s="234"/>
      <c r="AK27" s="234"/>
      <c r="AL27" s="280"/>
      <c r="AM27" s="280"/>
      <c r="AN27" s="280"/>
      <c r="AO27" s="280"/>
      <c r="AP27" s="280"/>
      <c r="AQ27" s="280"/>
      <c r="AR27" s="280"/>
      <c r="AS27" s="280"/>
    </row>
    <row r="28" spans="1:45" s="282" customFormat="1" ht="9.4499999999999993" customHeight="1" x14ac:dyDescent="0.25">
      <c r="A28" s="314"/>
      <c r="B28" s="276"/>
      <c r="C28" s="276"/>
      <c r="D28" s="276"/>
      <c r="E28" s="286"/>
      <c r="F28" s="276"/>
      <c r="G28" s="276"/>
      <c r="H28" s="276"/>
      <c r="I28" s="276"/>
      <c r="J28" s="286"/>
      <c r="K28" s="276"/>
      <c r="L28" s="276"/>
      <c r="M28" s="276"/>
      <c r="N28" s="278"/>
      <c r="O28" s="278"/>
      <c r="P28" s="278"/>
      <c r="Q28" s="278"/>
      <c r="R28" s="279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</row>
    <row r="29" spans="1:45" s="282" customFormat="1" ht="9.4499999999999993" customHeight="1" x14ac:dyDescent="0.25">
      <c r="A29" s="314"/>
      <c r="B29" s="286"/>
      <c r="C29" s="286"/>
      <c r="D29" s="286"/>
      <c r="E29" s="286"/>
      <c r="F29" s="276"/>
      <c r="G29" s="276"/>
      <c r="H29" s="280"/>
      <c r="I29" s="276"/>
      <c r="J29" s="286"/>
      <c r="K29" s="276"/>
      <c r="L29" s="276"/>
      <c r="M29" s="315"/>
      <c r="N29" s="286"/>
      <c r="O29" s="276"/>
      <c r="P29" s="278"/>
      <c r="Q29" s="278"/>
      <c r="R29" s="279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</row>
    <row r="30" spans="1:45" s="282" customFormat="1" ht="9.4499999999999993" customHeight="1" x14ac:dyDescent="0.25">
      <c r="A30" s="314"/>
      <c r="B30" s="276"/>
      <c r="C30" s="276"/>
      <c r="D30" s="276"/>
      <c r="E30" s="286"/>
      <c r="F30" s="276"/>
      <c r="G30" s="276"/>
      <c r="H30" s="276"/>
      <c r="I30" s="276"/>
      <c r="J30" s="286"/>
      <c r="K30" s="276"/>
      <c r="L30" s="276"/>
      <c r="M30" s="276"/>
      <c r="N30" s="278"/>
      <c r="O30" s="276"/>
      <c r="P30" s="278"/>
      <c r="Q30" s="278"/>
      <c r="R30" s="279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</row>
    <row r="31" spans="1:45" s="282" customFormat="1" ht="9.4499999999999993" customHeight="1" x14ac:dyDescent="0.25">
      <c r="A31" s="314"/>
      <c r="B31" s="286"/>
      <c r="C31" s="286"/>
      <c r="D31" s="286"/>
      <c r="E31" s="286"/>
      <c r="F31" s="276"/>
      <c r="G31" s="276"/>
      <c r="H31" s="280"/>
      <c r="I31" s="315"/>
      <c r="J31" s="286"/>
      <c r="K31" s="276"/>
      <c r="L31" s="276"/>
      <c r="M31" s="276"/>
      <c r="N31" s="278"/>
      <c r="O31" s="278"/>
      <c r="P31" s="278"/>
      <c r="Q31" s="278"/>
      <c r="R31" s="279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</row>
    <row r="32" spans="1:45" s="282" customFormat="1" ht="9.4499999999999993" customHeight="1" x14ac:dyDescent="0.25">
      <c r="A32" s="314"/>
      <c r="B32" s="276"/>
      <c r="C32" s="276"/>
      <c r="D32" s="276"/>
      <c r="E32" s="286"/>
      <c r="F32" s="276"/>
      <c r="G32" s="276"/>
      <c r="H32" s="276"/>
      <c r="I32" s="276"/>
      <c r="J32" s="286"/>
      <c r="K32" s="276"/>
      <c r="L32" s="316"/>
      <c r="M32" s="276"/>
      <c r="N32" s="278"/>
      <c r="O32" s="278"/>
      <c r="P32" s="278"/>
      <c r="Q32" s="278"/>
      <c r="R32" s="279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</row>
    <row r="33" spans="1:45" s="282" customFormat="1" ht="9.4499999999999993" customHeight="1" x14ac:dyDescent="0.25">
      <c r="A33" s="314"/>
      <c r="B33" s="286"/>
      <c r="C33" s="286"/>
      <c r="D33" s="286"/>
      <c r="E33" s="286"/>
      <c r="F33" s="276"/>
      <c r="G33" s="276"/>
      <c r="H33" s="280"/>
      <c r="I33" s="276"/>
      <c r="J33" s="286"/>
      <c r="K33" s="315"/>
      <c r="L33" s="286"/>
      <c r="M33" s="276"/>
      <c r="N33" s="278"/>
      <c r="O33" s="278"/>
      <c r="P33" s="278"/>
      <c r="Q33" s="278"/>
      <c r="R33" s="279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</row>
    <row r="34" spans="1:45" s="282" customFormat="1" ht="9.4499999999999993" customHeight="1" x14ac:dyDescent="0.25">
      <c r="A34" s="314"/>
      <c r="B34" s="276"/>
      <c r="C34" s="276"/>
      <c r="D34" s="276"/>
      <c r="E34" s="286"/>
      <c r="F34" s="276"/>
      <c r="G34" s="276"/>
      <c r="H34" s="276"/>
      <c r="I34" s="276"/>
      <c r="J34" s="286"/>
      <c r="K34" s="276"/>
      <c r="L34" s="276"/>
      <c r="M34" s="276"/>
      <c r="N34" s="278"/>
      <c r="O34" s="278"/>
      <c r="P34" s="278"/>
      <c r="Q34" s="278"/>
      <c r="R34" s="279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</row>
    <row r="35" spans="1:45" s="282" customFormat="1" ht="9.4499999999999993" customHeight="1" x14ac:dyDescent="0.25">
      <c r="A35" s="314"/>
      <c r="B35" s="286"/>
      <c r="C35" s="286"/>
      <c r="D35" s="286"/>
      <c r="E35" s="286"/>
      <c r="F35" s="276"/>
      <c r="G35" s="276"/>
      <c r="H35" s="280"/>
      <c r="I35" s="315"/>
      <c r="J35" s="286"/>
      <c r="K35" s="276"/>
      <c r="L35" s="276"/>
      <c r="M35" s="276"/>
      <c r="N35" s="278"/>
      <c r="O35" s="278"/>
      <c r="P35" s="278"/>
      <c r="Q35" s="278"/>
      <c r="R35" s="279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</row>
    <row r="36" spans="1:45" s="282" customFormat="1" ht="9.4499999999999993" customHeight="1" x14ac:dyDescent="0.25">
      <c r="A36" s="313"/>
      <c r="B36" s="276"/>
      <c r="C36" s="276"/>
      <c r="D36" s="276"/>
      <c r="E36" s="286"/>
      <c r="F36" s="276"/>
      <c r="G36" s="276"/>
      <c r="H36" s="276"/>
      <c r="I36" s="276"/>
      <c r="J36" s="286"/>
      <c r="K36" s="276"/>
      <c r="L36" s="276"/>
      <c r="M36" s="276"/>
      <c r="N36" s="276"/>
      <c r="O36" s="276"/>
      <c r="P36" s="276"/>
      <c r="Q36" s="278"/>
      <c r="R36" s="279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</row>
    <row r="37" spans="1:45" s="282" customFormat="1" ht="9.4499999999999993" customHeight="1" x14ac:dyDescent="0.25">
      <c r="A37" s="314"/>
      <c r="B37" s="286"/>
      <c r="C37" s="286"/>
      <c r="D37" s="286"/>
      <c r="E37" s="286"/>
      <c r="F37" s="318"/>
      <c r="G37" s="318"/>
      <c r="H37" s="319"/>
      <c r="I37" s="275"/>
      <c r="J37" s="298"/>
      <c r="K37" s="275"/>
      <c r="L37" s="275"/>
      <c r="M37" s="275"/>
      <c r="N37" s="301"/>
      <c r="O37" s="301"/>
      <c r="P37" s="301"/>
      <c r="Q37" s="278"/>
      <c r="R37" s="279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</row>
    <row r="38" spans="1:45" s="282" customFormat="1" ht="9.4499999999999993" customHeight="1" x14ac:dyDescent="0.25">
      <c r="A38" s="313"/>
      <c r="B38" s="276"/>
      <c r="C38" s="276"/>
      <c r="D38" s="276"/>
      <c r="E38" s="286"/>
      <c r="F38" s="276"/>
      <c r="G38" s="276"/>
      <c r="H38" s="276"/>
      <c r="I38" s="276"/>
      <c r="J38" s="286"/>
      <c r="K38" s="276"/>
      <c r="L38" s="276"/>
      <c r="M38" s="276"/>
      <c r="N38" s="278"/>
      <c r="O38" s="278"/>
      <c r="P38" s="278"/>
      <c r="Q38" s="278"/>
      <c r="R38" s="279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</row>
    <row r="39" spans="1:45" s="282" customFormat="1" ht="9.4499999999999993" customHeight="1" x14ac:dyDescent="0.25">
      <c r="A39" s="314"/>
      <c r="B39" s="286"/>
      <c r="C39" s="286"/>
      <c r="D39" s="286"/>
      <c r="E39" s="286"/>
      <c r="F39" s="276"/>
      <c r="G39" s="276"/>
      <c r="H39" s="280"/>
      <c r="I39" s="315"/>
      <c r="J39" s="286"/>
      <c r="K39" s="276"/>
      <c r="L39" s="276"/>
      <c r="M39" s="276"/>
      <c r="N39" s="278"/>
      <c r="O39" s="278"/>
      <c r="P39" s="278"/>
      <c r="Q39" s="278"/>
      <c r="R39" s="279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</row>
    <row r="40" spans="1:45" s="282" customFormat="1" ht="9.4499999999999993" customHeight="1" x14ac:dyDescent="0.25">
      <c r="A40" s="314"/>
      <c r="B40" s="276"/>
      <c r="C40" s="276"/>
      <c r="D40" s="276"/>
      <c r="E40" s="286"/>
      <c r="F40" s="276"/>
      <c r="G40" s="276"/>
      <c r="H40" s="276"/>
      <c r="I40" s="276"/>
      <c r="J40" s="286"/>
      <c r="K40" s="276"/>
      <c r="L40" s="316"/>
      <c r="M40" s="276"/>
      <c r="N40" s="278"/>
      <c r="O40" s="278"/>
      <c r="P40" s="278"/>
      <c r="Q40" s="278"/>
      <c r="R40" s="279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</row>
    <row r="41" spans="1:45" s="282" customFormat="1" ht="9.4499999999999993" customHeight="1" x14ac:dyDescent="0.25">
      <c r="A41" s="314"/>
      <c r="B41" s="286"/>
      <c r="C41" s="286"/>
      <c r="D41" s="286"/>
      <c r="E41" s="286"/>
      <c r="F41" s="276"/>
      <c r="G41" s="276"/>
      <c r="H41" s="280"/>
      <c r="I41" s="276"/>
      <c r="J41" s="286"/>
      <c r="K41" s="315"/>
      <c r="L41" s="286"/>
      <c r="M41" s="276"/>
      <c r="N41" s="278"/>
      <c r="O41" s="278"/>
      <c r="P41" s="278"/>
      <c r="Q41" s="278"/>
      <c r="R41" s="279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</row>
    <row r="42" spans="1:45" s="282" customFormat="1" ht="9.4499999999999993" customHeight="1" x14ac:dyDescent="0.25">
      <c r="A42" s="314"/>
      <c r="B42" s="276"/>
      <c r="C42" s="276"/>
      <c r="D42" s="276"/>
      <c r="E42" s="286"/>
      <c r="F42" s="276"/>
      <c r="G42" s="276"/>
      <c r="H42" s="276"/>
      <c r="I42" s="276"/>
      <c r="J42" s="286"/>
      <c r="K42" s="276"/>
      <c r="L42" s="276"/>
      <c r="M42" s="276"/>
      <c r="N42" s="278"/>
      <c r="O42" s="278"/>
      <c r="P42" s="278"/>
      <c r="Q42" s="278"/>
      <c r="R42" s="279"/>
      <c r="S42" s="317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</row>
    <row r="43" spans="1:45" s="282" customFormat="1" ht="9.4499999999999993" customHeight="1" x14ac:dyDescent="0.25">
      <c r="A43" s="314"/>
      <c r="B43" s="286"/>
      <c r="C43" s="286"/>
      <c r="D43" s="286"/>
      <c r="E43" s="286"/>
      <c r="F43" s="276"/>
      <c r="G43" s="276"/>
      <c r="H43" s="280"/>
      <c r="I43" s="315"/>
      <c r="J43" s="286"/>
      <c r="K43" s="276"/>
      <c r="L43" s="276"/>
      <c r="M43" s="276"/>
      <c r="N43" s="278"/>
      <c r="O43" s="278"/>
      <c r="P43" s="278"/>
      <c r="Q43" s="278"/>
      <c r="R43" s="279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</row>
    <row r="44" spans="1:45" s="282" customFormat="1" ht="9.4499999999999993" customHeight="1" x14ac:dyDescent="0.25">
      <c r="A44" s="314"/>
      <c r="B44" s="276"/>
      <c r="C44" s="276"/>
      <c r="D44" s="276"/>
      <c r="E44" s="286"/>
      <c r="F44" s="276"/>
      <c r="G44" s="276"/>
      <c r="H44" s="276"/>
      <c r="I44" s="276"/>
      <c r="J44" s="286"/>
      <c r="K44" s="276"/>
      <c r="L44" s="276"/>
      <c r="M44" s="276"/>
      <c r="N44" s="278"/>
      <c r="O44" s="278"/>
      <c r="P44" s="278"/>
      <c r="Q44" s="278"/>
      <c r="R44" s="279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</row>
    <row r="45" spans="1:45" s="282" customFormat="1" ht="9.4499999999999993" customHeight="1" x14ac:dyDescent="0.25">
      <c r="A45" s="314"/>
      <c r="B45" s="286"/>
      <c r="C45" s="286"/>
      <c r="D45" s="286"/>
      <c r="E45" s="286"/>
      <c r="F45" s="276"/>
      <c r="G45" s="276"/>
      <c r="H45" s="280"/>
      <c r="I45" s="276"/>
      <c r="J45" s="286"/>
      <c r="K45" s="276"/>
      <c r="L45" s="276"/>
      <c r="M45" s="315"/>
      <c r="N45" s="286"/>
      <c r="O45" s="276"/>
      <c r="P45" s="278"/>
      <c r="Q45" s="278"/>
      <c r="R45" s="279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</row>
    <row r="46" spans="1:45" s="282" customFormat="1" ht="9.4499999999999993" customHeight="1" x14ac:dyDescent="0.25">
      <c r="A46" s="314"/>
      <c r="B46" s="276"/>
      <c r="C46" s="276"/>
      <c r="D46" s="276"/>
      <c r="E46" s="286"/>
      <c r="F46" s="276"/>
      <c r="G46" s="276"/>
      <c r="H46" s="276"/>
      <c r="I46" s="276"/>
      <c r="J46" s="286"/>
      <c r="K46" s="276"/>
      <c r="L46" s="276"/>
      <c r="M46" s="276"/>
      <c r="N46" s="278"/>
      <c r="O46" s="276"/>
      <c r="P46" s="278"/>
      <c r="Q46" s="278"/>
      <c r="R46" s="279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</row>
    <row r="47" spans="1:45" s="282" customFormat="1" ht="9.4499999999999993" customHeight="1" x14ac:dyDescent="0.25">
      <c r="A47" s="314"/>
      <c r="B47" s="286"/>
      <c r="C47" s="286"/>
      <c r="D47" s="286"/>
      <c r="E47" s="286"/>
      <c r="F47" s="276"/>
      <c r="G47" s="276"/>
      <c r="H47" s="280"/>
      <c r="I47" s="315"/>
      <c r="J47" s="286"/>
      <c r="K47" s="276"/>
      <c r="L47" s="276"/>
      <c r="M47" s="276"/>
      <c r="N47" s="278"/>
      <c r="O47" s="278"/>
      <c r="P47" s="278"/>
      <c r="Q47" s="278"/>
      <c r="R47" s="279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</row>
    <row r="48" spans="1:45" s="282" customFormat="1" ht="9.4499999999999993" customHeight="1" x14ac:dyDescent="0.25">
      <c r="A48" s="314"/>
      <c r="B48" s="276"/>
      <c r="C48" s="276"/>
      <c r="D48" s="276"/>
      <c r="E48" s="286"/>
      <c r="F48" s="276"/>
      <c r="G48" s="276"/>
      <c r="H48" s="276"/>
      <c r="I48" s="276"/>
      <c r="J48" s="286"/>
      <c r="K48" s="276"/>
      <c r="L48" s="316"/>
      <c r="M48" s="276"/>
      <c r="N48" s="278"/>
      <c r="O48" s="278"/>
      <c r="P48" s="278"/>
      <c r="Q48" s="278"/>
      <c r="R48" s="279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</row>
    <row r="49" spans="1:45" s="282" customFormat="1" ht="9.4499999999999993" customHeight="1" x14ac:dyDescent="0.25">
      <c r="A49" s="314"/>
      <c r="B49" s="286"/>
      <c r="C49" s="286"/>
      <c r="D49" s="286"/>
      <c r="E49" s="286"/>
      <c r="F49" s="276"/>
      <c r="G49" s="276"/>
      <c r="H49" s="280"/>
      <c r="I49" s="276"/>
      <c r="J49" s="286"/>
      <c r="K49" s="315"/>
      <c r="L49" s="286"/>
      <c r="M49" s="276"/>
      <c r="N49" s="278"/>
      <c r="O49" s="278"/>
      <c r="P49" s="278"/>
      <c r="Q49" s="278"/>
      <c r="R49" s="279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</row>
    <row r="50" spans="1:45" s="282" customFormat="1" ht="9.4499999999999993" customHeight="1" x14ac:dyDescent="0.25">
      <c r="A50" s="314"/>
      <c r="B50" s="276"/>
      <c r="C50" s="276"/>
      <c r="D50" s="276"/>
      <c r="E50" s="286"/>
      <c r="F50" s="276"/>
      <c r="G50" s="276"/>
      <c r="H50" s="276"/>
      <c r="I50" s="276"/>
      <c r="J50" s="286"/>
      <c r="K50" s="276"/>
      <c r="L50" s="276"/>
      <c r="M50" s="276"/>
      <c r="N50" s="278"/>
      <c r="O50" s="278"/>
      <c r="P50" s="278"/>
      <c r="Q50" s="278"/>
      <c r="R50" s="279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</row>
    <row r="51" spans="1:45" s="282" customFormat="1" ht="9.4499999999999993" customHeight="1" x14ac:dyDescent="0.25">
      <c r="A51" s="314"/>
      <c r="B51" s="286"/>
      <c r="C51" s="286"/>
      <c r="D51" s="286"/>
      <c r="E51" s="286"/>
      <c r="F51" s="276"/>
      <c r="G51" s="276"/>
      <c r="H51" s="280"/>
      <c r="I51" s="315"/>
      <c r="J51" s="286"/>
      <c r="K51" s="276"/>
      <c r="L51" s="276"/>
      <c r="M51" s="276"/>
      <c r="N51" s="278"/>
      <c r="O51" s="278"/>
      <c r="P51" s="278"/>
      <c r="Q51" s="278"/>
      <c r="R51" s="279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</row>
    <row r="52" spans="1:45" s="282" customFormat="1" ht="9.4499999999999993" customHeight="1" x14ac:dyDescent="0.25">
      <c r="A52" s="313"/>
      <c r="B52" s="276"/>
      <c r="C52" s="276"/>
      <c r="D52" s="276"/>
      <c r="E52" s="286"/>
      <c r="F52" s="320"/>
      <c r="G52" s="320"/>
      <c r="H52" s="320"/>
      <c r="I52" s="320"/>
      <c r="J52" s="286"/>
      <c r="K52" s="276"/>
      <c r="L52" s="276"/>
      <c r="M52" s="276"/>
      <c r="N52" s="276"/>
      <c r="O52" s="276"/>
      <c r="P52" s="276"/>
      <c r="Q52" s="278"/>
      <c r="R52" s="279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</row>
    <row r="53" spans="1:45" s="327" customFormat="1" ht="6.75" customHeight="1" x14ac:dyDescent="0.25">
      <c r="A53" s="321"/>
      <c r="B53" s="321"/>
      <c r="C53" s="321"/>
      <c r="D53" s="321"/>
      <c r="E53" s="321"/>
      <c r="F53" s="322"/>
      <c r="G53" s="322"/>
      <c r="H53" s="322"/>
      <c r="I53" s="322"/>
      <c r="J53" s="323"/>
      <c r="K53" s="324"/>
      <c r="L53" s="325"/>
      <c r="M53" s="324"/>
      <c r="N53" s="325"/>
      <c r="O53" s="324"/>
      <c r="P53" s="325"/>
      <c r="Q53" s="324"/>
      <c r="R53" s="325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280"/>
      <c r="AJ53" s="280"/>
      <c r="AK53" s="280"/>
      <c r="AL53" s="326"/>
      <c r="AM53" s="326"/>
      <c r="AN53" s="326"/>
      <c r="AO53" s="326"/>
      <c r="AP53" s="326"/>
      <c r="AQ53" s="326"/>
      <c r="AR53" s="326"/>
      <c r="AS53" s="326"/>
    </row>
    <row r="54" spans="1:45" s="340" customFormat="1" ht="10.5" customHeight="1" x14ac:dyDescent="0.25">
      <c r="A54" s="328" t="s">
        <v>32</v>
      </c>
      <c r="B54" s="329"/>
      <c r="C54" s="329"/>
      <c r="D54" s="330"/>
      <c r="E54" s="331" t="s">
        <v>3</v>
      </c>
      <c r="F54" s="332" t="s">
        <v>34</v>
      </c>
      <c r="G54" s="331"/>
      <c r="H54" s="333"/>
      <c r="I54" s="334"/>
      <c r="J54" s="331" t="s">
        <v>3</v>
      </c>
      <c r="K54" s="332" t="s">
        <v>41</v>
      </c>
      <c r="L54" s="335"/>
      <c r="M54" s="332" t="s">
        <v>42</v>
      </c>
      <c r="N54" s="336"/>
      <c r="O54" s="337" t="s">
        <v>43</v>
      </c>
      <c r="P54" s="337"/>
      <c r="Q54" s="338"/>
      <c r="R54" s="339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2"/>
      <c r="AJ54" s="342"/>
      <c r="AK54" s="342"/>
      <c r="AL54" s="341"/>
      <c r="AM54" s="341"/>
      <c r="AN54" s="341"/>
      <c r="AO54" s="341"/>
      <c r="AP54" s="341"/>
      <c r="AQ54" s="341"/>
      <c r="AR54" s="341"/>
      <c r="AS54" s="341"/>
    </row>
    <row r="55" spans="1:45" s="340" customFormat="1" ht="9" customHeight="1" x14ac:dyDescent="0.25">
      <c r="A55" s="343" t="s">
        <v>33</v>
      </c>
      <c r="B55" s="344"/>
      <c r="C55" s="345"/>
      <c r="D55" s="346"/>
      <c r="E55" s="347">
        <v>1</v>
      </c>
      <c r="F55" s="341" t="str">
        <f>IF(E55&gt;$R$62,,UPPER(VLOOKUP(E55,'[12]1MD ELO'!$A$7:$Q$134,2)))</f>
        <v/>
      </c>
      <c r="G55" s="347"/>
      <c r="H55" s="341"/>
      <c r="I55" s="348"/>
      <c r="J55" s="349" t="s">
        <v>4</v>
      </c>
      <c r="K55" s="350"/>
      <c r="L55" s="351"/>
      <c r="M55" s="350"/>
      <c r="N55" s="352"/>
      <c r="O55" s="353" t="s">
        <v>35</v>
      </c>
      <c r="P55" s="354"/>
      <c r="Q55" s="354"/>
      <c r="R55" s="352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2"/>
      <c r="AJ55" s="342"/>
      <c r="AK55" s="342"/>
      <c r="AL55" s="341"/>
      <c r="AM55" s="341"/>
      <c r="AN55" s="341"/>
      <c r="AO55" s="341"/>
      <c r="AP55" s="341"/>
      <c r="AQ55" s="341"/>
      <c r="AR55" s="341"/>
      <c r="AS55" s="341"/>
    </row>
    <row r="56" spans="1:45" s="340" customFormat="1" ht="9" customHeight="1" x14ac:dyDescent="0.25">
      <c r="A56" s="355" t="s">
        <v>40</v>
      </c>
      <c r="B56" s="356"/>
      <c r="C56" s="357"/>
      <c r="D56" s="358"/>
      <c r="E56" s="347">
        <v>2</v>
      </c>
      <c r="F56" s="341" t="str">
        <f>IF(E56&gt;$R$62,,UPPER(VLOOKUP(E56,'[12]1MD ELO'!$A$7:$Q$134,2)))</f>
        <v/>
      </c>
      <c r="G56" s="347"/>
      <c r="H56" s="341"/>
      <c r="I56" s="348"/>
      <c r="J56" s="349" t="s">
        <v>5</v>
      </c>
      <c r="K56" s="350"/>
      <c r="L56" s="351"/>
      <c r="M56" s="350"/>
      <c r="N56" s="352"/>
      <c r="O56" s="359"/>
      <c r="P56" s="360"/>
      <c r="Q56" s="356"/>
      <c r="R56" s="36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2"/>
      <c r="AJ56" s="342"/>
      <c r="AK56" s="342"/>
      <c r="AL56" s="341"/>
      <c r="AM56" s="341"/>
      <c r="AN56" s="341"/>
      <c r="AO56" s="341"/>
      <c r="AP56" s="341"/>
      <c r="AQ56" s="341"/>
      <c r="AR56" s="341"/>
      <c r="AS56" s="341"/>
    </row>
    <row r="57" spans="1:45" s="340" customFormat="1" ht="9" customHeight="1" x14ac:dyDescent="0.25">
      <c r="A57" s="362"/>
      <c r="B57" s="363"/>
      <c r="C57" s="364"/>
      <c r="D57" s="365"/>
      <c r="E57" s="347"/>
      <c r="F57" s="341"/>
      <c r="G57" s="347"/>
      <c r="H57" s="341"/>
      <c r="I57" s="348"/>
      <c r="J57" s="349" t="s">
        <v>6</v>
      </c>
      <c r="K57" s="350"/>
      <c r="L57" s="351"/>
      <c r="M57" s="350"/>
      <c r="N57" s="352"/>
      <c r="O57" s="353" t="s">
        <v>36</v>
      </c>
      <c r="P57" s="354"/>
      <c r="Q57" s="354"/>
      <c r="R57" s="352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2"/>
      <c r="AJ57" s="342"/>
      <c r="AK57" s="342"/>
      <c r="AL57" s="341"/>
      <c r="AM57" s="341"/>
      <c r="AN57" s="341"/>
      <c r="AO57" s="341"/>
      <c r="AP57" s="341"/>
      <c r="AQ57" s="341"/>
      <c r="AR57" s="341"/>
      <c r="AS57" s="341"/>
    </row>
    <row r="58" spans="1:45" s="340" customFormat="1" ht="9" customHeight="1" x14ac:dyDescent="0.25">
      <c r="A58" s="366"/>
      <c r="B58" s="252"/>
      <c r="C58" s="252"/>
      <c r="D58" s="367"/>
      <c r="E58" s="347"/>
      <c r="F58" s="341"/>
      <c r="G58" s="347"/>
      <c r="H58" s="341"/>
      <c r="I58" s="348"/>
      <c r="J58" s="349" t="s">
        <v>7</v>
      </c>
      <c r="K58" s="350"/>
      <c r="L58" s="351"/>
      <c r="M58" s="350"/>
      <c r="N58" s="352"/>
      <c r="O58" s="350"/>
      <c r="P58" s="351"/>
      <c r="Q58" s="350"/>
      <c r="R58" s="352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2"/>
      <c r="AJ58" s="342"/>
      <c r="AK58" s="342"/>
      <c r="AL58" s="341"/>
      <c r="AM58" s="341"/>
      <c r="AN58" s="341"/>
      <c r="AO58" s="341"/>
      <c r="AP58" s="341"/>
      <c r="AQ58" s="341"/>
      <c r="AR58" s="341"/>
      <c r="AS58" s="341"/>
    </row>
    <row r="59" spans="1:45" s="340" customFormat="1" ht="9" customHeight="1" x14ac:dyDescent="0.25">
      <c r="A59" s="368"/>
      <c r="B59" s="369"/>
      <c r="C59" s="369"/>
      <c r="D59" s="370"/>
      <c r="E59" s="347"/>
      <c r="F59" s="341"/>
      <c r="G59" s="347"/>
      <c r="H59" s="341"/>
      <c r="I59" s="348"/>
      <c r="J59" s="349" t="s">
        <v>8</v>
      </c>
      <c r="K59" s="350"/>
      <c r="L59" s="351"/>
      <c r="M59" s="350"/>
      <c r="N59" s="352"/>
      <c r="O59" s="356"/>
      <c r="P59" s="360"/>
      <c r="Q59" s="356"/>
      <c r="R59" s="36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J59" s="342"/>
      <c r="AK59" s="342"/>
      <c r="AL59" s="341"/>
      <c r="AM59" s="341"/>
      <c r="AN59" s="341"/>
      <c r="AO59" s="341"/>
      <c r="AP59" s="341"/>
      <c r="AQ59" s="341"/>
      <c r="AR59" s="341"/>
      <c r="AS59" s="341"/>
    </row>
    <row r="60" spans="1:45" s="340" customFormat="1" ht="9" customHeight="1" x14ac:dyDescent="0.25">
      <c r="A60" s="371"/>
      <c r="B60" s="372"/>
      <c r="C60" s="252"/>
      <c r="D60" s="367"/>
      <c r="E60" s="347"/>
      <c r="F60" s="341"/>
      <c r="G60" s="347"/>
      <c r="H60" s="341"/>
      <c r="I60" s="348"/>
      <c r="J60" s="349" t="s">
        <v>9</v>
      </c>
      <c r="K60" s="350"/>
      <c r="L60" s="351"/>
      <c r="M60" s="350"/>
      <c r="N60" s="352"/>
      <c r="O60" s="353" t="s">
        <v>28</v>
      </c>
      <c r="P60" s="354"/>
      <c r="Q60" s="354"/>
      <c r="R60" s="352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2"/>
      <c r="AJ60" s="342"/>
      <c r="AK60" s="342"/>
      <c r="AL60" s="341"/>
      <c r="AM60" s="341"/>
      <c r="AN60" s="341"/>
      <c r="AO60" s="341"/>
      <c r="AP60" s="341"/>
      <c r="AQ60" s="341"/>
      <c r="AR60" s="341"/>
      <c r="AS60" s="341"/>
    </row>
    <row r="61" spans="1:45" s="340" customFormat="1" ht="9" customHeight="1" x14ac:dyDescent="0.25">
      <c r="A61" s="371"/>
      <c r="B61" s="372"/>
      <c r="C61" s="373"/>
      <c r="D61" s="374"/>
      <c r="E61" s="347"/>
      <c r="F61" s="341"/>
      <c r="G61" s="347"/>
      <c r="H61" s="341"/>
      <c r="I61" s="348"/>
      <c r="J61" s="349" t="s">
        <v>10</v>
      </c>
      <c r="K61" s="350"/>
      <c r="L61" s="351"/>
      <c r="M61" s="350"/>
      <c r="N61" s="352"/>
      <c r="O61" s="350"/>
      <c r="P61" s="351"/>
      <c r="Q61" s="350"/>
      <c r="R61" s="352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2"/>
      <c r="AJ61" s="342"/>
      <c r="AK61" s="342"/>
      <c r="AL61" s="341"/>
      <c r="AM61" s="341"/>
      <c r="AN61" s="341"/>
      <c r="AO61" s="341"/>
      <c r="AP61" s="341"/>
      <c r="AQ61" s="341"/>
      <c r="AR61" s="341"/>
      <c r="AS61" s="341"/>
    </row>
    <row r="62" spans="1:45" s="340" customFormat="1" ht="9" customHeight="1" x14ac:dyDescent="0.25">
      <c r="A62" s="375"/>
      <c r="B62" s="376"/>
      <c r="C62" s="377"/>
      <c r="D62" s="378"/>
      <c r="E62" s="379"/>
      <c r="F62" s="359"/>
      <c r="G62" s="379"/>
      <c r="H62" s="359"/>
      <c r="I62" s="380"/>
      <c r="J62" s="381" t="s">
        <v>11</v>
      </c>
      <c r="K62" s="356"/>
      <c r="L62" s="360"/>
      <c r="M62" s="356"/>
      <c r="N62" s="361"/>
      <c r="O62" s="356">
        <f>R4</f>
        <v>0</v>
      </c>
      <c r="P62" s="360"/>
      <c r="Q62" s="356"/>
      <c r="R62" s="382">
        <f>MIN(4,'[12]1MD ELO'!Q5)</f>
        <v>4</v>
      </c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2"/>
      <c r="AJ62" s="342"/>
      <c r="AK62" s="342"/>
      <c r="AL62" s="341"/>
      <c r="AM62" s="341"/>
      <c r="AN62" s="341"/>
      <c r="AO62" s="341"/>
      <c r="AP62" s="341"/>
      <c r="AQ62" s="341"/>
      <c r="AR62" s="341"/>
      <c r="AS62" s="341"/>
    </row>
    <row r="63" spans="1:45" x14ac:dyDescent="0.25"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L63" s="385"/>
      <c r="AM63" s="385"/>
      <c r="AN63" s="385"/>
      <c r="AO63" s="385"/>
      <c r="AP63" s="385"/>
      <c r="AQ63" s="385"/>
      <c r="AR63" s="385"/>
      <c r="AS63" s="385"/>
    </row>
    <row r="64" spans="1:45" x14ac:dyDescent="0.25"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L64" s="385"/>
      <c r="AM64" s="385"/>
      <c r="AN64" s="385"/>
      <c r="AO64" s="385"/>
      <c r="AP64" s="385"/>
      <c r="AQ64" s="385"/>
      <c r="AR64" s="385"/>
      <c r="AS64" s="385"/>
    </row>
    <row r="65" spans="20:45" x14ac:dyDescent="0.25"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L65" s="385"/>
      <c r="AM65" s="385"/>
      <c r="AN65" s="385"/>
      <c r="AO65" s="385"/>
      <c r="AP65" s="385"/>
      <c r="AQ65" s="385"/>
      <c r="AR65" s="385"/>
      <c r="AS65" s="385"/>
    </row>
    <row r="66" spans="20:45" x14ac:dyDescent="0.25"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385"/>
      <c r="AH66" s="385"/>
      <c r="AL66" s="385"/>
      <c r="AM66" s="385"/>
      <c r="AN66" s="385"/>
      <c r="AO66" s="385"/>
      <c r="AP66" s="385"/>
      <c r="AQ66" s="385"/>
      <c r="AR66" s="385"/>
      <c r="AS66" s="385"/>
    </row>
    <row r="67" spans="20:45" x14ac:dyDescent="0.25"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385"/>
      <c r="AH67" s="385"/>
      <c r="AL67" s="385"/>
      <c r="AM67" s="385"/>
      <c r="AN67" s="385"/>
      <c r="AO67" s="385"/>
      <c r="AP67" s="385"/>
      <c r="AQ67" s="385"/>
      <c r="AR67" s="385"/>
      <c r="AS67" s="385"/>
    </row>
    <row r="68" spans="20:45" x14ac:dyDescent="0.25"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385"/>
      <c r="AH68" s="385"/>
      <c r="AL68" s="385"/>
      <c r="AM68" s="385"/>
      <c r="AN68" s="385"/>
      <c r="AO68" s="385"/>
      <c r="AP68" s="385"/>
      <c r="AQ68" s="385"/>
      <c r="AR68" s="385"/>
      <c r="AS68" s="385"/>
    </row>
    <row r="69" spans="20:45" x14ac:dyDescent="0.25">
      <c r="T69" s="385"/>
      <c r="U69" s="385"/>
      <c r="V69" s="385"/>
      <c r="W69" s="385"/>
      <c r="X69" s="385"/>
      <c r="Y69" s="385"/>
      <c r="Z69" s="385"/>
      <c r="AA69" s="385"/>
      <c r="AB69" s="385"/>
      <c r="AC69" s="385"/>
      <c r="AD69" s="385"/>
      <c r="AE69" s="385"/>
      <c r="AF69" s="385"/>
      <c r="AG69" s="385"/>
      <c r="AH69" s="385"/>
      <c r="AL69" s="385"/>
      <c r="AM69" s="385"/>
      <c r="AN69" s="385"/>
      <c r="AO69" s="385"/>
      <c r="AP69" s="385"/>
      <c r="AQ69" s="385"/>
      <c r="AR69" s="385"/>
      <c r="AS69" s="385"/>
    </row>
    <row r="70" spans="20:45" x14ac:dyDescent="0.25"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L70" s="385"/>
      <c r="AM70" s="385"/>
      <c r="AN70" s="385"/>
      <c r="AO70" s="385"/>
      <c r="AP70" s="385"/>
      <c r="AQ70" s="385"/>
      <c r="AR70" s="385"/>
      <c r="AS70" s="385"/>
    </row>
    <row r="71" spans="20:45" x14ac:dyDescent="0.25">
      <c r="T71" s="385"/>
      <c r="U71" s="385"/>
      <c r="V71" s="385"/>
      <c r="W71" s="385"/>
      <c r="X71" s="385"/>
      <c r="Y71" s="385"/>
      <c r="Z71" s="385"/>
      <c r="AA71" s="385"/>
      <c r="AB71" s="385"/>
      <c r="AC71" s="385"/>
      <c r="AD71" s="385"/>
      <c r="AE71" s="385"/>
      <c r="AF71" s="385"/>
      <c r="AG71" s="385"/>
      <c r="AH71" s="385"/>
      <c r="AL71" s="385"/>
      <c r="AM71" s="385"/>
      <c r="AN71" s="385"/>
      <c r="AO71" s="385"/>
      <c r="AP71" s="385"/>
      <c r="AQ71" s="385"/>
      <c r="AR71" s="385"/>
      <c r="AS71" s="385"/>
    </row>
    <row r="72" spans="20:45" x14ac:dyDescent="0.25">
      <c r="T72" s="385"/>
      <c r="U72" s="385"/>
      <c r="V72" s="385"/>
      <c r="W72" s="385"/>
      <c r="X72" s="385"/>
      <c r="Y72" s="385"/>
      <c r="Z72" s="385"/>
      <c r="AA72" s="385"/>
      <c r="AB72" s="385"/>
      <c r="AC72" s="385"/>
      <c r="AD72" s="385"/>
      <c r="AE72" s="385"/>
      <c r="AF72" s="385"/>
      <c r="AG72" s="385"/>
      <c r="AH72" s="385"/>
      <c r="AL72" s="385"/>
      <c r="AM72" s="385"/>
      <c r="AN72" s="385"/>
      <c r="AO72" s="385"/>
      <c r="AP72" s="385"/>
      <c r="AQ72" s="385"/>
      <c r="AR72" s="385"/>
      <c r="AS72" s="385"/>
    </row>
    <row r="73" spans="20:45" x14ac:dyDescent="0.25"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L73" s="385"/>
      <c r="AM73" s="385"/>
      <c r="AN73" s="385"/>
      <c r="AO73" s="385"/>
      <c r="AP73" s="385"/>
      <c r="AQ73" s="385"/>
      <c r="AR73" s="385"/>
      <c r="AS73" s="385"/>
    </row>
    <row r="74" spans="20:45" x14ac:dyDescent="0.25">
      <c r="T74" s="385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5"/>
      <c r="AL74" s="385"/>
      <c r="AM74" s="385"/>
      <c r="AN74" s="385"/>
      <c r="AO74" s="385"/>
      <c r="AP74" s="385"/>
      <c r="AQ74" s="385"/>
      <c r="AR74" s="385"/>
      <c r="AS74" s="385"/>
    </row>
    <row r="75" spans="20:45" x14ac:dyDescent="0.25">
      <c r="T75" s="385"/>
      <c r="U75" s="385"/>
      <c r="V75" s="385"/>
      <c r="W75" s="385"/>
      <c r="X75" s="385"/>
      <c r="Y75" s="385"/>
      <c r="Z75" s="385"/>
      <c r="AA75" s="385"/>
      <c r="AB75" s="385"/>
      <c r="AC75" s="385"/>
      <c r="AD75" s="385"/>
      <c r="AE75" s="385"/>
      <c r="AF75" s="385"/>
      <c r="AG75" s="385"/>
      <c r="AH75" s="385"/>
      <c r="AL75" s="385"/>
      <c r="AM75" s="385"/>
      <c r="AN75" s="385"/>
      <c r="AO75" s="385"/>
      <c r="AP75" s="385"/>
      <c r="AQ75" s="385"/>
      <c r="AR75" s="385"/>
      <c r="AS75" s="385"/>
    </row>
    <row r="76" spans="20:45" x14ac:dyDescent="0.25"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L76" s="385"/>
      <c r="AM76" s="385"/>
      <c r="AN76" s="385"/>
      <c r="AO76" s="385"/>
      <c r="AP76" s="385"/>
      <c r="AQ76" s="385"/>
      <c r="AR76" s="385"/>
      <c r="AS76" s="385"/>
    </row>
    <row r="77" spans="20:45" x14ac:dyDescent="0.25"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L77" s="385"/>
      <c r="AM77" s="385"/>
      <c r="AN77" s="385"/>
      <c r="AO77" s="385"/>
      <c r="AP77" s="385"/>
      <c r="AQ77" s="385"/>
      <c r="AR77" s="385"/>
      <c r="AS77" s="385"/>
    </row>
    <row r="78" spans="20:45" x14ac:dyDescent="0.25"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L78" s="385"/>
      <c r="AM78" s="385"/>
      <c r="AN78" s="385"/>
      <c r="AO78" s="385"/>
      <c r="AP78" s="385"/>
      <c r="AQ78" s="385"/>
      <c r="AR78" s="385"/>
      <c r="AS78" s="385"/>
    </row>
    <row r="79" spans="20:45" x14ac:dyDescent="0.25">
      <c r="T79" s="385"/>
      <c r="U79" s="385"/>
      <c r="V79" s="385"/>
      <c r="W79" s="385"/>
      <c r="X79" s="385"/>
      <c r="Y79" s="385"/>
      <c r="Z79" s="385"/>
      <c r="AA79" s="385"/>
      <c r="AB79" s="385"/>
      <c r="AC79" s="385"/>
      <c r="AD79" s="385"/>
      <c r="AE79" s="385"/>
      <c r="AF79" s="385"/>
      <c r="AG79" s="385"/>
      <c r="AH79" s="385"/>
      <c r="AL79" s="385"/>
      <c r="AM79" s="385"/>
      <c r="AN79" s="385"/>
      <c r="AO79" s="385"/>
      <c r="AP79" s="385"/>
      <c r="AQ79" s="385"/>
      <c r="AR79" s="385"/>
      <c r="AS79" s="385"/>
    </row>
    <row r="80" spans="20:45" x14ac:dyDescent="0.25">
      <c r="T80" s="385"/>
      <c r="U80" s="385"/>
      <c r="V80" s="385"/>
      <c r="W80" s="385"/>
      <c r="X80" s="385"/>
      <c r="Y80" s="385"/>
      <c r="Z80" s="385"/>
      <c r="AA80" s="385"/>
      <c r="AB80" s="385"/>
      <c r="AC80" s="385"/>
      <c r="AD80" s="385"/>
      <c r="AE80" s="385"/>
      <c r="AF80" s="385"/>
      <c r="AG80" s="385"/>
      <c r="AH80" s="385"/>
      <c r="AL80" s="385"/>
      <c r="AM80" s="385"/>
      <c r="AN80" s="385"/>
      <c r="AO80" s="385"/>
      <c r="AP80" s="385"/>
      <c r="AQ80" s="385"/>
      <c r="AR80" s="385"/>
      <c r="AS80" s="385"/>
    </row>
    <row r="81" spans="20:45" x14ac:dyDescent="0.25"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L81" s="385"/>
      <c r="AM81" s="385"/>
      <c r="AN81" s="385"/>
      <c r="AO81" s="385"/>
      <c r="AP81" s="385"/>
      <c r="AQ81" s="385"/>
      <c r="AR81" s="385"/>
      <c r="AS81" s="385"/>
    </row>
    <row r="82" spans="20:45" x14ac:dyDescent="0.25">
      <c r="T82" s="385"/>
      <c r="U82" s="385"/>
      <c r="V82" s="385"/>
      <c r="W82" s="385"/>
      <c r="X82" s="385"/>
      <c r="Y82" s="385"/>
      <c r="Z82" s="385"/>
      <c r="AA82" s="385"/>
      <c r="AB82" s="385"/>
      <c r="AC82" s="385"/>
      <c r="AD82" s="385"/>
      <c r="AE82" s="385"/>
      <c r="AF82" s="385"/>
      <c r="AG82" s="385"/>
      <c r="AH82" s="385"/>
      <c r="AL82" s="385"/>
      <c r="AM82" s="385"/>
      <c r="AN82" s="385"/>
      <c r="AO82" s="385"/>
      <c r="AP82" s="385"/>
      <c r="AQ82" s="385"/>
      <c r="AR82" s="385"/>
      <c r="AS82" s="385"/>
    </row>
    <row r="83" spans="20:45" x14ac:dyDescent="0.25">
      <c r="T83" s="385"/>
      <c r="U83" s="385"/>
      <c r="V83" s="385"/>
      <c r="W83" s="385"/>
      <c r="X83" s="385"/>
      <c r="Y83" s="385"/>
      <c r="Z83" s="385"/>
      <c r="AA83" s="385"/>
      <c r="AB83" s="385"/>
      <c r="AC83" s="385"/>
      <c r="AD83" s="385"/>
      <c r="AE83" s="385"/>
      <c r="AF83" s="385"/>
      <c r="AG83" s="385"/>
      <c r="AH83" s="385"/>
      <c r="AL83" s="385"/>
      <c r="AM83" s="385"/>
      <c r="AN83" s="385"/>
      <c r="AO83" s="385"/>
      <c r="AP83" s="385"/>
      <c r="AQ83" s="385"/>
      <c r="AR83" s="385"/>
      <c r="AS83" s="385"/>
    </row>
    <row r="84" spans="20:45" x14ac:dyDescent="0.25">
      <c r="T84" s="385"/>
      <c r="U84" s="385"/>
      <c r="V84" s="385"/>
      <c r="W84" s="385"/>
      <c r="X84" s="385"/>
      <c r="Y84" s="385"/>
      <c r="Z84" s="385"/>
      <c r="AA84" s="385"/>
      <c r="AB84" s="385"/>
      <c r="AC84" s="385"/>
      <c r="AD84" s="385"/>
      <c r="AE84" s="385"/>
      <c r="AF84" s="385"/>
      <c r="AG84" s="385"/>
      <c r="AH84" s="385"/>
      <c r="AL84" s="385"/>
      <c r="AM84" s="385"/>
      <c r="AN84" s="385"/>
      <c r="AO84" s="385"/>
      <c r="AP84" s="385"/>
      <c r="AQ84" s="385"/>
      <c r="AR84" s="385"/>
      <c r="AS84" s="385"/>
    </row>
    <row r="85" spans="20:45" x14ac:dyDescent="0.25"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L85" s="385"/>
      <c r="AM85" s="385"/>
      <c r="AN85" s="385"/>
      <c r="AO85" s="385"/>
      <c r="AP85" s="385"/>
      <c r="AQ85" s="385"/>
      <c r="AR85" s="385"/>
      <c r="AS85" s="385"/>
    </row>
    <row r="86" spans="20:45" x14ac:dyDescent="0.25"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5"/>
      <c r="AG86" s="385"/>
      <c r="AH86" s="385"/>
      <c r="AL86" s="385"/>
      <c r="AM86" s="385"/>
      <c r="AN86" s="385"/>
      <c r="AO86" s="385"/>
      <c r="AP86" s="385"/>
      <c r="AQ86" s="385"/>
      <c r="AR86" s="385"/>
      <c r="AS86" s="385"/>
    </row>
    <row r="87" spans="20:45" x14ac:dyDescent="0.25"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5"/>
      <c r="AG87" s="385"/>
      <c r="AH87" s="385"/>
      <c r="AL87" s="385"/>
      <c r="AM87" s="385"/>
      <c r="AN87" s="385"/>
      <c r="AO87" s="385"/>
      <c r="AP87" s="385"/>
      <c r="AQ87" s="385"/>
      <c r="AR87" s="385"/>
      <c r="AS87" s="385"/>
    </row>
    <row r="88" spans="20:45" x14ac:dyDescent="0.25"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L88" s="385"/>
      <c r="AM88" s="385"/>
      <c r="AN88" s="385"/>
      <c r="AO88" s="385"/>
      <c r="AP88" s="385"/>
      <c r="AQ88" s="385"/>
      <c r="AR88" s="385"/>
      <c r="AS88" s="385"/>
    </row>
    <row r="89" spans="20:45" x14ac:dyDescent="0.25"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5"/>
      <c r="AG89" s="385"/>
      <c r="AH89" s="385"/>
      <c r="AL89" s="385"/>
      <c r="AM89" s="385"/>
      <c r="AN89" s="385"/>
      <c r="AO89" s="385"/>
      <c r="AP89" s="385"/>
      <c r="AQ89" s="385"/>
      <c r="AR89" s="385"/>
      <c r="AS89" s="385"/>
    </row>
    <row r="90" spans="20:45" x14ac:dyDescent="0.25"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5"/>
      <c r="AG90" s="385"/>
      <c r="AH90" s="385"/>
      <c r="AL90" s="385"/>
      <c r="AM90" s="385"/>
      <c r="AN90" s="385"/>
      <c r="AO90" s="385"/>
      <c r="AP90" s="385"/>
      <c r="AQ90" s="385"/>
      <c r="AR90" s="385"/>
      <c r="AS90" s="385"/>
    </row>
    <row r="91" spans="20:45" x14ac:dyDescent="0.25"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5"/>
      <c r="AG91" s="385"/>
      <c r="AH91" s="385"/>
      <c r="AL91" s="385"/>
      <c r="AM91" s="385"/>
      <c r="AN91" s="385"/>
      <c r="AO91" s="385"/>
      <c r="AP91" s="385"/>
      <c r="AQ91" s="385"/>
      <c r="AR91" s="385"/>
      <c r="AS91" s="385"/>
    </row>
    <row r="92" spans="20:45" x14ac:dyDescent="0.25"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5"/>
      <c r="AG92" s="385"/>
      <c r="AH92" s="385"/>
      <c r="AL92" s="385"/>
      <c r="AM92" s="385"/>
      <c r="AN92" s="385"/>
      <c r="AO92" s="385"/>
      <c r="AP92" s="385"/>
      <c r="AQ92" s="385"/>
      <c r="AR92" s="385"/>
      <c r="AS92" s="385"/>
    </row>
    <row r="93" spans="20:45" x14ac:dyDescent="0.25"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5"/>
      <c r="AG93" s="385"/>
      <c r="AH93" s="385"/>
      <c r="AL93" s="385"/>
      <c r="AM93" s="385"/>
      <c r="AN93" s="385"/>
      <c r="AO93" s="385"/>
      <c r="AP93" s="385"/>
      <c r="AQ93" s="385"/>
      <c r="AR93" s="385"/>
      <c r="AS93" s="385"/>
    </row>
    <row r="94" spans="20:45" x14ac:dyDescent="0.25"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L94" s="385"/>
      <c r="AM94" s="385"/>
      <c r="AN94" s="385"/>
      <c r="AO94" s="385"/>
      <c r="AP94" s="385"/>
      <c r="AQ94" s="385"/>
      <c r="AR94" s="385"/>
      <c r="AS94" s="385"/>
    </row>
    <row r="95" spans="20:45" x14ac:dyDescent="0.25"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L95" s="385"/>
      <c r="AM95" s="385"/>
      <c r="AN95" s="385"/>
      <c r="AO95" s="385"/>
      <c r="AP95" s="385"/>
      <c r="AQ95" s="385"/>
      <c r="AR95" s="385"/>
      <c r="AS95" s="385"/>
    </row>
    <row r="96" spans="20:45" x14ac:dyDescent="0.25"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L96" s="385"/>
      <c r="AM96" s="385"/>
      <c r="AN96" s="385"/>
      <c r="AO96" s="385"/>
      <c r="AP96" s="385"/>
      <c r="AQ96" s="385"/>
      <c r="AR96" s="385"/>
      <c r="AS96" s="385"/>
    </row>
    <row r="97" spans="20:45" x14ac:dyDescent="0.25"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L97" s="385"/>
      <c r="AM97" s="385"/>
      <c r="AN97" s="385"/>
      <c r="AO97" s="385"/>
      <c r="AP97" s="385"/>
      <c r="AQ97" s="385"/>
      <c r="AR97" s="385"/>
      <c r="AS97" s="385"/>
    </row>
    <row r="98" spans="20:45" x14ac:dyDescent="0.25"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L98" s="385"/>
      <c r="AM98" s="385"/>
      <c r="AN98" s="385"/>
      <c r="AO98" s="385"/>
      <c r="AP98" s="385"/>
      <c r="AQ98" s="385"/>
      <c r="AR98" s="385"/>
      <c r="AS98" s="385"/>
    </row>
    <row r="99" spans="20:45" x14ac:dyDescent="0.25"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L99" s="385"/>
      <c r="AM99" s="385"/>
      <c r="AN99" s="385"/>
      <c r="AO99" s="385"/>
      <c r="AP99" s="385"/>
      <c r="AQ99" s="385"/>
      <c r="AR99" s="385"/>
      <c r="AS99" s="385"/>
    </row>
    <row r="100" spans="20:45" x14ac:dyDescent="0.25"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5"/>
      <c r="AG100" s="385"/>
      <c r="AH100" s="385"/>
      <c r="AL100" s="385"/>
      <c r="AM100" s="385"/>
      <c r="AN100" s="385"/>
      <c r="AO100" s="385"/>
      <c r="AP100" s="385"/>
      <c r="AQ100" s="385"/>
      <c r="AR100" s="385"/>
      <c r="AS100" s="385"/>
    </row>
    <row r="101" spans="20:45" x14ac:dyDescent="0.25"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5"/>
      <c r="AL101" s="385"/>
      <c r="AM101" s="385"/>
      <c r="AN101" s="385"/>
      <c r="AO101" s="385"/>
      <c r="AP101" s="385"/>
      <c r="AQ101" s="385"/>
      <c r="AR101" s="385"/>
      <c r="AS101" s="385"/>
    </row>
    <row r="102" spans="20:45" x14ac:dyDescent="0.25"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5"/>
      <c r="AG102" s="385"/>
      <c r="AH102" s="385"/>
      <c r="AL102" s="385"/>
      <c r="AM102" s="385"/>
      <c r="AN102" s="385"/>
      <c r="AO102" s="385"/>
      <c r="AP102" s="385"/>
      <c r="AQ102" s="385"/>
      <c r="AR102" s="385"/>
      <c r="AS102" s="385"/>
    </row>
    <row r="103" spans="20:45" x14ac:dyDescent="0.25"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L103" s="385"/>
      <c r="AM103" s="385"/>
      <c r="AN103" s="385"/>
      <c r="AO103" s="385"/>
      <c r="AP103" s="385"/>
      <c r="AQ103" s="385"/>
      <c r="AR103" s="385"/>
      <c r="AS103" s="385"/>
    </row>
    <row r="104" spans="20:45" x14ac:dyDescent="0.25"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5"/>
      <c r="AG104" s="385"/>
      <c r="AH104" s="385"/>
      <c r="AL104" s="385"/>
      <c r="AM104" s="385"/>
      <c r="AN104" s="385"/>
      <c r="AO104" s="385"/>
      <c r="AP104" s="385"/>
      <c r="AQ104" s="385"/>
      <c r="AR104" s="385"/>
      <c r="AS104" s="385"/>
    </row>
    <row r="105" spans="20:45" x14ac:dyDescent="0.25"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L105" s="385"/>
      <c r="AM105" s="385"/>
      <c r="AN105" s="385"/>
      <c r="AO105" s="385"/>
      <c r="AP105" s="385"/>
      <c r="AQ105" s="385"/>
      <c r="AR105" s="385"/>
      <c r="AS105" s="385"/>
    </row>
    <row r="106" spans="20:45" x14ac:dyDescent="0.25"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L106" s="385"/>
      <c r="AM106" s="385"/>
      <c r="AN106" s="385"/>
      <c r="AO106" s="385"/>
      <c r="AP106" s="385"/>
      <c r="AQ106" s="385"/>
      <c r="AR106" s="385"/>
      <c r="AS106" s="385"/>
    </row>
    <row r="107" spans="20:45" x14ac:dyDescent="0.25"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L107" s="385"/>
      <c r="AM107" s="385"/>
      <c r="AN107" s="385"/>
      <c r="AO107" s="385"/>
      <c r="AP107" s="385"/>
      <c r="AQ107" s="385"/>
      <c r="AR107" s="385"/>
      <c r="AS107" s="385"/>
    </row>
    <row r="108" spans="20:45" x14ac:dyDescent="0.25"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L108" s="385"/>
      <c r="AM108" s="385"/>
      <c r="AN108" s="385"/>
      <c r="AO108" s="385"/>
      <c r="AP108" s="385"/>
      <c r="AQ108" s="385"/>
      <c r="AR108" s="385"/>
      <c r="AS108" s="385"/>
    </row>
    <row r="109" spans="20:45" x14ac:dyDescent="0.25"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5"/>
      <c r="AG109" s="385"/>
      <c r="AH109" s="385"/>
      <c r="AL109" s="385"/>
      <c r="AM109" s="385"/>
      <c r="AN109" s="385"/>
      <c r="AO109" s="385"/>
      <c r="AP109" s="385"/>
      <c r="AQ109" s="385"/>
      <c r="AR109" s="385"/>
      <c r="AS109" s="385"/>
    </row>
    <row r="110" spans="20:45" x14ac:dyDescent="0.25"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5"/>
      <c r="AH110" s="385"/>
      <c r="AL110" s="385"/>
      <c r="AM110" s="385"/>
      <c r="AN110" s="385"/>
      <c r="AO110" s="385"/>
      <c r="AP110" s="385"/>
      <c r="AQ110" s="385"/>
      <c r="AR110" s="385"/>
      <c r="AS110" s="385"/>
    </row>
    <row r="111" spans="20:45" x14ac:dyDescent="0.25"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L111" s="385"/>
      <c r="AM111" s="385"/>
      <c r="AN111" s="385"/>
      <c r="AO111" s="385"/>
      <c r="AP111" s="385"/>
      <c r="AQ111" s="385"/>
      <c r="AR111" s="385"/>
      <c r="AS111" s="385"/>
    </row>
    <row r="112" spans="20:45" x14ac:dyDescent="0.25"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L112" s="385"/>
      <c r="AM112" s="385"/>
      <c r="AN112" s="385"/>
      <c r="AO112" s="385"/>
      <c r="AP112" s="385"/>
      <c r="AQ112" s="385"/>
      <c r="AR112" s="385"/>
      <c r="AS112" s="385"/>
    </row>
    <row r="113" spans="20:45" x14ac:dyDescent="0.25"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L113" s="385"/>
      <c r="AM113" s="385"/>
      <c r="AN113" s="385"/>
      <c r="AO113" s="385"/>
      <c r="AP113" s="385"/>
      <c r="AQ113" s="385"/>
      <c r="AR113" s="385"/>
      <c r="AS113" s="385"/>
    </row>
    <row r="114" spans="20:45" x14ac:dyDescent="0.25"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L114" s="385"/>
      <c r="AM114" s="385"/>
      <c r="AN114" s="385"/>
      <c r="AO114" s="385"/>
      <c r="AP114" s="385"/>
      <c r="AQ114" s="385"/>
      <c r="AR114" s="385"/>
      <c r="AS114" s="385"/>
    </row>
    <row r="115" spans="20:45" x14ac:dyDescent="0.25"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L115" s="385"/>
      <c r="AM115" s="385"/>
      <c r="AN115" s="385"/>
      <c r="AO115" s="385"/>
      <c r="AP115" s="385"/>
      <c r="AQ115" s="385"/>
      <c r="AR115" s="385"/>
      <c r="AS115" s="385"/>
    </row>
    <row r="116" spans="20:45" x14ac:dyDescent="0.25"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L116" s="385"/>
      <c r="AM116" s="385"/>
      <c r="AN116" s="385"/>
      <c r="AO116" s="385"/>
      <c r="AP116" s="385"/>
      <c r="AQ116" s="385"/>
      <c r="AR116" s="385"/>
      <c r="AS116" s="385"/>
    </row>
    <row r="117" spans="20:45" x14ac:dyDescent="0.25"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L117" s="385"/>
      <c r="AM117" s="385"/>
      <c r="AN117" s="385"/>
      <c r="AO117" s="385"/>
      <c r="AP117" s="385"/>
      <c r="AQ117" s="385"/>
      <c r="AR117" s="385"/>
      <c r="AS117" s="385"/>
    </row>
    <row r="118" spans="20:45" x14ac:dyDescent="0.25"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L118" s="385"/>
      <c r="AM118" s="385"/>
      <c r="AN118" s="385"/>
      <c r="AO118" s="385"/>
      <c r="AP118" s="385"/>
      <c r="AQ118" s="385"/>
      <c r="AR118" s="385"/>
      <c r="AS118" s="385"/>
    </row>
    <row r="119" spans="20:45" x14ac:dyDescent="0.25"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5"/>
      <c r="AG119" s="385"/>
      <c r="AH119" s="385"/>
      <c r="AL119" s="385"/>
      <c r="AM119" s="385"/>
      <c r="AN119" s="385"/>
      <c r="AO119" s="385"/>
      <c r="AP119" s="385"/>
      <c r="AQ119" s="385"/>
      <c r="AR119" s="385"/>
      <c r="AS119" s="385"/>
    </row>
    <row r="120" spans="20:45" x14ac:dyDescent="0.25"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  <c r="AG120" s="385"/>
      <c r="AH120" s="385"/>
      <c r="AL120" s="385"/>
      <c r="AM120" s="385"/>
      <c r="AN120" s="385"/>
      <c r="AO120" s="385"/>
      <c r="AP120" s="385"/>
      <c r="AQ120" s="385"/>
      <c r="AR120" s="385"/>
      <c r="AS120" s="385"/>
    </row>
    <row r="121" spans="20:45" x14ac:dyDescent="0.25"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L121" s="385"/>
      <c r="AM121" s="385"/>
      <c r="AN121" s="385"/>
      <c r="AO121" s="385"/>
      <c r="AP121" s="385"/>
      <c r="AQ121" s="385"/>
      <c r="AR121" s="385"/>
      <c r="AS121" s="385"/>
    </row>
    <row r="122" spans="20:45" x14ac:dyDescent="0.25"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L122" s="385"/>
      <c r="AM122" s="385"/>
      <c r="AN122" s="385"/>
      <c r="AO122" s="385"/>
      <c r="AP122" s="385"/>
      <c r="AQ122" s="385"/>
      <c r="AR122" s="385"/>
      <c r="AS122" s="385"/>
    </row>
    <row r="123" spans="20:45" x14ac:dyDescent="0.25"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L123" s="385"/>
      <c r="AM123" s="385"/>
      <c r="AN123" s="385"/>
      <c r="AO123" s="385"/>
      <c r="AP123" s="385"/>
      <c r="AQ123" s="385"/>
      <c r="AR123" s="385"/>
      <c r="AS123" s="385"/>
    </row>
    <row r="124" spans="20:45" x14ac:dyDescent="0.25"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L124" s="385"/>
      <c r="AM124" s="385"/>
      <c r="AN124" s="385"/>
      <c r="AO124" s="385"/>
      <c r="AP124" s="385"/>
      <c r="AQ124" s="385"/>
      <c r="AR124" s="385"/>
      <c r="AS124" s="385"/>
    </row>
    <row r="125" spans="20:45" x14ac:dyDescent="0.25"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L125" s="385"/>
      <c r="AM125" s="385"/>
      <c r="AN125" s="385"/>
      <c r="AO125" s="385"/>
      <c r="AP125" s="385"/>
      <c r="AQ125" s="385"/>
      <c r="AR125" s="385"/>
      <c r="AS125" s="385"/>
    </row>
    <row r="126" spans="20:45" x14ac:dyDescent="0.25"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L126" s="385"/>
      <c r="AM126" s="385"/>
      <c r="AN126" s="385"/>
      <c r="AO126" s="385"/>
      <c r="AP126" s="385"/>
      <c r="AQ126" s="385"/>
      <c r="AR126" s="385"/>
      <c r="AS126" s="385"/>
    </row>
    <row r="127" spans="20:45" x14ac:dyDescent="0.25"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L127" s="385"/>
      <c r="AM127" s="385"/>
      <c r="AN127" s="385"/>
      <c r="AO127" s="385"/>
      <c r="AP127" s="385"/>
      <c r="AQ127" s="385"/>
      <c r="AR127" s="385"/>
      <c r="AS127" s="385"/>
    </row>
    <row r="128" spans="20:45" x14ac:dyDescent="0.25"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L128" s="385"/>
      <c r="AM128" s="385"/>
      <c r="AN128" s="385"/>
      <c r="AO128" s="385"/>
      <c r="AP128" s="385"/>
      <c r="AQ128" s="385"/>
      <c r="AR128" s="385"/>
      <c r="AS128" s="385"/>
    </row>
    <row r="129" spans="20:45" x14ac:dyDescent="0.25"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L129" s="385"/>
      <c r="AM129" s="385"/>
      <c r="AN129" s="385"/>
      <c r="AO129" s="385"/>
      <c r="AP129" s="385"/>
      <c r="AQ129" s="385"/>
      <c r="AR129" s="385"/>
      <c r="AS129" s="385"/>
    </row>
    <row r="130" spans="20:45" x14ac:dyDescent="0.25"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L130" s="385"/>
      <c r="AM130" s="385"/>
      <c r="AN130" s="385"/>
      <c r="AO130" s="385"/>
      <c r="AP130" s="385"/>
      <c r="AQ130" s="385"/>
      <c r="AR130" s="385"/>
      <c r="AS130" s="385"/>
    </row>
    <row r="131" spans="20:45" x14ac:dyDescent="0.25"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L131" s="385"/>
      <c r="AM131" s="385"/>
      <c r="AN131" s="385"/>
      <c r="AO131" s="385"/>
      <c r="AP131" s="385"/>
      <c r="AQ131" s="385"/>
      <c r="AR131" s="385"/>
      <c r="AS131" s="385"/>
    </row>
    <row r="132" spans="20:45" x14ac:dyDescent="0.25"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L132" s="385"/>
      <c r="AM132" s="385"/>
      <c r="AN132" s="385"/>
      <c r="AO132" s="385"/>
      <c r="AP132" s="385"/>
      <c r="AQ132" s="385"/>
      <c r="AR132" s="385"/>
      <c r="AS132" s="385"/>
    </row>
    <row r="133" spans="20:45" x14ac:dyDescent="0.25"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5"/>
      <c r="AG133" s="385"/>
      <c r="AH133" s="385"/>
      <c r="AL133" s="385"/>
      <c r="AM133" s="385"/>
      <c r="AN133" s="385"/>
      <c r="AO133" s="385"/>
      <c r="AP133" s="385"/>
      <c r="AQ133" s="385"/>
      <c r="AR133" s="385"/>
      <c r="AS133" s="385"/>
    </row>
    <row r="134" spans="20:45" x14ac:dyDescent="0.25"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L134" s="385"/>
      <c r="AM134" s="385"/>
      <c r="AN134" s="385"/>
      <c r="AO134" s="385"/>
      <c r="AP134" s="385"/>
      <c r="AQ134" s="385"/>
      <c r="AR134" s="385"/>
      <c r="AS134" s="385"/>
    </row>
    <row r="135" spans="20:45" x14ac:dyDescent="0.25"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L135" s="385"/>
      <c r="AM135" s="385"/>
      <c r="AN135" s="385"/>
      <c r="AO135" s="385"/>
      <c r="AP135" s="385"/>
      <c r="AQ135" s="385"/>
      <c r="AR135" s="385"/>
      <c r="AS135" s="385"/>
    </row>
    <row r="136" spans="20:45" x14ac:dyDescent="0.25"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/>
      <c r="AG136" s="385"/>
      <c r="AH136" s="385"/>
      <c r="AL136" s="385"/>
      <c r="AM136" s="385"/>
      <c r="AN136" s="385"/>
      <c r="AO136" s="385"/>
      <c r="AP136" s="385"/>
      <c r="AQ136" s="385"/>
      <c r="AR136" s="385"/>
      <c r="AS136" s="385"/>
    </row>
    <row r="137" spans="20:45" x14ac:dyDescent="0.25"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5"/>
      <c r="AG137" s="385"/>
      <c r="AH137" s="385"/>
      <c r="AL137" s="385"/>
      <c r="AM137" s="385"/>
      <c r="AN137" s="385"/>
      <c r="AO137" s="385"/>
      <c r="AP137" s="385"/>
      <c r="AQ137" s="385"/>
      <c r="AR137" s="385"/>
      <c r="AS137" s="385"/>
    </row>
    <row r="138" spans="20:45" x14ac:dyDescent="0.25"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5"/>
      <c r="AG138" s="385"/>
      <c r="AH138" s="385"/>
      <c r="AL138" s="385"/>
      <c r="AM138" s="385"/>
      <c r="AN138" s="385"/>
      <c r="AO138" s="385"/>
      <c r="AP138" s="385"/>
      <c r="AQ138" s="385"/>
      <c r="AR138" s="385"/>
      <c r="AS138" s="385"/>
    </row>
    <row r="139" spans="20:45" x14ac:dyDescent="0.25"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L139" s="385"/>
      <c r="AM139" s="385"/>
      <c r="AN139" s="385"/>
      <c r="AO139" s="385"/>
      <c r="AP139" s="385"/>
      <c r="AQ139" s="385"/>
      <c r="AR139" s="385"/>
      <c r="AS139" s="385"/>
    </row>
    <row r="140" spans="20:45" x14ac:dyDescent="0.25"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L140" s="385"/>
      <c r="AM140" s="385"/>
      <c r="AN140" s="385"/>
      <c r="AO140" s="385"/>
      <c r="AP140" s="385"/>
      <c r="AQ140" s="385"/>
      <c r="AR140" s="385"/>
      <c r="AS140" s="385"/>
    </row>
  </sheetData>
  <mergeCells count="1">
    <mergeCell ref="A4:C4"/>
  </mergeCells>
  <conditionalFormatting sqref="B22 B24 B26 B28 B30 B32 B34 B36 B38 B40 B42 B44 B46 B48 B50 B52">
    <cfRule type="cellIs" dxfId="47" priority="13" stopIfTrue="1" operator="equal">
      <formula>"QA"</formula>
    </cfRule>
    <cfRule type="cellIs" dxfId="46" priority="14" stopIfTrue="1" operator="equal">
      <formula>"DA"</formula>
    </cfRule>
  </conditionalFormatting>
  <conditionalFormatting sqref="E7 E21">
    <cfRule type="expression" dxfId="45" priority="16" stopIfTrue="1">
      <formula>$E7&lt;5</formula>
    </cfRule>
  </conditionalFormatting>
  <conditionalFormatting sqref="E22 E24 E26 E28 E30 E32 E34 E36 E38 E40 E42 E44 E46 E48 E50 E52">
    <cfRule type="expression" dxfId="44" priority="8" stopIfTrue="1">
      <formula>AND($E22&lt;9,$C22&gt;0)</formula>
    </cfRule>
  </conditionalFormatting>
  <conditionalFormatting sqref="F7 F9 F11 F13 F15 F17 F19">
    <cfRule type="cellIs" dxfId="43" priority="17" stopIfTrue="1" operator="equal">
      <formula>"Bye"</formula>
    </cfRule>
  </conditionalFormatting>
  <conditionalFormatting sqref="F21:F22 F24 F26 F28 F30 F32 F34 F36 F38 F40 F42 F44 F46 F48 F50">
    <cfRule type="cellIs" dxfId="42" priority="9" stopIfTrue="1" operator="equal">
      <formula>"Bye"</formula>
    </cfRule>
  </conditionalFormatting>
  <conditionalFormatting sqref="F22 F24 F26 F28 F30 F32 F34 F36 F38 F40 F42 F44 F46 F48 F50">
    <cfRule type="expression" dxfId="41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40" priority="4" stopIfTrue="1">
      <formula>AND($E7&lt;9,$C7&gt;0)</formula>
    </cfRule>
  </conditionalFormatting>
  <conditionalFormatting sqref="I8 K10 I12 M14 I16 K18 I20 I23 K25 I27 M29 I31 K33 I35 I39 K41 I43 M45 I47 K49 I51">
    <cfRule type="expression" dxfId="39" priority="5" stopIfTrue="1">
      <formula>AND($O$1="CU",I8="Umpire")</formula>
    </cfRule>
    <cfRule type="expression" dxfId="38" priority="6" stopIfTrue="1">
      <formula>AND($O$1="CU",I8&lt;&gt;"Umpire",J8&lt;&gt;"")</formula>
    </cfRule>
    <cfRule type="expression" dxfId="37" priority="7" stopIfTrue="1">
      <formula>AND($O$1="CU",I8&lt;&gt;"Umpire")</formula>
    </cfRule>
  </conditionalFormatting>
  <conditionalFormatting sqref="J8 L10 J12 N14 J16 L18 J20 R62">
    <cfRule type="expression" dxfId="36" priority="15" stopIfTrue="1">
      <formula>$O$1="CU"</formula>
    </cfRule>
  </conditionalFormatting>
  <conditionalFormatting sqref="K8 M10 K12 O14 K16 M18 K20 K23 M25 K27 O29 K31 M33 K35 K39 M41 K43 O45 K47 M49 K51">
    <cfRule type="expression" dxfId="35" priority="11" stopIfTrue="1">
      <formula>J8="as"</formula>
    </cfRule>
    <cfRule type="expression" dxfId="34" priority="12" stopIfTrue="1">
      <formula>J8="bs"</formula>
    </cfRule>
  </conditionalFormatting>
  <conditionalFormatting sqref="O16">
    <cfRule type="expression" dxfId="33" priority="1" stopIfTrue="1">
      <formula>AND($O$1="CU",O16="Umpire")</formula>
    </cfRule>
    <cfRule type="expression" dxfId="32" priority="2" stopIfTrue="1">
      <formula>AND($O$1="CU",O16&lt;&gt;"Umpire",P16&lt;&gt;"")</formula>
    </cfRule>
    <cfRule type="expression" dxfId="31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9CE02B13-5382-470A-BC6B-80563813865D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414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4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5E78-E61C-4209-B572-BAD3F7530A21}">
  <sheetPr>
    <tabColor indexed="11"/>
    <pageSetUpPr fitToPage="1"/>
  </sheetPr>
  <dimension ref="A1:AK57"/>
  <sheetViews>
    <sheetView showGridLines="0" showZeros="0" topLeftCell="A5" workbookViewId="0">
      <selection activeCell="F17" sqref="F17"/>
    </sheetView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44140625" style="303" customWidth="1"/>
    <col min="5" max="5" width="4.33203125" style="303" customWidth="1"/>
    <col min="6" max="6" width="12.6640625" style="303" customWidth="1"/>
    <col min="7" max="7" width="2.6640625" style="303" customWidth="1"/>
    <col min="8" max="8" width="7.6640625" style="303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34" width="9.109375" style="303" hidden="1" customWidth="1"/>
    <col min="35" max="37" width="9.109375" style="303" customWidth="1"/>
    <col min="38" max="16384" width="8.77734375" style="303"/>
  </cols>
  <sheetData>
    <row r="1" spans="1:37" s="224" customFormat="1" ht="21.75" customHeight="1" x14ac:dyDescent="0.25">
      <c r="A1" s="386" t="str">
        <f>[13]Altalanos!$A$6</f>
        <v>OB</v>
      </c>
      <c r="B1" s="386"/>
      <c r="C1" s="387"/>
      <c r="D1" s="387"/>
      <c r="E1" s="387"/>
      <c r="F1" s="387"/>
      <c r="G1" s="387"/>
      <c r="H1" s="386"/>
      <c r="I1" s="388"/>
      <c r="J1" s="389"/>
      <c r="K1" s="390" t="s">
        <v>39</v>
      </c>
      <c r="L1" s="391"/>
      <c r="M1" s="392"/>
      <c r="N1" s="389"/>
      <c r="O1" s="389" t="s">
        <v>1</v>
      </c>
      <c r="P1" s="389"/>
      <c r="Q1" s="387"/>
      <c r="R1" s="389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</row>
    <row r="2" spans="1:37" s="233" customFormat="1" x14ac:dyDescent="0.25">
      <c r="A2" s="393" t="s">
        <v>38</v>
      </c>
      <c r="B2" s="394"/>
      <c r="C2" s="394"/>
      <c r="D2" s="394"/>
      <c r="E2" s="394">
        <f>[13]Altalanos!$A$8</f>
        <v>0</v>
      </c>
      <c r="F2" s="394"/>
      <c r="G2" s="395"/>
      <c r="H2" s="396"/>
      <c r="I2" s="396"/>
      <c r="J2" s="397"/>
      <c r="K2" s="391"/>
      <c r="L2" s="391"/>
      <c r="M2" s="391"/>
      <c r="N2" s="397"/>
      <c r="O2" s="396"/>
      <c r="P2" s="397"/>
      <c r="Q2" s="396"/>
      <c r="R2" s="397"/>
      <c r="Y2" s="235"/>
      <c r="Z2" s="236"/>
      <c r="AA2" s="398" t="s">
        <v>52</v>
      </c>
      <c r="AB2" s="399">
        <v>300</v>
      </c>
      <c r="AC2" s="399">
        <v>250</v>
      </c>
      <c r="AD2" s="399">
        <v>200</v>
      </c>
      <c r="AE2" s="399">
        <v>150</v>
      </c>
      <c r="AF2" s="399">
        <v>120</v>
      </c>
      <c r="AG2" s="399">
        <v>90</v>
      </c>
      <c r="AH2" s="399">
        <v>40</v>
      </c>
      <c r="AI2" s="303"/>
      <c r="AJ2" s="303"/>
      <c r="AK2" s="303"/>
    </row>
    <row r="3" spans="1:37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Y3" s="236" t="str">
        <f>IF(K4="OB","A",IF(K4="IX","W",IF(K4="","",K4)))</f>
        <v/>
      </c>
      <c r="Z3" s="236"/>
      <c r="AA3" s="398" t="s">
        <v>53</v>
      </c>
      <c r="AB3" s="399">
        <v>280</v>
      </c>
      <c r="AC3" s="399">
        <v>230</v>
      </c>
      <c r="AD3" s="399">
        <v>180</v>
      </c>
      <c r="AE3" s="399">
        <v>140</v>
      </c>
      <c r="AF3" s="399">
        <v>80</v>
      </c>
      <c r="AG3" s="399">
        <v>0</v>
      </c>
      <c r="AH3" s="399">
        <v>0</v>
      </c>
      <c r="AI3" s="303"/>
      <c r="AJ3" s="303"/>
      <c r="AK3" s="303"/>
    </row>
    <row r="4" spans="1:37" s="250" customFormat="1" ht="11.25" customHeight="1" thickBot="1" x14ac:dyDescent="0.3">
      <c r="A4" s="400">
        <f>[13]Altalanos!$A$10</f>
        <v>0</v>
      </c>
      <c r="B4" s="400"/>
      <c r="C4" s="400"/>
      <c r="D4" s="401"/>
      <c r="E4" s="402"/>
      <c r="F4" s="402"/>
      <c r="G4" s="402">
        <f>[13]Altalanos!$C$10</f>
        <v>0</v>
      </c>
      <c r="H4" s="403"/>
      <c r="I4" s="402"/>
      <c r="J4" s="404"/>
      <c r="K4" s="86"/>
      <c r="L4" s="404"/>
      <c r="M4" s="405"/>
      <c r="N4" s="404"/>
      <c r="O4" s="402"/>
      <c r="P4" s="404"/>
      <c r="Q4" s="402"/>
      <c r="R4" s="406">
        <f>[13]Altalanos!$E$10</f>
        <v>0</v>
      </c>
      <c r="Y4" s="236"/>
      <c r="Z4" s="236"/>
      <c r="AA4" s="398" t="s">
        <v>82</v>
      </c>
      <c r="AB4" s="399">
        <v>250</v>
      </c>
      <c r="AC4" s="399">
        <v>200</v>
      </c>
      <c r="AD4" s="399">
        <v>150</v>
      </c>
      <c r="AE4" s="399">
        <v>120</v>
      </c>
      <c r="AF4" s="399">
        <v>90</v>
      </c>
      <c r="AG4" s="399">
        <v>60</v>
      </c>
      <c r="AH4" s="399">
        <v>25</v>
      </c>
      <c r="AI4" s="303"/>
      <c r="AJ4" s="303"/>
      <c r="AK4" s="303"/>
    </row>
    <row r="5" spans="1:37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46</v>
      </c>
      <c r="N5" s="256"/>
      <c r="O5" s="253" t="s">
        <v>45</v>
      </c>
      <c r="P5" s="256"/>
      <c r="Q5" s="253" t="s">
        <v>44</v>
      </c>
      <c r="R5" s="257"/>
      <c r="Y5" s="236">
        <f>IF(OR([13]Altalanos!$A$8="F1",[13]Altalanos!$A$8="F2",[13]Altalanos!$A$8="N1",[13]Altalanos!$A$8="N2"),1,2)</f>
        <v>2</v>
      </c>
      <c r="Z5" s="236"/>
      <c r="AA5" s="398" t="s">
        <v>83</v>
      </c>
      <c r="AB5" s="399">
        <v>200</v>
      </c>
      <c r="AC5" s="399">
        <v>150</v>
      </c>
      <c r="AD5" s="399">
        <v>120</v>
      </c>
      <c r="AE5" s="399">
        <v>90</v>
      </c>
      <c r="AF5" s="399">
        <v>60</v>
      </c>
      <c r="AG5" s="399">
        <v>40</v>
      </c>
      <c r="AH5" s="399">
        <v>15</v>
      </c>
      <c r="AI5" s="303"/>
      <c r="AJ5" s="303"/>
      <c r="AK5" s="303"/>
    </row>
    <row r="6" spans="1:37" s="264" customFormat="1" ht="10.95" customHeight="1" thickBot="1" x14ac:dyDescent="0.3">
      <c r="A6" s="407"/>
      <c r="B6" s="259"/>
      <c r="C6" s="259"/>
      <c r="D6" s="259"/>
      <c r="E6" s="259"/>
      <c r="F6" s="258" t="str">
        <f>IF(Y3="","",CONCATENATE(AH1," / ",VLOOKUP(Y3,AB1:AH1,5)," pont"))</f>
        <v/>
      </c>
      <c r="G6" s="260"/>
      <c r="H6" s="261"/>
      <c r="I6" s="260"/>
      <c r="J6" s="262"/>
      <c r="K6" s="259" t="str">
        <f>IF(Y3="","",CONCATENATE(VLOOKUP(Y3,AB1:AH1,4)," pont"))</f>
        <v/>
      </c>
      <c r="L6" s="262"/>
      <c r="M6" s="259" t="str">
        <f>IF(Y3="","",CONCATENATE(VLOOKUP(Y3,AB1:AH1,3)," pont"))</f>
        <v/>
      </c>
      <c r="N6" s="262"/>
      <c r="O6" s="259" t="str">
        <f>IF(Y3="","",CONCATENATE(VLOOKUP(Y3,AB1:AH1,2)," pont"))</f>
        <v/>
      </c>
      <c r="P6" s="262"/>
      <c r="Q6" s="259" t="str">
        <f>IF(Y3="","",CONCATENATE(VLOOKUP(Y3,AB1:AH1,1)," pont"))</f>
        <v/>
      </c>
      <c r="R6" s="263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408"/>
      <c r="AJ6" s="408"/>
      <c r="AK6" s="408"/>
    </row>
    <row r="7" spans="1:37" s="282" customFormat="1" ht="13.05" customHeight="1" x14ac:dyDescent="0.25">
      <c r="A7" s="269">
        <v>1</v>
      </c>
      <c r="B7" s="409" t="str">
        <f>IF($E7="","",VLOOKUP($E7,'[13]1MD ELO'!$A$7:$O$22,14))</f>
        <v/>
      </c>
      <c r="C7" s="410" t="str">
        <f>IF($E7="","",VLOOKUP($E7,'[13]1MD ELO'!$A$7:$O$22,15))</f>
        <v/>
      </c>
      <c r="D7" s="410" t="str">
        <f>IF($E7="","",VLOOKUP($E7,'[13]1MD ELO'!$A$7:$O$22,5))</f>
        <v/>
      </c>
      <c r="E7" s="411"/>
      <c r="F7" s="413" t="str">
        <f>UPPER(IF($E7="","",VLOOKUP($E7,'[13]1MD ELO'!$A$7:$O$22,2)))</f>
        <v/>
      </c>
      <c r="G7" s="413" t="str">
        <f>IF($E7="","",VLOOKUP($E7,'[13]1MD ELO'!$A$7:$O$22,3))</f>
        <v/>
      </c>
      <c r="H7" s="413"/>
      <c r="I7" s="413" t="str">
        <f>IF($E7="","",VLOOKUP($E7,'[13]1MD ELO'!$A$7:$O$22,4))</f>
        <v/>
      </c>
      <c r="J7" s="415"/>
      <c r="K7" s="416"/>
      <c r="L7" s="416"/>
      <c r="M7" s="416"/>
      <c r="N7" s="416"/>
      <c r="O7" s="276"/>
      <c r="P7" s="277"/>
      <c r="Q7" s="278"/>
      <c r="R7" s="279"/>
      <c r="S7" s="280"/>
      <c r="U7" s="417" t="str">
        <f>[13]Birók!P21</f>
        <v>Bíró</v>
      </c>
      <c r="Y7" s="236"/>
      <c r="Z7" s="236"/>
      <c r="AA7" s="398" t="s">
        <v>85</v>
      </c>
      <c r="AB7" s="399">
        <v>120</v>
      </c>
      <c r="AC7" s="399">
        <v>90</v>
      </c>
      <c r="AD7" s="399">
        <v>60</v>
      </c>
      <c r="AE7" s="399">
        <v>40</v>
      </c>
      <c r="AF7" s="399">
        <v>25</v>
      </c>
      <c r="AG7" s="399">
        <v>10</v>
      </c>
      <c r="AH7" s="399">
        <v>5</v>
      </c>
      <c r="AI7" s="303"/>
      <c r="AJ7" s="303"/>
      <c r="AK7" s="303"/>
    </row>
    <row r="8" spans="1:37" s="282" customFormat="1" ht="13.05" customHeight="1" x14ac:dyDescent="0.25">
      <c r="A8" s="283"/>
      <c r="B8" s="418"/>
      <c r="C8" s="419"/>
      <c r="D8" s="419"/>
      <c r="E8" s="420"/>
      <c r="F8" s="421"/>
      <c r="G8" s="421"/>
      <c r="H8" s="422"/>
      <c r="I8" s="423" t="s">
        <v>0</v>
      </c>
      <c r="J8" s="290"/>
      <c r="K8" s="424" t="str">
        <f>UPPER(IF(OR(J8="a",J8="as"),F7,IF(OR(J8="b",J8="bs"),F9,)))</f>
        <v/>
      </c>
      <c r="L8" s="424"/>
      <c r="M8" s="416"/>
      <c r="N8" s="416"/>
      <c r="O8" s="276"/>
      <c r="P8" s="277"/>
      <c r="Q8" s="278"/>
      <c r="R8" s="279"/>
      <c r="S8" s="280"/>
      <c r="U8" s="425" t="str">
        <f>[13]Birók!P22</f>
        <v xml:space="preserve"> </v>
      </c>
      <c r="Y8" s="236"/>
      <c r="Z8" s="236"/>
      <c r="AA8" s="398" t="s">
        <v>86</v>
      </c>
      <c r="AB8" s="399">
        <v>90</v>
      </c>
      <c r="AC8" s="399">
        <v>60</v>
      </c>
      <c r="AD8" s="399">
        <v>40</v>
      </c>
      <c r="AE8" s="399">
        <v>25</v>
      </c>
      <c r="AF8" s="399">
        <v>10</v>
      </c>
      <c r="AG8" s="399">
        <v>5</v>
      </c>
      <c r="AH8" s="399">
        <v>2</v>
      </c>
      <c r="AI8" s="303"/>
      <c r="AJ8" s="303"/>
      <c r="AK8" s="303"/>
    </row>
    <row r="9" spans="1:37" s="282" customFormat="1" ht="13.05" customHeight="1" x14ac:dyDescent="0.25">
      <c r="A9" s="283">
        <v>2</v>
      </c>
      <c r="B9" s="409" t="str">
        <f>IF($E9="","",VLOOKUP($E9,'[13]1MD ELO'!$A$7:$O$22,14))</f>
        <v/>
      </c>
      <c r="C9" s="410" t="str">
        <f>IF($E9="","",VLOOKUP($E9,'[13]1MD ELO'!$A$7:$O$22,15))</f>
        <v/>
      </c>
      <c r="D9" s="410" t="str">
        <f>IF($E9="","",VLOOKUP($E9,'[13]1MD ELO'!$A$7:$O$22,5))</f>
        <v/>
      </c>
      <c r="E9" s="411"/>
      <c r="F9" s="426" t="str">
        <f>UPPER(IF($E9="","",VLOOKUP($E9,'[13]1MD ELO'!$A$7:$O$22,2)))</f>
        <v/>
      </c>
      <c r="G9" s="426" t="str">
        <f>IF($E9="","",VLOOKUP($E9,'[13]1MD ELO'!$A$7:$O$22,3))</f>
        <v/>
      </c>
      <c r="H9" s="426"/>
      <c r="I9" s="413" t="str">
        <f>IF($E9="","",VLOOKUP($E9,'[13]1MD ELO'!$A$7:$O$22,4))</f>
        <v/>
      </c>
      <c r="J9" s="427"/>
      <c r="K9" s="416"/>
      <c r="L9" s="428"/>
      <c r="M9" s="416"/>
      <c r="N9" s="416"/>
      <c r="O9" s="276"/>
      <c r="P9" s="277"/>
      <c r="Q9" s="278"/>
      <c r="R9" s="279"/>
      <c r="S9" s="280"/>
      <c r="U9" s="425" t="str">
        <f>[13]Birók!P23</f>
        <v xml:space="preserve"> </v>
      </c>
      <c r="Y9" s="236"/>
      <c r="Z9" s="236"/>
      <c r="AA9" s="398" t="s">
        <v>87</v>
      </c>
      <c r="AB9" s="399">
        <v>60</v>
      </c>
      <c r="AC9" s="399">
        <v>40</v>
      </c>
      <c r="AD9" s="399">
        <v>25</v>
      </c>
      <c r="AE9" s="399">
        <v>10</v>
      </c>
      <c r="AF9" s="399">
        <v>5</v>
      </c>
      <c r="AG9" s="399">
        <v>2</v>
      </c>
      <c r="AH9" s="399">
        <v>1</v>
      </c>
      <c r="AI9" s="303"/>
      <c r="AJ9" s="303"/>
      <c r="AK9" s="303"/>
    </row>
    <row r="10" spans="1:37" s="282" customFormat="1" ht="13.05" customHeight="1" x14ac:dyDescent="0.25">
      <c r="A10" s="283"/>
      <c r="B10" s="418"/>
      <c r="C10" s="419"/>
      <c r="D10" s="419"/>
      <c r="E10" s="429"/>
      <c r="F10" s="421"/>
      <c r="G10" s="421"/>
      <c r="H10" s="422"/>
      <c r="I10" s="416"/>
      <c r="J10" s="430"/>
      <c r="K10" s="431" t="s">
        <v>0</v>
      </c>
      <c r="L10" s="299"/>
      <c r="M10" s="424" t="str">
        <f>UPPER(IF(OR(L10="a",L10="as"),K8,IF(OR(L10="b",L10="bs"),K12,)))</f>
        <v/>
      </c>
      <c r="N10" s="432"/>
      <c r="O10" s="433"/>
      <c r="P10" s="433"/>
      <c r="Q10" s="278"/>
      <c r="R10" s="279"/>
      <c r="S10" s="280"/>
      <c r="U10" s="425" t="str">
        <f>[13]Birók!P24</f>
        <v xml:space="preserve"> </v>
      </c>
      <c r="Y10" s="236"/>
      <c r="Z10" s="236"/>
      <c r="AA10" s="398" t="s">
        <v>88</v>
      </c>
      <c r="AB10" s="399">
        <v>40</v>
      </c>
      <c r="AC10" s="399">
        <v>25</v>
      </c>
      <c r="AD10" s="399">
        <v>15</v>
      </c>
      <c r="AE10" s="399">
        <v>7</v>
      </c>
      <c r="AF10" s="399">
        <v>4</v>
      </c>
      <c r="AG10" s="399">
        <v>1</v>
      </c>
      <c r="AH10" s="399">
        <v>0</v>
      </c>
      <c r="AI10" s="303"/>
      <c r="AJ10" s="303"/>
      <c r="AK10" s="303"/>
    </row>
    <row r="11" spans="1:37" s="282" customFormat="1" ht="13.05" customHeight="1" x14ac:dyDescent="0.25">
      <c r="A11" s="283">
        <v>3</v>
      </c>
      <c r="B11" s="409" t="str">
        <f>IF($E11="","",VLOOKUP($E11,'[13]1MD ELO'!$A$7:$O$22,14))</f>
        <v/>
      </c>
      <c r="C11" s="410" t="str">
        <f>IF($E11="","",VLOOKUP($E11,'[13]1MD ELO'!$A$7:$O$22,15))</f>
        <v/>
      </c>
      <c r="D11" s="410" t="str">
        <f>IF($E11="","",VLOOKUP($E11,'[13]1MD ELO'!$A$7:$O$22,5))</f>
        <v/>
      </c>
      <c r="E11" s="411"/>
      <c r="F11" s="426" t="str">
        <f>UPPER(IF($E11="","",VLOOKUP($E11,'[13]1MD ELO'!$A$7:$O$22,2)))</f>
        <v/>
      </c>
      <c r="G11" s="426" t="str">
        <f>IF($E11="","",VLOOKUP($E11,'[13]1MD ELO'!$A$7:$O$22,3))</f>
        <v/>
      </c>
      <c r="H11" s="426"/>
      <c r="I11" s="426" t="str">
        <f>IF($E11="","",VLOOKUP($E11,'[13]1MD ELO'!$A$7:$O$22,4))</f>
        <v/>
      </c>
      <c r="J11" s="415"/>
      <c r="K11" s="416"/>
      <c r="L11" s="435"/>
      <c r="M11" s="416"/>
      <c r="N11" s="436"/>
      <c r="O11" s="433"/>
      <c r="P11" s="433"/>
      <c r="Q11" s="278"/>
      <c r="R11" s="279"/>
      <c r="S11" s="280"/>
      <c r="U11" s="425" t="str">
        <f>[13]Birók!P25</f>
        <v xml:space="preserve"> </v>
      </c>
      <c r="Y11" s="236"/>
      <c r="Z11" s="236"/>
      <c r="AA11" s="398" t="s">
        <v>89</v>
      </c>
      <c r="AB11" s="399">
        <v>25</v>
      </c>
      <c r="AC11" s="399">
        <v>15</v>
      </c>
      <c r="AD11" s="399">
        <v>10</v>
      </c>
      <c r="AE11" s="399">
        <v>6</v>
      </c>
      <c r="AF11" s="399">
        <v>3</v>
      </c>
      <c r="AG11" s="399">
        <v>1</v>
      </c>
      <c r="AH11" s="399">
        <v>0</v>
      </c>
      <c r="AI11" s="303"/>
      <c r="AJ11" s="303"/>
      <c r="AK11" s="303"/>
    </row>
    <row r="12" spans="1:37" s="282" customFormat="1" ht="13.05" customHeight="1" x14ac:dyDescent="0.25">
      <c r="A12" s="283"/>
      <c r="B12" s="418"/>
      <c r="C12" s="419"/>
      <c r="D12" s="419"/>
      <c r="E12" s="429"/>
      <c r="F12" s="421"/>
      <c r="G12" s="421"/>
      <c r="H12" s="422"/>
      <c r="I12" s="423" t="s">
        <v>0</v>
      </c>
      <c r="J12" s="290"/>
      <c r="K12" s="424" t="str">
        <f>UPPER(IF(OR(J12="a",J12="as"),F11,IF(OR(J12="b",J12="bs"),F13,)))</f>
        <v/>
      </c>
      <c r="L12" s="438"/>
      <c r="M12" s="416"/>
      <c r="N12" s="436"/>
      <c r="O12" s="433"/>
      <c r="P12" s="433"/>
      <c r="Q12" s="278"/>
      <c r="R12" s="279"/>
      <c r="S12" s="280"/>
      <c r="U12" s="425" t="str">
        <f>[13]Birók!P26</f>
        <v xml:space="preserve"> </v>
      </c>
      <c r="Y12" s="236"/>
      <c r="Z12" s="236"/>
      <c r="AA12" s="398" t="s">
        <v>94</v>
      </c>
      <c r="AB12" s="399">
        <v>15</v>
      </c>
      <c r="AC12" s="399">
        <v>10</v>
      </c>
      <c r="AD12" s="399">
        <v>6</v>
      </c>
      <c r="AE12" s="399">
        <v>3</v>
      </c>
      <c r="AF12" s="399">
        <v>1</v>
      </c>
      <c r="AG12" s="399">
        <v>0</v>
      </c>
      <c r="AH12" s="399">
        <v>0</v>
      </c>
      <c r="AI12" s="303"/>
      <c r="AJ12" s="303"/>
      <c r="AK12" s="303"/>
    </row>
    <row r="13" spans="1:37" s="282" customFormat="1" ht="13.05" customHeight="1" x14ac:dyDescent="0.25">
      <c r="A13" s="283">
        <v>4</v>
      </c>
      <c r="B13" s="409" t="str">
        <f>IF($E13="","",VLOOKUP($E13,'[13]1MD ELO'!$A$7:$O$22,14))</f>
        <v/>
      </c>
      <c r="C13" s="410" t="str">
        <f>IF($E13="","",VLOOKUP($E13,'[13]1MD ELO'!$A$7:$O$22,15))</f>
        <v/>
      </c>
      <c r="D13" s="410" t="str">
        <f>IF($E13="","",VLOOKUP($E13,'[13]1MD ELO'!$A$7:$O$22,5))</f>
        <v/>
      </c>
      <c r="E13" s="411"/>
      <c r="F13" s="426" t="str">
        <f>UPPER(IF($E13="","",VLOOKUP($E13,'[13]1MD ELO'!$A$7:$O$22,2)))</f>
        <v/>
      </c>
      <c r="G13" s="426" t="str">
        <f>IF($E13="","",VLOOKUP($E13,'[13]1MD ELO'!$A$7:$O$22,3))</f>
        <v/>
      </c>
      <c r="H13" s="426"/>
      <c r="I13" s="426" t="str">
        <f>IF($E13="","",VLOOKUP($E13,'[13]1MD ELO'!$A$7:$O$22,4))</f>
        <v/>
      </c>
      <c r="J13" s="439"/>
      <c r="K13" s="416"/>
      <c r="L13" s="416"/>
      <c r="M13" s="416"/>
      <c r="N13" s="436"/>
      <c r="O13" s="433"/>
      <c r="P13" s="433"/>
      <c r="Q13" s="278"/>
      <c r="R13" s="279"/>
      <c r="S13" s="280"/>
      <c r="U13" s="425" t="str">
        <f>[13]Birók!P27</f>
        <v xml:space="preserve"> </v>
      </c>
      <c r="Y13" s="236"/>
      <c r="Z13" s="236"/>
      <c r="AA13" s="398" t="s">
        <v>90</v>
      </c>
      <c r="AB13" s="399">
        <v>10</v>
      </c>
      <c r="AC13" s="399">
        <v>6</v>
      </c>
      <c r="AD13" s="399">
        <v>3</v>
      </c>
      <c r="AE13" s="399">
        <v>1</v>
      </c>
      <c r="AF13" s="399">
        <v>0</v>
      </c>
      <c r="AG13" s="399">
        <v>0</v>
      </c>
      <c r="AH13" s="399">
        <v>0</v>
      </c>
      <c r="AI13" s="303"/>
      <c r="AJ13" s="303"/>
      <c r="AK13" s="303"/>
    </row>
    <row r="14" spans="1:37" s="282" customFormat="1" ht="13.05" customHeight="1" x14ac:dyDescent="0.25">
      <c r="A14" s="283"/>
      <c r="B14" s="418"/>
      <c r="C14" s="419"/>
      <c r="D14" s="419"/>
      <c r="E14" s="429"/>
      <c r="F14" s="416"/>
      <c r="G14" s="416"/>
      <c r="H14" s="549"/>
      <c r="I14" s="440"/>
      <c r="J14" s="430"/>
      <c r="K14" s="416"/>
      <c r="L14" s="416"/>
      <c r="M14" s="431" t="s">
        <v>0</v>
      </c>
      <c r="N14" s="299"/>
      <c r="O14" s="424" t="str">
        <f>UPPER(IF(OR(N14="a",N14="as"),M10,IF(OR(N14="b",N14="bs"),M18,)))</f>
        <v/>
      </c>
      <c r="P14" s="432"/>
      <c r="Q14" s="278"/>
      <c r="R14" s="279"/>
      <c r="S14" s="280"/>
      <c r="U14" s="425" t="str">
        <f>[13]Birók!P28</f>
        <v xml:space="preserve"> </v>
      </c>
      <c r="Y14" s="236"/>
      <c r="Z14" s="236"/>
      <c r="AA14" s="398" t="s">
        <v>91</v>
      </c>
      <c r="AB14" s="399">
        <v>3</v>
      </c>
      <c r="AC14" s="399">
        <v>2</v>
      </c>
      <c r="AD14" s="399">
        <v>1</v>
      </c>
      <c r="AE14" s="399">
        <v>0</v>
      </c>
      <c r="AF14" s="399">
        <v>0</v>
      </c>
      <c r="AG14" s="399">
        <v>0</v>
      </c>
      <c r="AH14" s="399">
        <v>0</v>
      </c>
      <c r="AI14" s="303"/>
      <c r="AJ14" s="303"/>
      <c r="AK14" s="303"/>
    </row>
    <row r="15" spans="1:37" s="282" customFormat="1" ht="13.05" customHeight="1" x14ac:dyDescent="0.25">
      <c r="A15" s="269">
        <v>5</v>
      </c>
      <c r="B15" s="409" t="str">
        <f>IF($E15="","",VLOOKUP($E15,'[13]1MD ELO'!$A$7:$O$22,14))</f>
        <v/>
      </c>
      <c r="C15" s="410" t="str">
        <f>IF($E15="","",VLOOKUP($E15,'[13]1MD ELO'!$A$7:$O$22,15))</f>
        <v/>
      </c>
      <c r="D15" s="410" t="str">
        <f>IF($E15="","",VLOOKUP($E15,'[13]1MD ELO'!$A$7:$O$22,5))</f>
        <v/>
      </c>
      <c r="E15" s="411"/>
      <c r="F15" s="413" t="str">
        <f>UPPER(IF($E15="","",VLOOKUP($E15,'[13]1MD ELO'!$A$7:$O$22,2)))</f>
        <v/>
      </c>
      <c r="G15" s="413" t="str">
        <f>IF($E15="","",VLOOKUP($E15,'[13]1MD ELO'!$A$7:$O$22,3))</f>
        <v/>
      </c>
      <c r="H15" s="413"/>
      <c r="I15" s="413" t="str">
        <f>IF($E15="","",VLOOKUP($E15,'[13]1MD ELO'!$A$7:$O$22,4))</f>
        <v/>
      </c>
      <c r="J15" s="441"/>
      <c r="K15" s="416"/>
      <c r="L15" s="416"/>
      <c r="M15" s="416"/>
      <c r="N15" s="436"/>
      <c r="O15" s="416"/>
      <c r="P15" s="436"/>
      <c r="Q15" s="278"/>
      <c r="R15" s="279"/>
      <c r="S15" s="280"/>
      <c r="U15" s="425" t="str">
        <f>[13]Birók!P29</f>
        <v xml:space="preserve"> </v>
      </c>
      <c r="Y15" s="236"/>
      <c r="Z15" s="236"/>
      <c r="AA15" s="398"/>
      <c r="AB15" s="398"/>
      <c r="AC15" s="398"/>
      <c r="AD15" s="398"/>
      <c r="AE15" s="398"/>
      <c r="AF15" s="398"/>
      <c r="AG15" s="398"/>
      <c r="AH15" s="398"/>
      <c r="AI15" s="303"/>
      <c r="AJ15" s="303"/>
      <c r="AK15" s="303"/>
    </row>
    <row r="16" spans="1:37" s="282" customFormat="1" ht="13.05" customHeight="1" thickBot="1" x14ac:dyDescent="0.3">
      <c r="A16" s="283"/>
      <c r="B16" s="418"/>
      <c r="C16" s="419"/>
      <c r="D16" s="419"/>
      <c r="E16" s="429"/>
      <c r="F16" s="421"/>
      <c r="G16" s="421"/>
      <c r="H16" s="422"/>
      <c r="I16" s="423" t="s">
        <v>0</v>
      </c>
      <c r="J16" s="290"/>
      <c r="K16" s="424" t="str">
        <f>UPPER(IF(OR(J16="a",J16="as"),F15,IF(OR(J16="b",J16="bs"),F17,)))</f>
        <v/>
      </c>
      <c r="L16" s="424"/>
      <c r="M16" s="416"/>
      <c r="N16" s="436"/>
      <c r="O16" s="433"/>
      <c r="P16" s="436"/>
      <c r="Q16" s="278"/>
      <c r="R16" s="279"/>
      <c r="S16" s="280"/>
      <c r="U16" s="442" t="str">
        <f>[13]Birók!P30</f>
        <v>Egyik sem</v>
      </c>
      <c r="Y16" s="236"/>
      <c r="Z16" s="236"/>
      <c r="AA16" s="398" t="s">
        <v>52</v>
      </c>
      <c r="AB16" s="399">
        <v>150</v>
      </c>
      <c r="AC16" s="399">
        <v>120</v>
      </c>
      <c r="AD16" s="399">
        <v>90</v>
      </c>
      <c r="AE16" s="399">
        <v>60</v>
      </c>
      <c r="AF16" s="399">
        <v>40</v>
      </c>
      <c r="AG16" s="399">
        <v>25</v>
      </c>
      <c r="AH16" s="399">
        <v>15</v>
      </c>
      <c r="AI16" s="303"/>
      <c r="AJ16" s="303"/>
      <c r="AK16" s="303"/>
    </row>
    <row r="17" spans="1:37" s="282" customFormat="1" ht="13.05" customHeight="1" x14ac:dyDescent="0.25">
      <c r="A17" s="283">
        <v>6</v>
      </c>
      <c r="B17" s="409" t="str">
        <f>IF($E17="","",VLOOKUP($E17,'[13]1MD ELO'!$A$7:$O$22,14))</f>
        <v/>
      </c>
      <c r="C17" s="410" t="str">
        <f>IF($E17="","",VLOOKUP($E17,'[13]1MD ELO'!$A$7:$O$22,15))</f>
        <v/>
      </c>
      <c r="D17" s="410" t="str">
        <f>IF($E17="","",VLOOKUP($E17,'[13]1MD ELO'!$A$7:$O$22,5))</f>
        <v/>
      </c>
      <c r="E17" s="411"/>
      <c r="F17" s="426" t="str">
        <f>UPPER(IF($E17="","",VLOOKUP($E17,'[13]1MD ELO'!$A$7:$O$22,2)))</f>
        <v/>
      </c>
      <c r="G17" s="426" t="str">
        <f>IF($E17="","",VLOOKUP($E17,'[13]1MD ELO'!$A$7:$O$22,3))</f>
        <v/>
      </c>
      <c r="H17" s="426"/>
      <c r="I17" s="426" t="str">
        <f>IF($E17="","",VLOOKUP($E17,'[13]1MD ELO'!$A$7:$O$22,4))</f>
        <v/>
      </c>
      <c r="J17" s="427"/>
      <c r="K17" s="416"/>
      <c r="L17" s="428"/>
      <c r="M17" s="416"/>
      <c r="N17" s="436"/>
      <c r="O17" s="433"/>
      <c r="P17" s="436"/>
      <c r="Q17" s="278"/>
      <c r="R17" s="279"/>
      <c r="S17" s="280"/>
      <c r="Y17" s="236"/>
      <c r="Z17" s="236"/>
      <c r="AA17" s="398" t="s">
        <v>82</v>
      </c>
      <c r="AB17" s="399">
        <v>120</v>
      </c>
      <c r="AC17" s="399">
        <v>90</v>
      </c>
      <c r="AD17" s="399">
        <v>60</v>
      </c>
      <c r="AE17" s="399">
        <v>40</v>
      </c>
      <c r="AF17" s="399">
        <v>25</v>
      </c>
      <c r="AG17" s="399">
        <v>15</v>
      </c>
      <c r="AH17" s="399">
        <v>8</v>
      </c>
      <c r="AI17" s="303"/>
      <c r="AJ17" s="303"/>
      <c r="AK17" s="303"/>
    </row>
    <row r="18" spans="1:37" s="282" customFormat="1" ht="13.05" customHeight="1" x14ac:dyDescent="0.25">
      <c r="A18" s="283"/>
      <c r="B18" s="418"/>
      <c r="C18" s="419"/>
      <c r="D18" s="419"/>
      <c r="E18" s="429"/>
      <c r="F18" s="421"/>
      <c r="G18" s="421"/>
      <c r="H18" s="422"/>
      <c r="I18" s="416"/>
      <c r="J18" s="430"/>
      <c r="K18" s="431" t="s">
        <v>0</v>
      </c>
      <c r="L18" s="299"/>
      <c r="M18" s="424" t="str">
        <f>UPPER(IF(OR(L18="a",L18="as"),K16,IF(OR(L18="b",L18="bs"),K20,)))</f>
        <v/>
      </c>
      <c r="N18" s="443"/>
      <c r="O18" s="433"/>
      <c r="P18" s="436"/>
      <c r="Q18" s="278"/>
      <c r="R18" s="279"/>
      <c r="S18" s="280"/>
      <c r="Y18" s="236"/>
      <c r="Z18" s="236"/>
      <c r="AA18" s="398" t="s">
        <v>83</v>
      </c>
      <c r="AB18" s="399">
        <v>90</v>
      </c>
      <c r="AC18" s="399">
        <v>60</v>
      </c>
      <c r="AD18" s="399">
        <v>40</v>
      </c>
      <c r="AE18" s="399">
        <v>25</v>
      </c>
      <c r="AF18" s="399">
        <v>15</v>
      </c>
      <c r="AG18" s="399">
        <v>8</v>
      </c>
      <c r="AH18" s="399">
        <v>4</v>
      </c>
      <c r="AI18" s="303"/>
      <c r="AJ18" s="303"/>
      <c r="AK18" s="303"/>
    </row>
    <row r="19" spans="1:37" s="282" customFormat="1" ht="13.05" customHeight="1" x14ac:dyDescent="0.25">
      <c r="A19" s="283">
        <v>7</v>
      </c>
      <c r="B19" s="409" t="str">
        <f>IF($E19="","",VLOOKUP($E19,'[13]1MD ELO'!$A$7:$O$22,14))</f>
        <v/>
      </c>
      <c r="C19" s="410" t="str">
        <f>IF($E19="","",VLOOKUP($E19,'[13]1MD ELO'!$A$7:$O$22,15))</f>
        <v/>
      </c>
      <c r="D19" s="410" t="str">
        <f>IF($E19="","",VLOOKUP($E19,'[13]1MD ELO'!$A$7:$O$22,5))</f>
        <v/>
      </c>
      <c r="E19" s="411"/>
      <c r="F19" s="426" t="str">
        <f>UPPER(IF($E19="","",VLOOKUP($E19,'[13]1MD ELO'!$A$7:$O$22,2)))</f>
        <v/>
      </c>
      <c r="G19" s="426" t="str">
        <f>IF($E19="","",VLOOKUP($E19,'[13]1MD ELO'!$A$7:$O$22,3))</f>
        <v/>
      </c>
      <c r="H19" s="426"/>
      <c r="I19" s="426" t="str">
        <f>IF($E19="","",VLOOKUP($E19,'[13]1MD ELO'!$A$7:$O$22,4))</f>
        <v/>
      </c>
      <c r="J19" s="415"/>
      <c r="K19" s="416"/>
      <c r="L19" s="435"/>
      <c r="M19" s="416"/>
      <c r="N19" s="433"/>
      <c r="O19" s="433"/>
      <c r="P19" s="436"/>
      <c r="Q19" s="278"/>
      <c r="R19" s="279"/>
      <c r="S19" s="280"/>
      <c r="Y19" s="236"/>
      <c r="Z19" s="236"/>
      <c r="AA19" s="398" t="s">
        <v>84</v>
      </c>
      <c r="AB19" s="399">
        <v>60</v>
      </c>
      <c r="AC19" s="399">
        <v>40</v>
      </c>
      <c r="AD19" s="399">
        <v>25</v>
      </c>
      <c r="AE19" s="399">
        <v>15</v>
      </c>
      <c r="AF19" s="399">
        <v>8</v>
      </c>
      <c r="AG19" s="399">
        <v>4</v>
      </c>
      <c r="AH19" s="399">
        <v>2</v>
      </c>
      <c r="AI19" s="303"/>
      <c r="AJ19" s="303"/>
      <c r="AK19" s="303"/>
    </row>
    <row r="20" spans="1:37" s="282" customFormat="1" ht="13.05" customHeight="1" x14ac:dyDescent="0.25">
      <c r="A20" s="283"/>
      <c r="B20" s="418"/>
      <c r="C20" s="419"/>
      <c r="D20" s="419"/>
      <c r="E20" s="420"/>
      <c r="F20" s="421"/>
      <c r="G20" s="421"/>
      <c r="H20" s="422"/>
      <c r="I20" s="423" t="s">
        <v>0</v>
      </c>
      <c r="J20" s="290"/>
      <c r="K20" s="424" t="str">
        <f>UPPER(IF(OR(J20="a",J20="as"),F19,IF(OR(J20="b",J20="bs"),F21,)))</f>
        <v/>
      </c>
      <c r="L20" s="438"/>
      <c r="M20" s="416"/>
      <c r="N20" s="433"/>
      <c r="O20" s="433"/>
      <c r="P20" s="436"/>
      <c r="Q20" s="278"/>
      <c r="R20" s="279"/>
      <c r="S20" s="280"/>
      <c r="Y20" s="236"/>
      <c r="Z20" s="236"/>
      <c r="AA20" s="398" t="s">
        <v>85</v>
      </c>
      <c r="AB20" s="399">
        <v>40</v>
      </c>
      <c r="AC20" s="399">
        <v>25</v>
      </c>
      <c r="AD20" s="399">
        <v>15</v>
      </c>
      <c r="AE20" s="399">
        <v>8</v>
      </c>
      <c r="AF20" s="399">
        <v>4</v>
      </c>
      <c r="AG20" s="399">
        <v>2</v>
      </c>
      <c r="AH20" s="399">
        <v>1</v>
      </c>
      <c r="AI20" s="303"/>
      <c r="AJ20" s="303"/>
      <c r="AK20" s="303"/>
    </row>
    <row r="21" spans="1:37" s="282" customFormat="1" ht="13.05" customHeight="1" x14ac:dyDescent="0.25">
      <c r="A21" s="283">
        <v>8</v>
      </c>
      <c r="B21" s="409" t="str">
        <f>IF($E21="","",VLOOKUP($E21,'[13]1MD ELO'!$A$7:$O$22,14))</f>
        <v/>
      </c>
      <c r="C21" s="410" t="str">
        <f>IF($E21="","",VLOOKUP($E21,'[13]1MD ELO'!$A$7:$O$22,15))</f>
        <v/>
      </c>
      <c r="D21" s="410" t="str">
        <f>IF($E21="","",VLOOKUP($E21,'[13]1MD ELO'!$A$7:$O$22,5))</f>
        <v/>
      </c>
      <c r="E21" s="411"/>
      <c r="F21" s="426" t="str">
        <f>UPPER(IF($E21="","",VLOOKUP($E21,'[13]1MD ELO'!$A$7:$O$22,2)))</f>
        <v/>
      </c>
      <c r="G21" s="426" t="str">
        <f>IF($E21="","",VLOOKUP($E21,'[13]1MD ELO'!$A$7:$O$22,3))</f>
        <v/>
      </c>
      <c r="H21" s="426"/>
      <c r="I21" s="426" t="str">
        <f>IF($E21="","",VLOOKUP($E21,'[13]1MD ELO'!$A$7:$O$22,4))</f>
        <v/>
      </c>
      <c r="J21" s="439"/>
      <c r="K21" s="416"/>
      <c r="L21" s="416"/>
      <c r="M21" s="416"/>
      <c r="N21" s="433"/>
      <c r="O21" s="433"/>
      <c r="P21" s="436"/>
      <c r="Q21" s="278"/>
      <c r="R21" s="279"/>
      <c r="S21" s="280"/>
      <c r="Y21" s="236"/>
      <c r="Z21" s="236"/>
      <c r="AA21" s="398" t="s">
        <v>86</v>
      </c>
      <c r="AB21" s="399">
        <v>25</v>
      </c>
      <c r="AC21" s="399">
        <v>15</v>
      </c>
      <c r="AD21" s="399">
        <v>10</v>
      </c>
      <c r="AE21" s="399">
        <v>6</v>
      </c>
      <c r="AF21" s="399">
        <v>3</v>
      </c>
      <c r="AG21" s="399">
        <v>1</v>
      </c>
      <c r="AH21" s="399">
        <v>0</v>
      </c>
      <c r="AI21" s="303"/>
      <c r="AJ21" s="303"/>
      <c r="AK21" s="303"/>
    </row>
    <row r="22" spans="1:37" s="282" customFormat="1" ht="13.05" customHeight="1" x14ac:dyDescent="0.25">
      <c r="A22" s="283"/>
      <c r="B22" s="418"/>
      <c r="C22" s="419"/>
      <c r="D22" s="419"/>
      <c r="E22" s="420"/>
      <c r="F22" s="440"/>
      <c r="G22" s="440"/>
      <c r="H22" s="447"/>
      <c r="I22" s="440"/>
      <c r="J22" s="430"/>
      <c r="K22" s="416"/>
      <c r="L22" s="416"/>
      <c r="M22" s="416"/>
      <c r="N22" s="433"/>
      <c r="O22" s="431" t="s">
        <v>0</v>
      </c>
      <c r="P22" s="299"/>
      <c r="Q22" s="424" t="s">
        <v>262</v>
      </c>
      <c r="R22" s="432"/>
      <c r="S22" s="280"/>
      <c r="Y22" s="236"/>
      <c r="Z22" s="236"/>
      <c r="AA22" s="398" t="s">
        <v>87</v>
      </c>
      <c r="AB22" s="399">
        <v>15</v>
      </c>
      <c r="AC22" s="399">
        <v>10</v>
      </c>
      <c r="AD22" s="399">
        <v>6</v>
      </c>
      <c r="AE22" s="399">
        <v>3</v>
      </c>
      <c r="AF22" s="399">
        <v>1</v>
      </c>
      <c r="AG22" s="399">
        <v>0</v>
      </c>
      <c r="AH22" s="399">
        <v>0</v>
      </c>
      <c r="AI22" s="303"/>
      <c r="AJ22" s="303"/>
      <c r="AK22" s="303"/>
    </row>
    <row r="23" spans="1:37" s="282" customFormat="1" ht="13.05" customHeight="1" x14ac:dyDescent="0.25">
      <c r="A23" s="283">
        <v>9</v>
      </c>
      <c r="B23" s="409" t="str">
        <f>IF($E23="","",VLOOKUP($E23,'[13]1MD ELO'!$A$7:$O$22,14))</f>
        <v/>
      </c>
      <c r="C23" s="410" t="str">
        <f>IF($E23="","",VLOOKUP($E23,'[13]1MD ELO'!$A$7:$O$22,15))</f>
        <v/>
      </c>
      <c r="D23" s="410" t="str">
        <f>IF($E23="","",VLOOKUP($E23,'[13]1MD ELO'!$A$7:$O$22,5))</f>
        <v/>
      </c>
      <c r="E23" s="411"/>
      <c r="F23" s="426" t="str">
        <f>UPPER(IF($E23="","",VLOOKUP($E23,'[13]1MD ELO'!$A$7:$O$22,2)))</f>
        <v/>
      </c>
      <c r="G23" s="426" t="str">
        <f>IF($E23="","",VLOOKUP($E23,'[13]1MD ELO'!$A$7:$O$22,3))</f>
        <v/>
      </c>
      <c r="H23" s="426"/>
      <c r="I23" s="426" t="str">
        <f>IF($E23="","",VLOOKUP($E23,'[13]1MD ELO'!$A$7:$O$22,4))</f>
        <v/>
      </c>
      <c r="J23" s="415"/>
      <c r="K23" s="416"/>
      <c r="L23" s="416"/>
      <c r="M23" s="416"/>
      <c r="N23" s="433"/>
      <c r="O23" s="416"/>
      <c r="P23" s="436"/>
      <c r="Q23" s="303" t="s">
        <v>162</v>
      </c>
      <c r="R23" s="433"/>
      <c r="S23" s="280"/>
      <c r="Y23" s="236"/>
      <c r="Z23" s="236"/>
      <c r="AA23" s="398" t="s">
        <v>88</v>
      </c>
      <c r="AB23" s="399">
        <v>10</v>
      </c>
      <c r="AC23" s="399">
        <v>6</v>
      </c>
      <c r="AD23" s="399">
        <v>3</v>
      </c>
      <c r="AE23" s="399">
        <v>1</v>
      </c>
      <c r="AF23" s="399">
        <v>0</v>
      </c>
      <c r="AG23" s="399">
        <v>0</v>
      </c>
      <c r="AH23" s="399">
        <v>0</v>
      </c>
      <c r="AI23" s="303"/>
      <c r="AJ23" s="303"/>
      <c r="AK23" s="303"/>
    </row>
    <row r="24" spans="1:37" s="282" customFormat="1" ht="13.05" customHeight="1" x14ac:dyDescent="0.25">
      <c r="A24" s="283"/>
      <c r="B24" s="418"/>
      <c r="C24" s="419"/>
      <c r="D24" s="419"/>
      <c r="E24" s="420"/>
      <c r="F24" s="421"/>
      <c r="G24" s="421"/>
      <c r="H24" s="422"/>
      <c r="I24" s="423" t="s">
        <v>0</v>
      </c>
      <c r="J24" s="290"/>
      <c r="K24" s="424" t="str">
        <f>UPPER(IF(OR(J24="a",J24="as"),F23,IF(OR(J24="b",J24="bs"),F25,)))</f>
        <v/>
      </c>
      <c r="L24" s="424"/>
      <c r="M24" s="416"/>
      <c r="N24" s="433"/>
      <c r="O24" s="433"/>
      <c r="P24" s="436"/>
      <c r="Q24" s="278"/>
      <c r="R24" s="279"/>
      <c r="S24" s="280"/>
      <c r="Y24" s="236"/>
      <c r="Z24" s="236"/>
      <c r="AA24" s="398" t="s">
        <v>89</v>
      </c>
      <c r="AB24" s="399">
        <v>6</v>
      </c>
      <c r="AC24" s="399">
        <v>3</v>
      </c>
      <c r="AD24" s="399">
        <v>1</v>
      </c>
      <c r="AE24" s="399">
        <v>0</v>
      </c>
      <c r="AF24" s="399">
        <v>0</v>
      </c>
      <c r="AG24" s="399">
        <v>0</v>
      </c>
      <c r="AH24" s="399">
        <v>0</v>
      </c>
      <c r="AI24" s="303"/>
      <c r="AJ24" s="303"/>
      <c r="AK24" s="303"/>
    </row>
    <row r="25" spans="1:37" s="282" customFormat="1" ht="13.05" customHeight="1" x14ac:dyDescent="0.25">
      <c r="A25" s="283">
        <v>10</v>
      </c>
      <c r="B25" s="409" t="str">
        <f>IF($E25="","",VLOOKUP($E25,'[13]1MD ELO'!$A$7:$O$22,14))</f>
        <v/>
      </c>
      <c r="C25" s="410" t="str">
        <f>IF($E25="","",VLOOKUP($E25,'[13]1MD ELO'!$A$7:$O$22,15))</f>
        <v/>
      </c>
      <c r="D25" s="410" t="str">
        <f>IF($E25="","",VLOOKUP($E25,'[13]1MD ELO'!$A$7:$O$22,5))</f>
        <v/>
      </c>
      <c r="E25" s="411"/>
      <c r="F25" s="426" t="str">
        <f>UPPER(IF($E25="","",VLOOKUP($E25,'[13]1MD ELO'!$A$7:$O$22,2)))</f>
        <v/>
      </c>
      <c r="G25" s="426" t="str">
        <f>IF($E25="","",VLOOKUP($E25,'[13]1MD ELO'!$A$7:$O$22,3))</f>
        <v/>
      </c>
      <c r="H25" s="426"/>
      <c r="I25" s="426" t="str">
        <f>IF($E25="","",VLOOKUP($E25,'[13]1MD ELO'!$A$7:$O$22,4))</f>
        <v/>
      </c>
      <c r="J25" s="427"/>
      <c r="K25" s="416"/>
      <c r="L25" s="428"/>
      <c r="M25" s="416"/>
      <c r="N25" s="433"/>
      <c r="O25" s="433"/>
      <c r="P25" s="436"/>
      <c r="Q25" s="278"/>
      <c r="R25" s="279"/>
      <c r="S25" s="280"/>
      <c r="Y25" s="236"/>
      <c r="Z25" s="236"/>
      <c r="AA25" s="398" t="s">
        <v>94</v>
      </c>
      <c r="AB25" s="399">
        <v>3</v>
      </c>
      <c r="AC25" s="399">
        <v>2</v>
      </c>
      <c r="AD25" s="399">
        <v>1</v>
      </c>
      <c r="AE25" s="399">
        <v>0</v>
      </c>
      <c r="AF25" s="399">
        <v>0</v>
      </c>
      <c r="AG25" s="399">
        <v>0</v>
      </c>
      <c r="AH25" s="399">
        <v>0</v>
      </c>
      <c r="AI25" s="303"/>
      <c r="AJ25" s="303"/>
      <c r="AK25" s="303"/>
    </row>
    <row r="26" spans="1:37" s="282" customFormat="1" ht="13.05" customHeight="1" x14ac:dyDescent="0.25">
      <c r="A26" s="283"/>
      <c r="B26" s="418"/>
      <c r="C26" s="419"/>
      <c r="D26" s="419"/>
      <c r="E26" s="429"/>
      <c r="F26" s="421"/>
      <c r="G26" s="421"/>
      <c r="H26" s="422"/>
      <c r="I26" s="416"/>
      <c r="J26" s="430"/>
      <c r="K26" s="431" t="s">
        <v>0</v>
      </c>
      <c r="L26" s="299"/>
      <c r="M26" s="424" t="str">
        <f>UPPER(IF(OR(L26="a",L26="as"),K24,IF(OR(L26="b",L26="bs"),K28,)))</f>
        <v/>
      </c>
      <c r="N26" s="432"/>
      <c r="O26" s="433"/>
      <c r="P26" s="436"/>
      <c r="Q26" s="278"/>
      <c r="R26" s="279"/>
      <c r="S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</row>
    <row r="27" spans="1:37" s="282" customFormat="1" ht="13.05" customHeight="1" x14ac:dyDescent="0.25">
      <c r="A27" s="283">
        <v>11</v>
      </c>
      <c r="B27" s="409" t="str">
        <f>IF($E27="","",VLOOKUP($E27,'[13]1MD ELO'!$A$7:$O$22,14))</f>
        <v/>
      </c>
      <c r="C27" s="410" t="str">
        <f>IF($E27="","",VLOOKUP($E27,'[13]1MD ELO'!$A$7:$O$22,15))</f>
        <v/>
      </c>
      <c r="D27" s="410" t="str">
        <f>IF($E27="","",VLOOKUP($E27,'[13]1MD ELO'!$A$7:$O$22,5))</f>
        <v/>
      </c>
      <c r="E27" s="411"/>
      <c r="F27" s="426" t="str">
        <f>UPPER(IF($E27="","",VLOOKUP($E27,'[13]1MD ELO'!$A$7:$O$22,2)))</f>
        <v/>
      </c>
      <c r="G27" s="426" t="str">
        <f>IF($E27="","",VLOOKUP($E27,'[13]1MD ELO'!$A$7:$O$22,3))</f>
        <v/>
      </c>
      <c r="H27" s="426"/>
      <c r="I27" s="426" t="str">
        <f>IF($E27="","",VLOOKUP($E27,'[13]1MD ELO'!$A$7:$O$22,4))</f>
        <v/>
      </c>
      <c r="J27" s="415"/>
      <c r="K27" s="416"/>
      <c r="L27" s="435"/>
      <c r="M27" s="416"/>
      <c r="N27" s="436"/>
      <c r="O27" s="433"/>
      <c r="P27" s="436"/>
      <c r="Q27" s="278"/>
      <c r="R27" s="279"/>
      <c r="S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</row>
    <row r="28" spans="1:37" s="282" customFormat="1" ht="13.05" customHeight="1" x14ac:dyDescent="0.25">
      <c r="A28" s="311"/>
      <c r="B28" s="418"/>
      <c r="C28" s="419"/>
      <c r="D28" s="419"/>
      <c r="E28" s="429"/>
      <c r="F28" s="421"/>
      <c r="G28" s="421"/>
      <c r="H28" s="422"/>
      <c r="I28" s="423" t="s">
        <v>0</v>
      </c>
      <c r="J28" s="290"/>
      <c r="K28" s="424" t="str">
        <f>UPPER(IF(OR(J28="a",J28="as"),F27,IF(OR(J28="b",J28="bs"),F29,)))</f>
        <v/>
      </c>
      <c r="L28" s="438"/>
      <c r="M28" s="416"/>
      <c r="N28" s="436"/>
      <c r="O28" s="433"/>
      <c r="P28" s="436"/>
      <c r="Q28" s="278"/>
      <c r="R28" s="279"/>
      <c r="S28" s="280"/>
    </row>
    <row r="29" spans="1:37" s="282" customFormat="1" ht="13.05" customHeight="1" x14ac:dyDescent="0.25">
      <c r="A29" s="269">
        <v>12</v>
      </c>
      <c r="B29" s="409" t="str">
        <f>IF($E29="","",VLOOKUP($E29,'[13]1MD ELO'!$A$7:$O$22,14))</f>
        <v/>
      </c>
      <c r="C29" s="410" t="str">
        <f>IF($E29="","",VLOOKUP($E29,'[13]1MD ELO'!$A$7:$O$22,15))</f>
        <v/>
      </c>
      <c r="D29" s="410" t="str">
        <f>IF($E29="","",VLOOKUP($E29,'[13]1MD ELO'!$A$7:$O$22,5))</f>
        <v/>
      </c>
      <c r="E29" s="411"/>
      <c r="F29" s="413" t="str">
        <f>UPPER(IF($E29="","",VLOOKUP($E29,'[13]1MD ELO'!$A$7:$O$22,2)))</f>
        <v/>
      </c>
      <c r="G29" s="413" t="str">
        <f>IF($E29="","",VLOOKUP($E29,'[13]1MD ELO'!$A$7:$O$22,3))</f>
        <v/>
      </c>
      <c r="H29" s="413"/>
      <c r="I29" s="413" t="str">
        <f>IF($E29="","",VLOOKUP($E29,'[13]1MD ELO'!$A$7:$O$22,4))</f>
        <v/>
      </c>
      <c r="J29" s="439"/>
      <c r="K29" s="416"/>
      <c r="L29" s="416"/>
      <c r="M29" s="416"/>
      <c r="N29" s="436"/>
      <c r="O29" s="433"/>
      <c r="P29" s="436"/>
      <c r="Q29" s="278"/>
      <c r="R29" s="279"/>
      <c r="S29" s="280"/>
    </row>
    <row r="30" spans="1:37" s="282" customFormat="1" ht="13.05" customHeight="1" x14ac:dyDescent="0.25">
      <c r="A30" s="283"/>
      <c r="B30" s="418"/>
      <c r="C30" s="419"/>
      <c r="D30" s="419"/>
      <c r="E30" s="429"/>
      <c r="F30" s="416"/>
      <c r="G30" s="416"/>
      <c r="H30" s="549"/>
      <c r="I30" s="440"/>
      <c r="J30" s="430"/>
      <c r="K30" s="416"/>
      <c r="L30" s="416"/>
      <c r="M30" s="431" t="s">
        <v>0</v>
      </c>
      <c r="N30" s="299"/>
      <c r="O30" s="424" t="str">
        <f>UPPER(IF(OR(N30="a",N30="as"),M26,IF(OR(N30="b",N30="bs"),M34,)))</f>
        <v/>
      </c>
      <c r="P30" s="443"/>
      <c r="Q30" s="278"/>
      <c r="R30" s="279"/>
      <c r="S30" s="280"/>
    </row>
    <row r="31" spans="1:37" s="282" customFormat="1" ht="13.05" customHeight="1" x14ac:dyDescent="0.25">
      <c r="A31" s="283">
        <v>13</v>
      </c>
      <c r="B31" s="409" t="str">
        <f>IF($E31="","",VLOOKUP($E31,'[13]1MD ELO'!$A$7:$O$22,14))</f>
        <v/>
      </c>
      <c r="C31" s="410" t="str">
        <f>IF($E31="","",VLOOKUP($E31,'[13]1MD ELO'!$A$7:$O$22,15))</f>
        <v/>
      </c>
      <c r="D31" s="410" t="str">
        <f>IF($E31="","",VLOOKUP($E31,'[13]1MD ELO'!$A$7:$O$22,5))</f>
        <v/>
      </c>
      <c r="E31" s="411"/>
      <c r="F31" s="426" t="str">
        <f>UPPER(IF($E31="","",VLOOKUP($E31,'[13]1MD ELO'!$A$7:$O$22,2)))</f>
        <v/>
      </c>
      <c r="G31" s="426" t="str">
        <f>IF($E31="","",VLOOKUP($E31,'[13]1MD ELO'!$A$7:$O$22,3))</f>
        <v/>
      </c>
      <c r="H31" s="426"/>
      <c r="I31" s="426" t="str">
        <f>IF($E31="","",VLOOKUP($E31,'[13]1MD ELO'!$A$7:$O$22,4))</f>
        <v/>
      </c>
      <c r="J31" s="441"/>
      <c r="K31" s="416"/>
      <c r="L31" s="416"/>
      <c r="M31" s="416"/>
      <c r="N31" s="436"/>
      <c r="O31" s="416"/>
      <c r="P31" s="433"/>
      <c r="Q31" s="278"/>
      <c r="R31" s="279"/>
      <c r="S31" s="280"/>
    </row>
    <row r="32" spans="1:37" s="282" customFormat="1" ht="13.05" customHeight="1" x14ac:dyDescent="0.25">
      <c r="A32" s="283"/>
      <c r="B32" s="418"/>
      <c r="C32" s="419"/>
      <c r="D32" s="419"/>
      <c r="E32" s="429"/>
      <c r="F32" s="421"/>
      <c r="G32" s="421"/>
      <c r="H32" s="422"/>
      <c r="I32" s="431" t="s">
        <v>0</v>
      </c>
      <c r="J32" s="290"/>
      <c r="K32" s="424" t="str">
        <f>UPPER(IF(OR(J32="a",J32="as"),F31,IF(OR(J32="b",J32="bs"),F33,)))</f>
        <v/>
      </c>
      <c r="L32" s="424"/>
      <c r="M32" s="416"/>
      <c r="N32" s="436"/>
      <c r="O32" s="433"/>
      <c r="P32" s="433"/>
      <c r="Q32" s="278"/>
      <c r="R32" s="279"/>
      <c r="S32" s="280"/>
    </row>
    <row r="33" spans="1:19" s="282" customFormat="1" ht="13.05" customHeight="1" x14ac:dyDescent="0.25">
      <c r="A33" s="283">
        <v>14</v>
      </c>
      <c r="B33" s="409" t="str">
        <f>IF($E33="","",VLOOKUP($E33,'[13]1MD ELO'!$A$7:$O$22,14))</f>
        <v/>
      </c>
      <c r="C33" s="410" t="str">
        <f>IF($E33="","",VLOOKUP($E33,'[13]1MD ELO'!$A$7:$O$22,15))</f>
        <v/>
      </c>
      <c r="D33" s="410" t="str">
        <f>IF($E33="","",VLOOKUP($E33,'[13]1MD ELO'!$A$7:$O$22,5))</f>
        <v/>
      </c>
      <c r="E33" s="411"/>
      <c r="F33" s="426" t="str">
        <f>UPPER(IF($E33="","",VLOOKUP($E33,'[13]1MD ELO'!$A$7:$O$22,2)))</f>
        <v/>
      </c>
      <c r="G33" s="426" t="str">
        <f>IF($E33="","",VLOOKUP($E33,'[13]1MD ELO'!$A$7:$O$22,3))</f>
        <v/>
      </c>
      <c r="H33" s="426"/>
      <c r="I33" s="426" t="str">
        <f>IF($E33="","",VLOOKUP($E33,'[13]1MD ELO'!$A$7:$O$22,4))</f>
        <v/>
      </c>
      <c r="J33" s="427"/>
      <c r="K33" s="416"/>
      <c r="L33" s="428"/>
      <c r="M33" s="416"/>
      <c r="N33" s="436"/>
      <c r="O33" s="433"/>
      <c r="P33" s="433"/>
      <c r="Q33" s="278"/>
      <c r="R33" s="279"/>
      <c r="S33" s="280"/>
    </row>
    <row r="34" spans="1:19" s="282" customFormat="1" ht="13.05" customHeight="1" x14ac:dyDescent="0.25">
      <c r="A34" s="283"/>
      <c r="B34" s="418"/>
      <c r="C34" s="419"/>
      <c r="D34" s="419"/>
      <c r="E34" s="429"/>
      <c r="F34" s="421"/>
      <c r="G34" s="421"/>
      <c r="H34" s="422"/>
      <c r="I34" s="416"/>
      <c r="J34" s="430"/>
      <c r="K34" s="431" t="s">
        <v>0</v>
      </c>
      <c r="L34" s="299"/>
      <c r="M34" s="424" t="str">
        <f>UPPER(IF(OR(L34="a",L34="as"),K32,IF(OR(L34="b",L34="bs"),K36,)))</f>
        <v/>
      </c>
      <c r="N34" s="443"/>
      <c r="O34" s="433"/>
      <c r="P34" s="433"/>
      <c r="Q34" s="278"/>
      <c r="R34" s="279"/>
      <c r="S34" s="280"/>
    </row>
    <row r="35" spans="1:19" s="282" customFormat="1" ht="13.05" customHeight="1" x14ac:dyDescent="0.25">
      <c r="A35" s="283">
        <v>15</v>
      </c>
      <c r="B35" s="409" t="str">
        <f>IF($E35="","",VLOOKUP($E35,'[13]1MD ELO'!$A$7:$O$22,14))</f>
        <v/>
      </c>
      <c r="C35" s="410" t="str">
        <f>IF($E35="","",VLOOKUP($E35,'[13]1MD ELO'!$A$7:$O$22,15))</f>
        <v/>
      </c>
      <c r="D35" s="410" t="str">
        <f>IF($E35="","",VLOOKUP($E35,'[13]1MD ELO'!$A$7:$O$22,5))</f>
        <v/>
      </c>
      <c r="E35" s="411"/>
      <c r="F35" s="426" t="str">
        <f>UPPER(IF($E35="","",VLOOKUP($E35,'[13]1MD ELO'!$A$7:$O$22,2)))</f>
        <v/>
      </c>
      <c r="G35" s="426" t="str">
        <f>IF($E35="","",VLOOKUP($E35,'[13]1MD ELO'!$A$7:$O$22,3))</f>
        <v/>
      </c>
      <c r="H35" s="426"/>
      <c r="I35" s="426" t="str">
        <f>IF($E35="","",VLOOKUP($E35,'[13]1MD ELO'!$A$7:$O$22,4))</f>
        <v/>
      </c>
      <c r="J35" s="415"/>
      <c r="K35" s="416"/>
      <c r="L35" s="435"/>
      <c r="M35" s="416"/>
      <c r="N35" s="433"/>
      <c r="O35" s="433"/>
      <c r="P35" s="433"/>
      <c r="Q35" s="278"/>
      <c r="R35" s="279"/>
      <c r="S35" s="280"/>
    </row>
    <row r="36" spans="1:19" s="282" customFormat="1" ht="13.05" customHeight="1" x14ac:dyDescent="0.25">
      <c r="A36" s="283"/>
      <c r="B36" s="418"/>
      <c r="C36" s="419"/>
      <c r="D36" s="419"/>
      <c r="E36" s="420"/>
      <c r="F36" s="421"/>
      <c r="G36" s="421"/>
      <c r="H36" s="422"/>
      <c r="I36" s="431" t="s">
        <v>0</v>
      </c>
      <c r="J36" s="290"/>
      <c r="K36" s="424" t="str">
        <f>UPPER(IF(OR(J36="a",J36="as"),F35,IF(OR(J36="b",J36="bs"),F37,)))</f>
        <v/>
      </c>
      <c r="L36" s="438"/>
      <c r="M36" s="416"/>
      <c r="N36" s="433"/>
      <c r="O36" s="433"/>
      <c r="P36" s="433"/>
      <c r="Q36" s="278"/>
      <c r="R36" s="279"/>
      <c r="S36" s="280"/>
    </row>
    <row r="37" spans="1:19" s="282" customFormat="1" ht="13.05" customHeight="1" x14ac:dyDescent="0.25">
      <c r="A37" s="269">
        <v>16</v>
      </c>
      <c r="B37" s="409" t="str">
        <f>IF($E37="","",VLOOKUP($E37,'[13]1MD ELO'!$A$7:$O$22,14))</f>
        <v/>
      </c>
      <c r="C37" s="410" t="str">
        <f>IF($E37="","",VLOOKUP($E37,'[13]1MD ELO'!$A$7:$O$22,15))</f>
        <v/>
      </c>
      <c r="D37" s="410" t="str">
        <f>IF($E37="","",VLOOKUP($E37,'[13]1MD ELO'!$A$7:$O$22,5))</f>
        <v/>
      </c>
      <c r="E37" s="411"/>
      <c r="F37" s="413" t="str">
        <f>UPPER(IF($E37="","",VLOOKUP($E37,'[13]1MD ELO'!$A$7:$O$22,2)))</f>
        <v/>
      </c>
      <c r="G37" s="413" t="str">
        <f>IF($E37="","",VLOOKUP($E37,'[13]1MD ELO'!$A$7:$O$22,3))</f>
        <v/>
      </c>
      <c r="H37" s="426"/>
      <c r="I37" s="413" t="str">
        <f>IF($E37="","",VLOOKUP($E37,'[13]1MD ELO'!$A$7:$O$22,4))</f>
        <v/>
      </c>
      <c r="J37" s="439"/>
      <c r="K37" s="416"/>
      <c r="L37" s="416"/>
      <c r="M37" s="416"/>
      <c r="N37" s="433"/>
      <c r="O37" s="433"/>
      <c r="P37" s="433"/>
      <c r="Q37" s="278"/>
      <c r="R37" s="279"/>
      <c r="S37" s="280"/>
    </row>
    <row r="38" spans="1:19" s="282" customFormat="1" ht="9.4499999999999993" customHeight="1" x14ac:dyDescent="0.25">
      <c r="A38" s="446"/>
      <c r="B38" s="420"/>
      <c r="C38" s="420"/>
      <c r="D38" s="420"/>
      <c r="E38" s="420"/>
      <c r="F38" s="440"/>
      <c r="G38" s="440"/>
      <c r="H38" s="447"/>
      <c r="I38" s="416"/>
      <c r="J38" s="430"/>
      <c r="K38" s="416"/>
      <c r="L38" s="416"/>
      <c r="M38" s="416"/>
      <c r="N38" s="433"/>
      <c r="O38" s="433"/>
      <c r="P38" s="433"/>
      <c r="Q38" s="278"/>
      <c r="R38" s="279"/>
      <c r="S38" s="280"/>
    </row>
    <row r="39" spans="1:19" s="282" customFormat="1" ht="9.4499999999999993" customHeight="1" x14ac:dyDescent="0.25">
      <c r="A39" s="448"/>
      <c r="B39" s="449"/>
      <c r="C39" s="449"/>
      <c r="D39" s="449"/>
      <c r="E39" s="420"/>
      <c r="F39" s="449"/>
      <c r="G39" s="449"/>
      <c r="H39" s="449"/>
      <c r="I39" s="449"/>
      <c r="J39" s="420"/>
      <c r="K39" s="449"/>
      <c r="L39" s="449"/>
      <c r="M39" s="449"/>
      <c r="N39" s="450"/>
      <c r="O39" s="450"/>
      <c r="P39" s="450"/>
      <c r="Q39" s="278"/>
      <c r="R39" s="279"/>
      <c r="S39" s="280"/>
    </row>
    <row r="40" spans="1:19" s="282" customFormat="1" ht="9.4499999999999993" customHeight="1" x14ac:dyDescent="0.25">
      <c r="A40" s="446"/>
      <c r="B40" s="420"/>
      <c r="C40" s="420"/>
      <c r="D40" s="420"/>
      <c r="E40" s="420"/>
      <c r="F40" s="449"/>
      <c r="G40" s="449"/>
      <c r="I40" s="449"/>
      <c r="J40" s="420"/>
      <c r="K40" s="449"/>
      <c r="L40" s="449"/>
      <c r="M40" s="451"/>
      <c r="N40" s="420"/>
      <c r="O40" s="449"/>
      <c r="P40" s="450"/>
      <c r="Q40" s="278"/>
      <c r="R40" s="279"/>
      <c r="S40" s="280"/>
    </row>
    <row r="41" spans="1:19" s="282" customFormat="1" ht="9.4499999999999993" customHeight="1" x14ac:dyDescent="0.25">
      <c r="A41" s="446"/>
      <c r="B41" s="449"/>
      <c r="C41" s="449"/>
      <c r="D41" s="449"/>
      <c r="E41" s="420"/>
      <c r="F41" s="449"/>
      <c r="G41" s="449"/>
      <c r="H41" s="449"/>
      <c r="I41" s="449"/>
      <c r="J41" s="420"/>
      <c r="K41" s="449"/>
      <c r="L41" s="449"/>
      <c r="M41" s="449"/>
      <c r="N41" s="450"/>
      <c r="O41" s="449"/>
      <c r="P41" s="450"/>
      <c r="Q41" s="278"/>
      <c r="R41" s="279"/>
      <c r="S41" s="280"/>
    </row>
    <row r="42" spans="1:19" s="282" customFormat="1" ht="9.4499999999999993" customHeight="1" x14ac:dyDescent="0.25">
      <c r="A42" s="446"/>
      <c r="B42" s="420"/>
      <c r="C42" s="420"/>
      <c r="D42" s="420"/>
      <c r="E42" s="420"/>
      <c r="F42" s="449"/>
      <c r="G42" s="449"/>
      <c r="I42" s="451"/>
      <c r="J42" s="420"/>
      <c r="K42" s="449"/>
      <c r="L42" s="449"/>
      <c r="M42" s="449"/>
      <c r="N42" s="450"/>
      <c r="O42" s="450"/>
      <c r="P42" s="450"/>
      <c r="Q42" s="278"/>
      <c r="R42" s="279"/>
      <c r="S42" s="280"/>
    </row>
    <row r="43" spans="1:19" s="282" customFormat="1" ht="9.4499999999999993" customHeight="1" x14ac:dyDescent="0.25">
      <c r="A43" s="446"/>
      <c r="B43" s="449"/>
      <c r="C43" s="449"/>
      <c r="D43" s="449"/>
      <c r="E43" s="420"/>
      <c r="F43" s="449"/>
      <c r="G43" s="449"/>
      <c r="H43" s="449"/>
      <c r="I43" s="449"/>
      <c r="J43" s="420"/>
      <c r="K43" s="449"/>
      <c r="L43" s="452"/>
      <c r="M43" s="449"/>
      <c r="N43" s="450"/>
      <c r="O43" s="450"/>
      <c r="P43" s="450"/>
      <c r="Q43" s="278"/>
      <c r="R43" s="279"/>
      <c r="S43" s="280"/>
    </row>
    <row r="44" spans="1:19" s="282" customFormat="1" ht="9.4499999999999993" customHeight="1" x14ac:dyDescent="0.25">
      <c r="A44" s="446"/>
      <c r="B44" s="420"/>
      <c r="C44" s="420"/>
      <c r="D44" s="420"/>
      <c r="E44" s="420"/>
      <c r="F44" s="449"/>
      <c r="G44" s="449"/>
      <c r="I44" s="449"/>
      <c r="J44" s="420"/>
      <c r="K44" s="451"/>
      <c r="L44" s="420"/>
      <c r="M44" s="449"/>
      <c r="N44" s="450"/>
      <c r="O44" s="450"/>
      <c r="P44" s="450"/>
      <c r="Q44" s="278"/>
      <c r="R44" s="279"/>
      <c r="S44" s="280"/>
    </row>
    <row r="45" spans="1:19" s="282" customFormat="1" ht="9.4499999999999993" customHeight="1" x14ac:dyDescent="0.25">
      <c r="A45" s="446"/>
      <c r="B45" s="449"/>
      <c r="C45" s="449"/>
      <c r="D45" s="449"/>
      <c r="E45" s="420"/>
      <c r="F45" s="449"/>
      <c r="G45" s="449"/>
      <c r="H45" s="449"/>
      <c r="I45" s="449"/>
      <c r="J45" s="420"/>
      <c r="K45" s="449"/>
      <c r="L45" s="449"/>
      <c r="M45" s="449"/>
      <c r="N45" s="450"/>
      <c r="O45" s="450"/>
      <c r="P45" s="450"/>
      <c r="Q45" s="278"/>
      <c r="R45" s="279"/>
      <c r="S45" s="280"/>
    </row>
    <row r="46" spans="1:19" s="282" customFormat="1" ht="9.4499999999999993" customHeight="1" x14ac:dyDescent="0.25">
      <c r="A46" s="446"/>
      <c r="B46" s="420"/>
      <c r="C46" s="420"/>
      <c r="D46" s="420"/>
      <c r="E46" s="420"/>
      <c r="F46" s="449"/>
      <c r="G46" s="449"/>
      <c r="I46" s="451"/>
      <c r="J46" s="420"/>
      <c r="K46" s="449"/>
      <c r="L46" s="449"/>
      <c r="M46" s="449"/>
      <c r="N46" s="450"/>
      <c r="O46" s="450"/>
      <c r="P46" s="450"/>
      <c r="Q46" s="278"/>
      <c r="R46" s="279"/>
      <c r="S46" s="280"/>
    </row>
    <row r="47" spans="1:19" s="282" customFormat="1" ht="9.4499999999999993" customHeight="1" x14ac:dyDescent="0.25">
      <c r="A47" s="448"/>
      <c r="B47" s="449"/>
      <c r="C47" s="449"/>
      <c r="D47" s="449"/>
      <c r="E47" s="420"/>
      <c r="F47" s="449"/>
      <c r="G47" s="449"/>
      <c r="H47" s="449"/>
      <c r="I47" s="449"/>
      <c r="J47" s="420"/>
      <c r="K47" s="449"/>
      <c r="L47" s="449"/>
      <c r="M47" s="449"/>
      <c r="N47" s="449"/>
      <c r="O47" s="276"/>
      <c r="P47" s="276"/>
      <c r="Q47" s="278"/>
      <c r="R47" s="279"/>
      <c r="S47" s="280"/>
    </row>
    <row r="48" spans="1:19" s="327" customFormat="1" ht="6.75" customHeight="1" x14ac:dyDescent="0.25">
      <c r="A48" s="321"/>
      <c r="B48" s="321"/>
      <c r="C48" s="321"/>
      <c r="D48" s="321"/>
      <c r="E48" s="321"/>
      <c r="F48" s="453"/>
      <c r="G48" s="453"/>
      <c r="H48" s="453"/>
      <c r="I48" s="453"/>
      <c r="J48" s="323"/>
      <c r="K48" s="324"/>
      <c r="L48" s="325"/>
      <c r="M48" s="324"/>
      <c r="N48" s="325"/>
      <c r="O48" s="324"/>
      <c r="P48" s="325"/>
      <c r="Q48" s="324"/>
      <c r="R48" s="325"/>
      <c r="S48" s="326"/>
    </row>
    <row r="49" spans="1:18" s="340" customFormat="1" ht="10.5" customHeight="1" x14ac:dyDescent="0.25">
      <c r="A49" s="328" t="s">
        <v>32</v>
      </c>
      <c r="B49" s="329"/>
      <c r="C49" s="329"/>
      <c r="D49" s="330"/>
      <c r="E49" s="331" t="s">
        <v>3</v>
      </c>
      <c r="F49" s="332" t="s">
        <v>34</v>
      </c>
      <c r="G49" s="331"/>
      <c r="H49" s="333"/>
      <c r="I49" s="334"/>
      <c r="J49" s="331" t="s">
        <v>3</v>
      </c>
      <c r="K49" s="332" t="s">
        <v>41</v>
      </c>
      <c r="L49" s="335"/>
      <c r="M49" s="332" t="s">
        <v>42</v>
      </c>
      <c r="N49" s="336"/>
      <c r="O49" s="337" t="s">
        <v>43</v>
      </c>
      <c r="P49" s="337"/>
      <c r="Q49" s="338"/>
      <c r="R49" s="339"/>
    </row>
    <row r="50" spans="1:18" s="340" customFormat="1" ht="9" customHeight="1" x14ac:dyDescent="0.25">
      <c r="A50" s="454" t="s">
        <v>33</v>
      </c>
      <c r="B50" s="455"/>
      <c r="C50" s="456"/>
      <c r="D50" s="457"/>
      <c r="E50" s="458">
        <v>1</v>
      </c>
      <c r="F50" s="341" t="str">
        <f>IF(E50&gt;$R$57,,UPPER(VLOOKUP(E50,'[13]1MD ELO'!$A$7:$Q$134,2)))</f>
        <v/>
      </c>
      <c r="G50" s="347"/>
      <c r="H50" s="341"/>
      <c r="I50" s="348"/>
      <c r="J50" s="459" t="s">
        <v>4</v>
      </c>
      <c r="K50" s="460"/>
      <c r="L50" s="461"/>
      <c r="M50" s="460"/>
      <c r="N50" s="462"/>
      <c r="O50" s="463" t="s">
        <v>35</v>
      </c>
      <c r="P50" s="464"/>
      <c r="Q50" s="464"/>
      <c r="R50" s="465"/>
    </row>
    <row r="51" spans="1:18" s="340" customFormat="1" ht="9" customHeight="1" x14ac:dyDescent="0.25">
      <c r="A51" s="466" t="s">
        <v>40</v>
      </c>
      <c r="B51" s="467"/>
      <c r="C51" s="468"/>
      <c r="D51" s="469"/>
      <c r="E51" s="458">
        <v>2</v>
      </c>
      <c r="F51" s="341" t="str">
        <f>IF(E51&gt;$R$57,,UPPER(VLOOKUP(E51,'[13]1MD ELO'!$A$7:$Q$134,2)))</f>
        <v/>
      </c>
      <c r="G51" s="347"/>
      <c r="H51" s="341"/>
      <c r="I51" s="348"/>
      <c r="J51" s="459" t="s">
        <v>5</v>
      </c>
      <c r="K51" s="460"/>
      <c r="L51" s="461"/>
      <c r="M51" s="460"/>
      <c r="N51" s="462"/>
      <c r="O51" s="470"/>
      <c r="P51" s="471"/>
      <c r="Q51" s="467"/>
      <c r="R51" s="472"/>
    </row>
    <row r="52" spans="1:18" s="340" customFormat="1" ht="9" customHeight="1" x14ac:dyDescent="0.25">
      <c r="A52" s="362"/>
      <c r="B52" s="363"/>
      <c r="C52" s="364"/>
      <c r="D52" s="365"/>
      <c r="E52" s="458">
        <v>3</v>
      </c>
      <c r="F52" s="341" t="str">
        <f>IF(E52&gt;$R$57,,UPPER(VLOOKUP(E52,'[13]1MD ELO'!$A$7:$Q$134,2)))</f>
        <v/>
      </c>
      <c r="G52" s="347"/>
      <c r="H52" s="341"/>
      <c r="I52" s="348"/>
      <c r="J52" s="459" t="s">
        <v>6</v>
      </c>
      <c r="K52" s="460"/>
      <c r="L52" s="461"/>
      <c r="M52" s="460"/>
      <c r="N52" s="462"/>
      <c r="O52" s="463" t="s">
        <v>36</v>
      </c>
      <c r="P52" s="464"/>
      <c r="Q52" s="464"/>
      <c r="R52" s="465"/>
    </row>
    <row r="53" spans="1:18" s="340" customFormat="1" ht="9" customHeight="1" x14ac:dyDescent="0.25">
      <c r="A53" s="366"/>
      <c r="B53" s="252"/>
      <c r="C53" s="252"/>
      <c r="D53" s="367"/>
      <c r="E53" s="458">
        <v>4</v>
      </c>
      <c r="F53" s="341" t="str">
        <f>IF(E53&gt;$R$57,,UPPER(VLOOKUP(E53,'[13]1MD ELO'!$A$7:$Q$134,2)))</f>
        <v/>
      </c>
      <c r="G53" s="347"/>
      <c r="H53" s="341"/>
      <c r="I53" s="348"/>
      <c r="J53" s="459" t="s">
        <v>7</v>
      </c>
      <c r="K53" s="460"/>
      <c r="L53" s="461"/>
      <c r="M53" s="460"/>
      <c r="N53" s="462"/>
      <c r="O53" s="460"/>
      <c r="P53" s="461"/>
      <c r="Q53" s="460"/>
      <c r="R53" s="462"/>
    </row>
    <row r="54" spans="1:18" s="340" customFormat="1" ht="9" customHeight="1" x14ac:dyDescent="0.25">
      <c r="A54" s="368"/>
      <c r="B54" s="369"/>
      <c r="C54" s="369"/>
      <c r="D54" s="370"/>
      <c r="E54" s="458"/>
      <c r="F54" s="341"/>
      <c r="G54" s="347"/>
      <c r="H54" s="341"/>
      <c r="I54" s="348"/>
      <c r="J54" s="459" t="s">
        <v>8</v>
      </c>
      <c r="K54" s="460"/>
      <c r="L54" s="461"/>
      <c r="M54" s="460"/>
      <c r="N54" s="462"/>
      <c r="O54" s="467"/>
      <c r="P54" s="471"/>
      <c r="Q54" s="467"/>
      <c r="R54" s="472"/>
    </row>
    <row r="55" spans="1:18" s="340" customFormat="1" ht="9" customHeight="1" x14ac:dyDescent="0.25">
      <c r="A55" s="371"/>
      <c r="B55" s="372"/>
      <c r="C55" s="252"/>
      <c r="D55" s="367"/>
      <c r="E55" s="458"/>
      <c r="F55" s="341"/>
      <c r="G55" s="347"/>
      <c r="H55" s="341"/>
      <c r="I55" s="348"/>
      <c r="J55" s="459" t="s">
        <v>9</v>
      </c>
      <c r="K55" s="460"/>
      <c r="L55" s="461"/>
      <c r="M55" s="460"/>
      <c r="N55" s="462"/>
      <c r="O55" s="463" t="s">
        <v>28</v>
      </c>
      <c r="P55" s="464"/>
      <c r="Q55" s="464"/>
      <c r="R55" s="465"/>
    </row>
    <row r="56" spans="1:18" s="340" customFormat="1" ht="9" customHeight="1" x14ac:dyDescent="0.25">
      <c r="A56" s="371"/>
      <c r="B56" s="372"/>
      <c r="C56" s="373"/>
      <c r="D56" s="374"/>
      <c r="E56" s="458"/>
      <c r="F56" s="341"/>
      <c r="G56" s="347"/>
      <c r="H56" s="341"/>
      <c r="I56" s="348"/>
      <c r="J56" s="459" t="s">
        <v>10</v>
      </c>
      <c r="K56" s="460"/>
      <c r="L56" s="461"/>
      <c r="M56" s="460"/>
      <c r="N56" s="462"/>
      <c r="O56" s="460"/>
      <c r="P56" s="461"/>
      <c r="Q56" s="460"/>
      <c r="R56" s="462"/>
    </row>
    <row r="57" spans="1:18" s="340" customFormat="1" ht="9" customHeight="1" x14ac:dyDescent="0.25">
      <c r="A57" s="375"/>
      <c r="B57" s="376"/>
      <c r="C57" s="377"/>
      <c r="D57" s="378"/>
      <c r="E57" s="473"/>
      <c r="F57" s="359"/>
      <c r="G57" s="379"/>
      <c r="H57" s="359"/>
      <c r="I57" s="380"/>
      <c r="J57" s="474" t="s">
        <v>11</v>
      </c>
      <c r="K57" s="467"/>
      <c r="L57" s="471"/>
      <c r="M57" s="467"/>
      <c r="N57" s="472"/>
      <c r="O57" s="467">
        <f>R4</f>
        <v>0</v>
      </c>
      <c r="P57" s="471"/>
      <c r="Q57" s="467"/>
      <c r="R57" s="382">
        <f>MIN(4,'[13]1MD ELO'!Q5)</f>
        <v>4</v>
      </c>
    </row>
  </sheetData>
  <mergeCells count="1">
    <mergeCell ref="A4:C4"/>
  </mergeCells>
  <conditionalFormatting sqref="B39 B41 B43 B45 B47">
    <cfRule type="cellIs" dxfId="30" priority="10" stopIfTrue="1" operator="equal">
      <formula>"QA"</formula>
    </cfRule>
    <cfRule type="cellIs" dxfId="29" priority="11" stopIfTrue="1" operator="equal">
      <formula>"DA"</formula>
    </cfRule>
  </conditionalFormatting>
  <conditionalFormatting sqref="E7 E9 E11 E13 E15 E17 E19 E21 E23 E25 E27 E29 E31 E33 E35 E37">
    <cfRule type="expression" dxfId="28" priority="13" stopIfTrue="1">
      <formula>$E7&lt;5</formula>
    </cfRule>
  </conditionalFormatting>
  <conditionalFormatting sqref="E39 E41 E43 E45 E47">
    <cfRule type="expression" dxfId="27" priority="5" stopIfTrue="1">
      <formula>AND($E39&lt;9,$C39&gt;0)</formula>
    </cfRule>
  </conditionalFormatting>
  <conditionalFormatting sqref="F7 F9 F11 F13 F15 F17 F19 F21 F23 F25 F27 F29 F31 F33 F35 F37">
    <cfRule type="cellIs" dxfId="26" priority="14" stopIfTrue="1" operator="equal">
      <formula>"Bye"</formula>
    </cfRule>
  </conditionalFormatting>
  <conditionalFormatting sqref="F39 F41 F43 F45 F47">
    <cfRule type="cellIs" dxfId="25" priority="6" stopIfTrue="1" operator="equal">
      <formula>"Bye"</formula>
    </cfRule>
    <cfRule type="expression" dxfId="24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23" priority="1" stopIfTrue="1">
      <formula>AND($E7&lt;9,$C7&gt;0)</formula>
    </cfRule>
  </conditionalFormatting>
  <conditionalFormatting sqref="I8 K10 I12 M14 I16 K18 I20 O22 I24 K26 I28 M30 I32 K34 I36 M40 I42 K44 I46">
    <cfRule type="expression" dxfId="22" priority="2" stopIfTrue="1">
      <formula>AND($O$1="CU",I8="Umpire")</formula>
    </cfRule>
    <cfRule type="expression" dxfId="21" priority="3" stopIfTrue="1">
      <formula>AND($O$1="CU",I8&lt;&gt;"Umpire",J8&lt;&gt;"")</formula>
    </cfRule>
    <cfRule type="expression" dxfId="20" priority="4" stopIfTrue="1">
      <formula>AND($O$1="CU",I8&lt;&gt;"Umpire")</formula>
    </cfRule>
  </conditionalFormatting>
  <conditionalFormatting sqref="J8 L10 J12 N14 J16 L18 J20 P22 J24 L26 J28 N30 J32 L34 J36 R57">
    <cfRule type="expression" dxfId="19" priority="12" stopIfTrue="1">
      <formula>$O$1="CU"</formula>
    </cfRule>
  </conditionalFormatting>
  <conditionalFormatting sqref="K8 M10 K12 O14 K16 M18 K20 Q22 K24 M26 K28 O30 K32 M34 K36 O40 K42 M44 K46">
    <cfRule type="expression" dxfId="18" priority="8" stopIfTrue="1">
      <formula>J8="as"</formula>
    </cfRule>
    <cfRule type="expression" dxfId="17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22D38AD9-1A4B-4CB6-99CF-46656C7C0FDD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516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3C90-1929-458B-B7BF-4CC67A2F4D2F}">
  <sheetPr>
    <tabColor indexed="11"/>
  </sheetPr>
  <dimension ref="A1:AS140"/>
  <sheetViews>
    <sheetView workbookViewId="0"/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33203125" style="303" customWidth="1"/>
    <col min="5" max="5" width="4.33203125" style="303" customWidth="1"/>
    <col min="6" max="6" width="17" style="303" customWidth="1"/>
    <col min="7" max="7" width="2.6640625" style="303" customWidth="1"/>
    <col min="8" max="8" width="24.77734375" style="303" bestFit="1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27" width="0" style="303" hidden="1" customWidth="1"/>
    <col min="28" max="28" width="10.33203125" style="303" hidden="1" customWidth="1"/>
    <col min="29" max="34" width="0" style="303" hidden="1" customWidth="1"/>
    <col min="35" max="37" width="9.109375" style="385" customWidth="1"/>
    <col min="38" max="16384" width="8.77734375" style="303"/>
  </cols>
  <sheetData>
    <row r="1" spans="1:45" s="224" customFormat="1" ht="21.75" customHeight="1" x14ac:dyDescent="0.25">
      <c r="A1" s="217" t="str">
        <f>[14]Altalanos!$A$6</f>
        <v>OB</v>
      </c>
      <c r="B1" s="217"/>
      <c r="C1" s="218"/>
      <c r="D1" s="218"/>
      <c r="E1" s="218"/>
      <c r="F1" s="218"/>
      <c r="G1" s="218"/>
      <c r="H1" s="217"/>
      <c r="I1" s="219"/>
      <c r="J1" s="220"/>
      <c r="K1" s="221" t="s">
        <v>39</v>
      </c>
      <c r="L1" s="222"/>
      <c r="M1" s="223"/>
      <c r="N1" s="220"/>
      <c r="O1" s="220" t="s">
        <v>12</v>
      </c>
      <c r="P1" s="220"/>
      <c r="Q1" s="218"/>
      <c r="R1" s="220"/>
      <c r="T1" s="225"/>
      <c r="U1" s="225"/>
      <c r="V1" s="225"/>
      <c r="W1" s="225"/>
      <c r="X1" s="225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  <c r="AI1" s="227"/>
      <c r="AJ1" s="227"/>
      <c r="AK1" s="227"/>
    </row>
    <row r="2" spans="1:45" s="233" customFormat="1" x14ac:dyDescent="0.25">
      <c r="A2" s="228" t="s">
        <v>38</v>
      </c>
      <c r="B2" s="229"/>
      <c r="C2" s="229"/>
      <c r="D2" s="229"/>
      <c r="E2" s="229">
        <f>[14]Altalanos!$A$8</f>
        <v>0</v>
      </c>
      <c r="F2" s="229"/>
      <c r="G2" s="230"/>
      <c r="H2" s="231"/>
      <c r="I2" s="231"/>
      <c r="J2" s="232"/>
      <c r="K2" s="222"/>
      <c r="L2" s="222"/>
      <c r="M2" s="222"/>
      <c r="N2" s="232"/>
      <c r="O2" s="231"/>
      <c r="P2" s="232"/>
      <c r="Q2" s="231"/>
      <c r="R2" s="232"/>
      <c r="T2" s="234"/>
      <c r="U2" s="234"/>
      <c r="V2" s="234"/>
      <c r="W2" s="234"/>
      <c r="X2" s="234"/>
      <c r="Y2" s="235"/>
      <c r="Z2" s="236"/>
      <c r="AA2" s="236" t="s">
        <v>52</v>
      </c>
      <c r="AB2" s="237">
        <v>300</v>
      </c>
      <c r="AC2" s="237">
        <v>250</v>
      </c>
      <c r="AD2" s="237">
        <v>200</v>
      </c>
      <c r="AE2" s="237">
        <v>150</v>
      </c>
      <c r="AF2" s="237">
        <v>120</v>
      </c>
      <c r="AG2" s="237">
        <v>90</v>
      </c>
      <c r="AH2" s="237">
        <v>40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</row>
    <row r="3" spans="1:45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T3" s="242"/>
      <c r="U3" s="242"/>
      <c r="V3" s="242"/>
      <c r="W3" s="242"/>
      <c r="X3" s="242"/>
      <c r="Y3" s="236" t="str">
        <f>IF(K4="OB","A",IF(K4="IX","W",IF(K4="","",K4)))</f>
        <v/>
      </c>
      <c r="Z3" s="236"/>
      <c r="AA3" s="236" t="s">
        <v>53</v>
      </c>
      <c r="AB3" s="237">
        <v>280</v>
      </c>
      <c r="AC3" s="237">
        <v>230</v>
      </c>
      <c r="AD3" s="237">
        <v>180</v>
      </c>
      <c r="AE3" s="237">
        <v>140</v>
      </c>
      <c r="AF3" s="237">
        <v>80</v>
      </c>
      <c r="AG3" s="237">
        <v>0</v>
      </c>
      <c r="AH3" s="237">
        <v>0</v>
      </c>
      <c r="AI3" s="234"/>
      <c r="AJ3" s="234"/>
      <c r="AK3" s="234"/>
      <c r="AL3" s="242"/>
      <c r="AM3" s="242"/>
      <c r="AN3" s="242"/>
      <c r="AO3" s="242"/>
      <c r="AP3" s="242"/>
      <c r="AQ3" s="242"/>
      <c r="AR3" s="242"/>
      <c r="AS3" s="242"/>
    </row>
    <row r="4" spans="1:45" s="250" customFormat="1" ht="11.25" customHeight="1" thickBot="1" x14ac:dyDescent="0.3">
      <c r="A4" s="243">
        <f>[14]Altalanos!$A$10</f>
        <v>0</v>
      </c>
      <c r="B4" s="243"/>
      <c r="C4" s="243"/>
      <c r="D4" s="244"/>
      <c r="E4" s="245"/>
      <c r="F4" s="245"/>
      <c r="G4" s="245">
        <f>[14]Altalanos!$C$10</f>
        <v>0</v>
      </c>
      <c r="H4" s="246"/>
      <c r="I4" s="245"/>
      <c r="J4" s="247"/>
      <c r="K4" s="137"/>
      <c r="L4" s="247"/>
      <c r="M4" s="248"/>
      <c r="N4" s="247"/>
      <c r="O4" s="245"/>
      <c r="P4" s="247"/>
      <c r="Q4" s="245"/>
      <c r="R4" s="249">
        <f>[14]Altalanos!$E$10</f>
        <v>0</v>
      </c>
      <c r="T4" s="251"/>
      <c r="U4" s="251"/>
      <c r="V4" s="251"/>
      <c r="W4" s="251"/>
      <c r="X4" s="251"/>
      <c r="Y4" s="236"/>
      <c r="Z4" s="236"/>
      <c r="AA4" s="236" t="s">
        <v>82</v>
      </c>
      <c r="AB4" s="237">
        <v>250</v>
      </c>
      <c r="AC4" s="237">
        <v>200</v>
      </c>
      <c r="AD4" s="237">
        <v>150</v>
      </c>
      <c r="AE4" s="237">
        <v>120</v>
      </c>
      <c r="AF4" s="237">
        <v>90</v>
      </c>
      <c r="AG4" s="237">
        <v>60</v>
      </c>
      <c r="AH4" s="237">
        <v>25</v>
      </c>
      <c r="AI4" s="234"/>
      <c r="AJ4" s="234"/>
      <c r="AK4" s="234"/>
      <c r="AL4" s="251"/>
      <c r="AM4" s="251"/>
      <c r="AN4" s="251"/>
      <c r="AO4" s="251"/>
      <c r="AP4" s="251"/>
      <c r="AQ4" s="251"/>
      <c r="AR4" s="251"/>
      <c r="AS4" s="251"/>
    </row>
    <row r="5" spans="1:45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45</v>
      </c>
      <c r="N5" s="256"/>
      <c r="O5" s="253" t="s">
        <v>44</v>
      </c>
      <c r="P5" s="256"/>
      <c r="Q5" s="253"/>
      <c r="R5" s="257"/>
      <c r="T5" s="242"/>
      <c r="U5" s="242"/>
      <c r="V5" s="242"/>
      <c r="W5" s="242"/>
      <c r="X5" s="242"/>
      <c r="Y5" s="236">
        <f>IF(OR([14]Altalanos!$A$8="F1",[14]Altalanos!$A$8="F2",[14]Altalanos!$A$8="N1",[14]Altalanos!$A$8="N2"),1,2)</f>
        <v>2</v>
      </c>
      <c r="Z5" s="236"/>
      <c r="AA5" s="236" t="s">
        <v>83</v>
      </c>
      <c r="AB5" s="237">
        <v>200</v>
      </c>
      <c r="AC5" s="237">
        <v>150</v>
      </c>
      <c r="AD5" s="237">
        <v>120</v>
      </c>
      <c r="AE5" s="237">
        <v>90</v>
      </c>
      <c r="AF5" s="237">
        <v>60</v>
      </c>
      <c r="AG5" s="237">
        <v>40</v>
      </c>
      <c r="AH5" s="237">
        <v>15</v>
      </c>
      <c r="AI5" s="234"/>
      <c r="AJ5" s="234"/>
      <c r="AK5" s="234"/>
      <c r="AL5" s="242"/>
      <c r="AM5" s="242"/>
      <c r="AN5" s="242"/>
      <c r="AO5" s="242"/>
      <c r="AP5" s="242"/>
      <c r="AQ5" s="242"/>
      <c r="AR5" s="242"/>
      <c r="AS5" s="242"/>
    </row>
    <row r="6" spans="1:45" s="264" customFormat="1" ht="10.95" customHeight="1" thickBot="1" x14ac:dyDescent="0.3">
      <c r="A6" s="258"/>
      <c r="B6" s="259"/>
      <c r="C6" s="259"/>
      <c r="D6" s="259"/>
      <c r="E6" s="259"/>
      <c r="F6" s="258" t="str">
        <f>IF(Y3="","",CONCATENATE(VLOOKUP(Y3,AB1:AH1,4)," pont"))</f>
        <v/>
      </c>
      <c r="G6" s="260"/>
      <c r="H6" s="261"/>
      <c r="I6" s="260"/>
      <c r="J6" s="262"/>
      <c r="K6" s="259" t="str">
        <f>IF(Y3="","",CONCATENATE(VLOOKUP(Y3,AB1:AH1,3)," pont"))</f>
        <v/>
      </c>
      <c r="L6" s="262"/>
      <c r="M6" s="259" t="str">
        <f>IF(Y3="","",CONCATENATE(VLOOKUP(Y3,AB1:AH1,2)," pont"))</f>
        <v/>
      </c>
      <c r="N6" s="262"/>
      <c r="O6" s="259" t="str">
        <f>IF(Y3="","",CONCATENATE(VLOOKUP(Y3,AB1:AH1,1)," pont"))</f>
        <v/>
      </c>
      <c r="P6" s="262"/>
      <c r="Q6" s="259"/>
      <c r="R6" s="263"/>
      <c r="T6" s="265"/>
      <c r="U6" s="265"/>
      <c r="V6" s="265"/>
      <c r="W6" s="265"/>
      <c r="X6" s="265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268"/>
      <c r="AJ6" s="268"/>
      <c r="AK6" s="268"/>
      <c r="AL6" s="265"/>
      <c r="AM6" s="265"/>
      <c r="AN6" s="265"/>
      <c r="AO6" s="265"/>
      <c r="AP6" s="265"/>
      <c r="AQ6" s="265"/>
      <c r="AR6" s="265"/>
      <c r="AS6" s="265"/>
    </row>
    <row r="7" spans="1:45" s="282" customFormat="1" ht="13.05" customHeight="1" x14ac:dyDescent="0.25">
      <c r="A7" s="269">
        <v>1</v>
      </c>
      <c r="B7" s="270" t="str">
        <f>IF($E7="","",VLOOKUP($E7,'[14]1MD ELO'!$A$7:$O$22,14))</f>
        <v/>
      </c>
      <c r="C7" s="271" t="str">
        <f>IF($E7="","",VLOOKUP($E7,'[14]1MD ELO'!$A$7:$O$22,15))</f>
        <v/>
      </c>
      <c r="D7" s="271" t="str">
        <f>IF($E7="","",VLOOKUP($E7,'[14]1MD ELO'!$A$7:$O$22,5))</f>
        <v/>
      </c>
      <c r="E7" s="272"/>
      <c r="F7" s="273"/>
      <c r="G7" s="273"/>
      <c r="H7" s="273"/>
      <c r="I7" s="273" t="str">
        <f>IF($E7="","",VLOOKUP($E7,'[14]1MD ELO'!$A$7:$O$22,4))</f>
        <v/>
      </c>
      <c r="J7" s="274"/>
      <c r="K7" s="275"/>
      <c r="L7" s="275"/>
      <c r="M7" s="275"/>
      <c r="N7" s="275"/>
      <c r="O7" s="276"/>
      <c r="P7" s="277"/>
      <c r="Q7" s="278"/>
      <c r="R7" s="279"/>
      <c r="S7" s="280"/>
      <c r="T7" s="280"/>
      <c r="U7" s="281" t="str">
        <f>[14]Birók!P21</f>
        <v>Bíró</v>
      </c>
      <c r="V7" s="280"/>
      <c r="W7" s="280"/>
      <c r="X7" s="280"/>
      <c r="Y7" s="236"/>
      <c r="Z7" s="236"/>
      <c r="AA7" s="236" t="s">
        <v>85</v>
      </c>
      <c r="AB7" s="237">
        <v>120</v>
      </c>
      <c r="AC7" s="237">
        <v>90</v>
      </c>
      <c r="AD7" s="237">
        <v>60</v>
      </c>
      <c r="AE7" s="237">
        <v>40</v>
      </c>
      <c r="AF7" s="237">
        <v>25</v>
      </c>
      <c r="AG7" s="237">
        <v>10</v>
      </c>
      <c r="AH7" s="237">
        <v>5</v>
      </c>
      <c r="AI7" s="234"/>
      <c r="AJ7" s="234"/>
      <c r="AK7" s="234"/>
      <c r="AL7" s="280"/>
      <c r="AM7" s="280"/>
      <c r="AN7" s="280"/>
      <c r="AO7" s="280"/>
      <c r="AP7" s="280"/>
      <c r="AQ7" s="280"/>
      <c r="AR7" s="280"/>
      <c r="AS7" s="280"/>
    </row>
    <row r="8" spans="1:45" s="282" customFormat="1" ht="13.05" customHeight="1" x14ac:dyDescent="0.25">
      <c r="A8" s="283"/>
      <c r="B8" s="284"/>
      <c r="C8" s="285"/>
      <c r="D8" s="285"/>
      <c r="E8" s="286"/>
      <c r="F8" s="287"/>
      <c r="G8" s="287"/>
      <c r="H8" s="288"/>
      <c r="I8" s="289" t="s">
        <v>0</v>
      </c>
      <c r="J8" s="290"/>
      <c r="K8" s="291" t="str">
        <f>UPPER(IF(OR(J8="a",J8="as"),F7,IF(OR(J8="b",J8="bs"),F9,)))</f>
        <v/>
      </c>
      <c r="L8" s="291"/>
      <c r="M8" s="275"/>
      <c r="N8" s="275"/>
      <c r="O8" s="276"/>
      <c r="P8" s="277"/>
      <c r="Q8" s="278"/>
      <c r="R8" s="279"/>
      <c r="S8" s="280"/>
      <c r="T8" s="280"/>
      <c r="U8" s="292" t="str">
        <f>[14]Birók!P22</f>
        <v xml:space="preserve"> </v>
      </c>
      <c r="V8" s="280"/>
      <c r="W8" s="280"/>
      <c r="X8" s="280"/>
      <c r="Y8" s="236"/>
      <c r="Z8" s="236"/>
      <c r="AA8" s="236" t="s">
        <v>86</v>
      </c>
      <c r="AB8" s="237">
        <v>90</v>
      </c>
      <c r="AC8" s="237">
        <v>60</v>
      </c>
      <c r="AD8" s="237">
        <v>40</v>
      </c>
      <c r="AE8" s="237">
        <v>25</v>
      </c>
      <c r="AF8" s="237">
        <v>10</v>
      </c>
      <c r="AG8" s="237">
        <v>5</v>
      </c>
      <c r="AH8" s="237">
        <v>2</v>
      </c>
      <c r="AI8" s="234"/>
      <c r="AJ8" s="234"/>
      <c r="AK8" s="234"/>
      <c r="AL8" s="280"/>
      <c r="AM8" s="280"/>
      <c r="AN8" s="280"/>
      <c r="AO8" s="280"/>
      <c r="AP8" s="280"/>
      <c r="AQ8" s="280"/>
      <c r="AR8" s="280"/>
      <c r="AS8" s="280"/>
    </row>
    <row r="9" spans="1:45" s="282" customFormat="1" ht="13.05" customHeight="1" x14ac:dyDescent="0.25">
      <c r="A9" s="283">
        <v>2</v>
      </c>
      <c r="B9" s="270" t="str">
        <f>IF($E9="","",VLOOKUP($E9,'[14]1MD ELO'!$A$7:$O$22,14))</f>
        <v/>
      </c>
      <c r="C9" s="271" t="str">
        <f>IF($E9="","",VLOOKUP($E9,'[14]1MD ELO'!$A$7:$O$22,15))</f>
        <v/>
      </c>
      <c r="D9" s="271" t="str">
        <f>IF($E9="","",VLOOKUP($E9,'[14]1MD ELO'!$A$7:$O$22,5))</f>
        <v/>
      </c>
      <c r="E9" s="293"/>
      <c r="F9" s="294"/>
      <c r="G9" s="294"/>
      <c r="H9" s="294"/>
      <c r="I9" s="294" t="str">
        <f>IF($E9="","",VLOOKUP($E9,'[14]1MD ELO'!$A$7:$O$22,4))</f>
        <v/>
      </c>
      <c r="J9" s="295"/>
      <c r="K9" s="275"/>
      <c r="L9" s="296"/>
      <c r="M9" s="275"/>
      <c r="N9" s="275"/>
      <c r="O9" s="276"/>
      <c r="P9" s="277"/>
      <c r="Q9" s="278"/>
      <c r="R9" s="279"/>
      <c r="S9" s="280"/>
      <c r="T9" s="280"/>
      <c r="U9" s="292" t="str">
        <f>[14]Birók!P23</f>
        <v xml:space="preserve"> </v>
      </c>
      <c r="V9" s="280"/>
      <c r="W9" s="280"/>
      <c r="X9" s="280"/>
      <c r="Y9" s="236"/>
      <c r="Z9" s="236"/>
      <c r="AA9" s="236" t="s">
        <v>87</v>
      </c>
      <c r="AB9" s="237">
        <v>60</v>
      </c>
      <c r="AC9" s="237">
        <v>40</v>
      </c>
      <c r="AD9" s="237">
        <v>25</v>
      </c>
      <c r="AE9" s="237">
        <v>10</v>
      </c>
      <c r="AF9" s="237">
        <v>5</v>
      </c>
      <c r="AG9" s="237">
        <v>2</v>
      </c>
      <c r="AH9" s="237">
        <v>1</v>
      </c>
      <c r="AI9" s="234"/>
      <c r="AJ9" s="234"/>
      <c r="AK9" s="234"/>
      <c r="AL9" s="280"/>
      <c r="AM9" s="280"/>
      <c r="AN9" s="280"/>
      <c r="AO9" s="280"/>
      <c r="AP9" s="280"/>
      <c r="AQ9" s="280"/>
      <c r="AR9" s="280"/>
      <c r="AS9" s="280"/>
    </row>
    <row r="10" spans="1:45" s="282" customFormat="1" ht="13.05" customHeight="1" x14ac:dyDescent="0.25">
      <c r="A10" s="283"/>
      <c r="B10" s="284"/>
      <c r="C10" s="285"/>
      <c r="D10" s="285"/>
      <c r="E10" s="297"/>
      <c r="F10" s="287"/>
      <c r="G10" s="287"/>
      <c r="H10" s="288"/>
      <c r="I10" s="287"/>
      <c r="J10" s="298"/>
      <c r="K10" s="289" t="s">
        <v>0</v>
      </c>
      <c r="L10" s="299"/>
      <c r="M10" s="291"/>
      <c r="N10" s="300"/>
      <c r="O10" s="301"/>
      <c r="P10" s="301"/>
      <c r="Q10" s="278"/>
      <c r="R10" s="279"/>
      <c r="S10" s="280"/>
      <c r="T10" s="280"/>
      <c r="U10" s="292" t="str">
        <f>[14]Birók!P24</f>
        <v xml:space="preserve"> </v>
      </c>
      <c r="V10" s="280"/>
      <c r="W10" s="280"/>
      <c r="X10" s="280"/>
      <c r="Y10" s="236"/>
      <c r="Z10" s="236"/>
      <c r="AA10" s="236" t="s">
        <v>88</v>
      </c>
      <c r="AB10" s="237">
        <v>40</v>
      </c>
      <c r="AC10" s="237">
        <v>25</v>
      </c>
      <c r="AD10" s="237">
        <v>15</v>
      </c>
      <c r="AE10" s="237">
        <v>7</v>
      </c>
      <c r="AF10" s="237">
        <v>4</v>
      </c>
      <c r="AG10" s="237">
        <v>1</v>
      </c>
      <c r="AH10" s="237">
        <v>0</v>
      </c>
      <c r="AI10" s="234"/>
      <c r="AJ10" s="234"/>
      <c r="AK10" s="234"/>
      <c r="AL10" s="280"/>
      <c r="AM10" s="280"/>
      <c r="AN10" s="280"/>
      <c r="AO10" s="280"/>
      <c r="AP10" s="280"/>
      <c r="AQ10" s="280"/>
      <c r="AR10" s="280"/>
      <c r="AS10" s="280"/>
    </row>
    <row r="11" spans="1:45" s="282" customFormat="1" ht="13.05" customHeight="1" x14ac:dyDescent="0.25">
      <c r="A11" s="283">
        <v>3</v>
      </c>
      <c r="B11" s="270" t="str">
        <f>IF($E11="","",VLOOKUP($E11,'[14]1MD ELO'!$A$7:$O$22,14))</f>
        <v/>
      </c>
      <c r="C11" s="271" t="str">
        <f>IF($E11="","",VLOOKUP($E11,'[14]1MD ELO'!$A$7:$O$22,15))</f>
        <v/>
      </c>
      <c r="D11" s="271" t="str">
        <f>IF($E11="","",VLOOKUP($E11,'[14]1MD ELO'!$A$7:$O$22,5))</f>
        <v/>
      </c>
      <c r="E11" s="293"/>
      <c r="F11" s="294"/>
      <c r="G11" s="294"/>
      <c r="H11" s="294"/>
      <c r="I11" s="294" t="str">
        <f>IF($E11="","",VLOOKUP($E11,'[14]1MD ELO'!$A$7:$O$22,4))</f>
        <v/>
      </c>
      <c r="J11" s="274"/>
      <c r="K11" s="275"/>
      <c r="L11" s="302"/>
      <c r="M11" s="303"/>
      <c r="N11" s="304"/>
      <c r="O11" s="301"/>
      <c r="P11" s="301"/>
      <c r="Q11" s="278"/>
      <c r="R11" s="279"/>
      <c r="S11" s="280"/>
      <c r="T11" s="280"/>
      <c r="U11" s="292" t="str">
        <f>[14]Birók!P25</f>
        <v xml:space="preserve"> </v>
      </c>
      <c r="V11" s="280"/>
      <c r="W11" s="280"/>
      <c r="X11" s="280"/>
      <c r="Y11" s="236"/>
      <c r="Z11" s="236"/>
      <c r="AA11" s="236" t="s">
        <v>89</v>
      </c>
      <c r="AB11" s="237">
        <v>25</v>
      </c>
      <c r="AC11" s="237">
        <v>15</v>
      </c>
      <c r="AD11" s="237">
        <v>10</v>
      </c>
      <c r="AE11" s="237">
        <v>6</v>
      </c>
      <c r="AF11" s="237">
        <v>3</v>
      </c>
      <c r="AG11" s="237">
        <v>1</v>
      </c>
      <c r="AH11" s="237">
        <v>0</v>
      </c>
      <c r="AI11" s="234"/>
      <c r="AJ11" s="234"/>
      <c r="AK11" s="234"/>
      <c r="AL11" s="280"/>
      <c r="AM11" s="280"/>
      <c r="AN11" s="280"/>
      <c r="AO11" s="280"/>
      <c r="AP11" s="280"/>
      <c r="AQ11" s="280"/>
      <c r="AR11" s="280"/>
      <c r="AS11" s="280"/>
    </row>
    <row r="12" spans="1:45" s="282" customFormat="1" ht="13.05" customHeight="1" x14ac:dyDescent="0.25">
      <c r="A12" s="283"/>
      <c r="B12" s="284"/>
      <c r="C12" s="285"/>
      <c r="D12" s="285"/>
      <c r="E12" s="297"/>
      <c r="F12" s="287"/>
      <c r="G12" s="287"/>
      <c r="H12" s="288"/>
      <c r="I12" s="289" t="s">
        <v>0</v>
      </c>
      <c r="J12" s="290"/>
      <c r="K12" s="291" t="str">
        <f>UPPER(IF(OR(J12="a",J12="as"),F11,IF(OR(J12="b",J12="bs"),F13,)))</f>
        <v/>
      </c>
      <c r="L12" s="305"/>
      <c r="M12" s="275"/>
      <c r="N12" s="304"/>
      <c r="O12" s="301"/>
      <c r="P12" s="301"/>
      <c r="Q12" s="278"/>
      <c r="R12" s="279"/>
      <c r="S12" s="280"/>
      <c r="T12" s="280"/>
      <c r="U12" s="292" t="str">
        <f>[14]Birók!P26</f>
        <v xml:space="preserve"> </v>
      </c>
      <c r="V12" s="280"/>
      <c r="W12" s="280"/>
      <c r="X12" s="280"/>
      <c r="Y12" s="236"/>
      <c r="Z12" s="236"/>
      <c r="AA12" s="236" t="s">
        <v>94</v>
      </c>
      <c r="AB12" s="237">
        <v>15</v>
      </c>
      <c r="AC12" s="237">
        <v>10</v>
      </c>
      <c r="AD12" s="237">
        <v>6</v>
      </c>
      <c r="AE12" s="237">
        <v>3</v>
      </c>
      <c r="AF12" s="237">
        <v>1</v>
      </c>
      <c r="AG12" s="237">
        <v>0</v>
      </c>
      <c r="AH12" s="237">
        <v>0</v>
      </c>
      <c r="AI12" s="234"/>
      <c r="AJ12" s="234"/>
      <c r="AK12" s="234"/>
      <c r="AL12" s="280"/>
      <c r="AM12" s="280"/>
      <c r="AN12" s="280"/>
      <c r="AO12" s="280"/>
      <c r="AP12" s="280"/>
      <c r="AQ12" s="280"/>
      <c r="AR12" s="280"/>
      <c r="AS12" s="280"/>
    </row>
    <row r="13" spans="1:45" s="282" customFormat="1" ht="13.05" customHeight="1" x14ac:dyDescent="0.25">
      <c r="A13" s="283">
        <v>4</v>
      </c>
      <c r="B13" s="270" t="str">
        <f>IF($E13="","",VLOOKUP($E13,'[14]1MD ELO'!$A$7:$O$22,14))</f>
        <v/>
      </c>
      <c r="C13" s="271" t="str">
        <f>IF($E13="","",VLOOKUP($E13,'[14]1MD ELO'!$A$7:$O$22,15))</f>
        <v/>
      </c>
      <c r="D13" s="271" t="str">
        <f>IF($E13="","",VLOOKUP($E13,'[14]1MD ELO'!$A$7:$O$22,5))</f>
        <v/>
      </c>
      <c r="E13" s="293"/>
      <c r="F13" s="294"/>
      <c r="G13" s="294"/>
      <c r="H13" s="294"/>
      <c r="I13" s="294" t="str">
        <f>IF($E13="","",VLOOKUP($E13,'[14]1MD ELO'!$A$7:$O$22,4))</f>
        <v/>
      </c>
      <c r="J13" s="306"/>
      <c r="K13" s="275"/>
      <c r="L13" s="275"/>
      <c r="M13" s="275"/>
      <c r="N13" s="304"/>
      <c r="O13" s="301"/>
      <c r="P13" s="301"/>
      <c r="Q13" s="278"/>
      <c r="R13" s="279"/>
      <c r="S13" s="280"/>
      <c r="T13" s="280"/>
      <c r="U13" s="292" t="str">
        <f>[14]Birók!P27</f>
        <v xml:space="preserve"> </v>
      </c>
      <c r="V13" s="280"/>
      <c r="W13" s="280"/>
      <c r="X13" s="280"/>
      <c r="Y13" s="236"/>
      <c r="Z13" s="236"/>
      <c r="AA13" s="236" t="s">
        <v>90</v>
      </c>
      <c r="AB13" s="237">
        <v>10</v>
      </c>
      <c r="AC13" s="237">
        <v>6</v>
      </c>
      <c r="AD13" s="237">
        <v>3</v>
      </c>
      <c r="AE13" s="237">
        <v>1</v>
      </c>
      <c r="AF13" s="237">
        <v>0</v>
      </c>
      <c r="AG13" s="237">
        <v>0</v>
      </c>
      <c r="AH13" s="237">
        <v>0</v>
      </c>
      <c r="AI13" s="234"/>
      <c r="AJ13" s="234"/>
      <c r="AK13" s="234"/>
      <c r="AL13" s="280"/>
      <c r="AM13" s="280"/>
      <c r="AN13" s="280"/>
      <c r="AO13" s="280"/>
      <c r="AP13" s="280"/>
      <c r="AQ13" s="280"/>
      <c r="AR13" s="280"/>
      <c r="AS13" s="280"/>
    </row>
    <row r="14" spans="1:45" s="282" customFormat="1" ht="13.05" customHeight="1" x14ac:dyDescent="0.25">
      <c r="A14" s="283"/>
      <c r="B14" s="284"/>
      <c r="C14" s="285"/>
      <c r="D14" s="285"/>
      <c r="E14" s="297"/>
      <c r="F14" s="287"/>
      <c r="G14" s="287"/>
      <c r="H14" s="288"/>
      <c r="I14" s="287"/>
      <c r="J14" s="298"/>
      <c r="K14" s="275"/>
      <c r="L14" s="275"/>
      <c r="M14" s="289" t="s">
        <v>0</v>
      </c>
      <c r="N14" s="299"/>
      <c r="O14" s="291" t="s">
        <v>263</v>
      </c>
      <c r="P14" s="300"/>
      <c r="Q14" s="278"/>
      <c r="R14" s="279"/>
      <c r="S14" s="280"/>
      <c r="T14" s="280"/>
      <c r="U14" s="292" t="str">
        <f>[14]Birók!P28</f>
        <v xml:space="preserve"> </v>
      </c>
      <c r="V14" s="280"/>
      <c r="W14" s="280"/>
      <c r="X14" s="280"/>
      <c r="Y14" s="236"/>
      <c r="Z14" s="236"/>
      <c r="AA14" s="236" t="s">
        <v>91</v>
      </c>
      <c r="AB14" s="237">
        <v>3</v>
      </c>
      <c r="AC14" s="237">
        <v>2</v>
      </c>
      <c r="AD14" s="237">
        <v>1</v>
      </c>
      <c r="AE14" s="237">
        <v>0</v>
      </c>
      <c r="AF14" s="237">
        <v>0</v>
      </c>
      <c r="AG14" s="237">
        <v>0</v>
      </c>
      <c r="AH14" s="237">
        <v>0</v>
      </c>
      <c r="AI14" s="234"/>
      <c r="AJ14" s="234"/>
      <c r="AK14" s="234"/>
      <c r="AL14" s="280"/>
      <c r="AM14" s="280"/>
      <c r="AN14" s="280"/>
      <c r="AO14" s="280"/>
      <c r="AP14" s="280"/>
      <c r="AQ14" s="280"/>
      <c r="AR14" s="280"/>
      <c r="AS14" s="280"/>
    </row>
    <row r="15" spans="1:45" s="282" customFormat="1" ht="13.05" customHeight="1" x14ac:dyDescent="0.25">
      <c r="A15" s="307">
        <v>5</v>
      </c>
      <c r="B15" s="270" t="str">
        <f>IF($E15="","",VLOOKUP($E15,'[14]1MD ELO'!$A$7:$O$22,14))</f>
        <v/>
      </c>
      <c r="C15" s="271" t="str">
        <f>IF($E15="","",VLOOKUP($E15,'[14]1MD ELO'!$A$7:$O$22,15))</f>
        <v/>
      </c>
      <c r="D15" s="271" t="str">
        <f>IF($E15="","",VLOOKUP($E15,'[14]1MD ELO'!$A$7:$O$22,5))</f>
        <v/>
      </c>
      <c r="E15" s="293"/>
      <c r="F15" s="294"/>
      <c r="G15" s="294"/>
      <c r="H15" s="294"/>
      <c r="I15" s="294" t="str">
        <f>IF($E15="","",VLOOKUP($E15,'[14]1MD ELO'!$A$7:$O$22,4))</f>
        <v/>
      </c>
      <c r="J15" s="308"/>
      <c r="K15" s="275"/>
      <c r="L15" s="275"/>
      <c r="M15" s="275"/>
      <c r="N15" s="304"/>
      <c r="O15" s="303" t="s">
        <v>162</v>
      </c>
      <c r="P15" s="301"/>
      <c r="Q15" s="278"/>
      <c r="R15" s="279"/>
      <c r="S15" s="280"/>
      <c r="T15" s="280"/>
      <c r="U15" s="292" t="str">
        <f>[14]Birók!P29</f>
        <v xml:space="preserve"> </v>
      </c>
      <c r="V15" s="280"/>
      <c r="W15" s="280"/>
      <c r="X15" s="280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4"/>
      <c r="AJ15" s="234"/>
      <c r="AK15" s="234"/>
      <c r="AL15" s="280"/>
      <c r="AM15" s="280"/>
      <c r="AN15" s="280"/>
      <c r="AO15" s="280"/>
      <c r="AP15" s="280"/>
      <c r="AQ15" s="280"/>
      <c r="AR15" s="280"/>
      <c r="AS15" s="280"/>
    </row>
    <row r="16" spans="1:45" s="282" customFormat="1" ht="13.05" customHeight="1" thickBot="1" x14ac:dyDescent="0.3">
      <c r="A16" s="283"/>
      <c r="B16" s="284"/>
      <c r="C16" s="285"/>
      <c r="D16" s="285"/>
      <c r="E16" s="297"/>
      <c r="F16" s="287"/>
      <c r="G16" s="287"/>
      <c r="H16" s="288"/>
      <c r="I16" s="289" t="s">
        <v>0</v>
      </c>
      <c r="J16" s="290"/>
      <c r="K16" s="291" t="str">
        <f>UPPER(IF(OR(J16="a",J16="as"),F15,IF(OR(J16="b",J16="bs"),F17,)))</f>
        <v/>
      </c>
      <c r="L16" s="291"/>
      <c r="M16" s="275"/>
      <c r="N16" s="304"/>
      <c r="O16" s="289"/>
      <c r="P16" s="301"/>
      <c r="Q16" s="278"/>
      <c r="R16" s="279"/>
      <c r="S16" s="280"/>
      <c r="T16" s="280"/>
      <c r="U16" s="309" t="str">
        <f>[14]Birók!P30</f>
        <v>Egyik sem</v>
      </c>
      <c r="V16" s="280"/>
      <c r="W16" s="280"/>
      <c r="X16" s="280"/>
      <c r="Y16" s="236"/>
      <c r="Z16" s="236"/>
      <c r="AA16" s="236" t="s">
        <v>52</v>
      </c>
      <c r="AB16" s="237">
        <v>150</v>
      </c>
      <c r="AC16" s="237">
        <v>120</v>
      </c>
      <c r="AD16" s="237">
        <v>90</v>
      </c>
      <c r="AE16" s="237">
        <v>60</v>
      </c>
      <c r="AF16" s="237">
        <v>40</v>
      </c>
      <c r="AG16" s="237">
        <v>25</v>
      </c>
      <c r="AH16" s="237">
        <v>15</v>
      </c>
      <c r="AI16" s="234"/>
      <c r="AJ16" s="234"/>
      <c r="AK16" s="234"/>
      <c r="AL16" s="280"/>
      <c r="AM16" s="280"/>
      <c r="AN16" s="280"/>
      <c r="AO16" s="280"/>
      <c r="AP16" s="280"/>
      <c r="AQ16" s="280"/>
      <c r="AR16" s="280"/>
      <c r="AS16" s="280"/>
    </row>
    <row r="17" spans="1:45" s="282" customFormat="1" ht="13.05" customHeight="1" x14ac:dyDescent="0.25">
      <c r="A17" s="283">
        <v>6</v>
      </c>
      <c r="B17" s="270" t="str">
        <f>IF($E17="","",VLOOKUP($E17,'[14]1MD ELO'!$A$7:$O$22,14))</f>
        <v/>
      </c>
      <c r="C17" s="271" t="str">
        <f>IF($E17="","",VLOOKUP($E17,'[14]1MD ELO'!$A$7:$O$22,15))</f>
        <v/>
      </c>
      <c r="D17" s="271" t="str">
        <f>IF($E17="","",VLOOKUP($E17,'[14]1MD ELO'!$A$7:$O$22,5))</f>
        <v/>
      </c>
      <c r="E17" s="293"/>
      <c r="F17" s="294"/>
      <c r="G17" s="294"/>
      <c r="H17" s="294"/>
      <c r="I17" s="294" t="str">
        <f>IF($E17="","",VLOOKUP($E17,'[14]1MD ELO'!$A$7:$O$22,4))</f>
        <v/>
      </c>
      <c r="J17" s="295"/>
      <c r="K17" s="275"/>
      <c r="L17" s="296"/>
      <c r="M17" s="275"/>
      <c r="N17" s="304"/>
      <c r="O17" s="301"/>
      <c r="P17" s="301"/>
      <c r="Q17" s="278"/>
      <c r="R17" s="279"/>
      <c r="S17" s="280"/>
      <c r="T17" s="280"/>
      <c r="U17" s="280"/>
      <c r="V17" s="280"/>
      <c r="W17" s="280"/>
      <c r="X17" s="280"/>
      <c r="Y17" s="236"/>
      <c r="Z17" s="236"/>
      <c r="AA17" s="236" t="s">
        <v>82</v>
      </c>
      <c r="AB17" s="237">
        <v>120</v>
      </c>
      <c r="AC17" s="237">
        <v>90</v>
      </c>
      <c r="AD17" s="237">
        <v>60</v>
      </c>
      <c r="AE17" s="237">
        <v>40</v>
      </c>
      <c r="AF17" s="237">
        <v>25</v>
      </c>
      <c r="AG17" s="237">
        <v>15</v>
      </c>
      <c r="AH17" s="237">
        <v>8</v>
      </c>
      <c r="AI17" s="234"/>
      <c r="AJ17" s="234"/>
      <c r="AK17" s="234"/>
      <c r="AL17" s="280"/>
      <c r="AM17" s="280"/>
      <c r="AN17" s="280"/>
      <c r="AO17" s="280"/>
      <c r="AP17" s="280"/>
      <c r="AQ17" s="280"/>
      <c r="AR17" s="280"/>
      <c r="AS17" s="280"/>
    </row>
    <row r="18" spans="1:45" s="282" customFormat="1" ht="13.05" customHeight="1" x14ac:dyDescent="0.25">
      <c r="A18" s="283"/>
      <c r="B18" s="284"/>
      <c r="C18" s="285"/>
      <c r="D18" s="285"/>
      <c r="E18" s="297"/>
      <c r="F18" s="287"/>
      <c r="G18" s="287"/>
      <c r="H18" s="288"/>
      <c r="I18" s="287"/>
      <c r="J18" s="298"/>
      <c r="K18" s="289" t="s">
        <v>0</v>
      </c>
      <c r="L18" s="299"/>
      <c r="M18" s="291"/>
      <c r="N18" s="310"/>
      <c r="O18" s="301"/>
      <c r="P18" s="301"/>
      <c r="Q18" s="278"/>
      <c r="R18" s="279"/>
      <c r="S18" s="280"/>
      <c r="T18" s="280"/>
      <c r="U18" s="280"/>
      <c r="V18" s="280"/>
      <c r="W18" s="280"/>
      <c r="X18" s="280"/>
      <c r="Y18" s="236"/>
      <c r="Z18" s="236"/>
      <c r="AA18" s="236" t="s">
        <v>83</v>
      </c>
      <c r="AB18" s="237">
        <v>90</v>
      </c>
      <c r="AC18" s="237">
        <v>60</v>
      </c>
      <c r="AD18" s="237">
        <v>40</v>
      </c>
      <c r="AE18" s="237">
        <v>25</v>
      </c>
      <c r="AF18" s="237">
        <v>15</v>
      </c>
      <c r="AG18" s="237">
        <v>8</v>
      </c>
      <c r="AH18" s="237">
        <v>4</v>
      </c>
      <c r="AI18" s="234"/>
      <c r="AJ18" s="234"/>
      <c r="AK18" s="234"/>
      <c r="AL18" s="280"/>
      <c r="AM18" s="280"/>
      <c r="AN18" s="280"/>
      <c r="AO18" s="280"/>
      <c r="AP18" s="280"/>
      <c r="AQ18" s="280"/>
      <c r="AR18" s="280"/>
      <c r="AS18" s="280"/>
    </row>
    <row r="19" spans="1:45" s="282" customFormat="1" ht="13.05" customHeight="1" x14ac:dyDescent="0.25">
      <c r="A19" s="283">
        <v>7</v>
      </c>
      <c r="B19" s="270" t="str">
        <f>IF($E19="","",VLOOKUP($E19,'[14]1MD ELO'!$A$7:$O$22,14))</f>
        <v/>
      </c>
      <c r="C19" s="271" t="str">
        <f>IF($E19="","",VLOOKUP($E19,'[14]1MD ELO'!$A$7:$O$22,15))</f>
        <v/>
      </c>
      <c r="D19" s="271" t="str">
        <f>IF($E19="","",VLOOKUP($E19,'[14]1MD ELO'!$A$7:$O$22,5))</f>
        <v/>
      </c>
      <c r="E19" s="293"/>
      <c r="F19" s="294"/>
      <c r="G19" s="294"/>
      <c r="H19" s="294"/>
      <c r="I19" s="294" t="str">
        <f>IF($E19="","",VLOOKUP($E19,'[14]1MD ELO'!$A$7:$O$22,4))</f>
        <v/>
      </c>
      <c r="J19" s="274"/>
      <c r="K19" s="275"/>
      <c r="L19" s="302"/>
      <c r="M19" s="303"/>
      <c r="N19" s="301"/>
      <c r="O19" s="301"/>
      <c r="P19" s="301"/>
      <c r="Q19" s="278"/>
      <c r="R19" s="279"/>
      <c r="S19" s="280"/>
      <c r="T19" s="280"/>
      <c r="U19" s="280"/>
      <c r="V19" s="280"/>
      <c r="W19" s="280"/>
      <c r="X19" s="280"/>
      <c r="Y19" s="236"/>
      <c r="Z19" s="236"/>
      <c r="AA19" s="236" t="s">
        <v>84</v>
      </c>
      <c r="AB19" s="237">
        <v>60</v>
      </c>
      <c r="AC19" s="237">
        <v>40</v>
      </c>
      <c r="AD19" s="237">
        <v>25</v>
      </c>
      <c r="AE19" s="237">
        <v>15</v>
      </c>
      <c r="AF19" s="237">
        <v>8</v>
      </c>
      <c r="AG19" s="237">
        <v>4</v>
      </c>
      <c r="AH19" s="237">
        <v>2</v>
      </c>
      <c r="AI19" s="234"/>
      <c r="AJ19" s="234"/>
      <c r="AK19" s="234"/>
      <c r="AL19" s="280"/>
      <c r="AM19" s="280"/>
      <c r="AN19" s="280"/>
      <c r="AO19" s="280"/>
      <c r="AP19" s="280"/>
      <c r="AQ19" s="280"/>
      <c r="AR19" s="280"/>
      <c r="AS19" s="280"/>
    </row>
    <row r="20" spans="1:45" s="282" customFormat="1" ht="13.05" customHeight="1" x14ac:dyDescent="0.25">
      <c r="A20" s="283"/>
      <c r="B20" s="284"/>
      <c r="C20" s="285"/>
      <c r="D20" s="285"/>
      <c r="E20" s="286"/>
      <c r="F20" s="287"/>
      <c r="G20" s="287"/>
      <c r="H20" s="288"/>
      <c r="I20" s="289" t="s">
        <v>0</v>
      </c>
      <c r="J20" s="290"/>
      <c r="K20" s="291" t="str">
        <f>UPPER(IF(OR(J20="a",J20="as"),F19,IF(OR(J20="b",J20="bs"),F21,)))</f>
        <v/>
      </c>
      <c r="L20" s="305"/>
      <c r="M20" s="275"/>
      <c r="N20" s="301"/>
      <c r="O20" s="301"/>
      <c r="P20" s="301"/>
      <c r="Q20" s="278"/>
      <c r="R20" s="279"/>
      <c r="S20" s="280"/>
      <c r="T20" s="280"/>
      <c r="U20" s="280"/>
      <c r="V20" s="280"/>
      <c r="W20" s="280"/>
      <c r="X20" s="280"/>
      <c r="Y20" s="236"/>
      <c r="Z20" s="236"/>
      <c r="AA20" s="236" t="s">
        <v>85</v>
      </c>
      <c r="AB20" s="237">
        <v>40</v>
      </c>
      <c r="AC20" s="237">
        <v>25</v>
      </c>
      <c r="AD20" s="237">
        <v>15</v>
      </c>
      <c r="AE20" s="237">
        <v>8</v>
      </c>
      <c r="AF20" s="237">
        <v>4</v>
      </c>
      <c r="AG20" s="237">
        <v>2</v>
      </c>
      <c r="AH20" s="237">
        <v>1</v>
      </c>
      <c r="AI20" s="234"/>
      <c r="AJ20" s="234"/>
      <c r="AK20" s="234"/>
      <c r="AL20" s="280"/>
      <c r="AM20" s="280"/>
      <c r="AN20" s="280"/>
      <c r="AO20" s="280"/>
      <c r="AP20" s="280"/>
      <c r="AQ20" s="280"/>
      <c r="AR20" s="280"/>
      <c r="AS20" s="280"/>
    </row>
    <row r="21" spans="1:45" s="282" customFormat="1" ht="13.05" customHeight="1" x14ac:dyDescent="0.25">
      <c r="A21" s="311">
        <v>8</v>
      </c>
      <c r="B21" s="270" t="str">
        <f>IF($E21="","",VLOOKUP($E21,'[14]1MD ELO'!$A$7:$O$22,14))</f>
        <v/>
      </c>
      <c r="C21" s="271" t="str">
        <f>IF($E21="","",VLOOKUP($E21,'[14]1MD ELO'!$A$7:$O$22,15))</f>
        <v/>
      </c>
      <c r="D21" s="271" t="str">
        <f>IF($E21="","",VLOOKUP($E21,'[14]1MD ELO'!$A$7:$O$22,5))</f>
        <v/>
      </c>
      <c r="E21" s="272"/>
      <c r="F21" s="312"/>
      <c r="G21" s="312"/>
      <c r="H21" s="312"/>
      <c r="I21" s="312" t="str">
        <f>IF($E21="","",VLOOKUP($E21,'[14]1MD ELO'!$A$7:$O$22,4))</f>
        <v/>
      </c>
      <c r="J21" s="306"/>
      <c r="K21" s="275"/>
      <c r="L21" s="275"/>
      <c r="M21" s="275"/>
      <c r="N21" s="301"/>
      <c r="O21" s="301"/>
      <c r="P21" s="301"/>
      <c r="Q21" s="278"/>
      <c r="R21" s="279"/>
      <c r="S21" s="280"/>
      <c r="T21" s="280"/>
      <c r="U21" s="280"/>
      <c r="V21" s="280"/>
      <c r="W21" s="280"/>
      <c r="X21" s="280"/>
      <c r="Y21" s="236"/>
      <c r="Z21" s="236"/>
      <c r="AA21" s="236" t="s">
        <v>86</v>
      </c>
      <c r="AB21" s="237">
        <v>25</v>
      </c>
      <c r="AC21" s="237">
        <v>15</v>
      </c>
      <c r="AD21" s="237">
        <v>10</v>
      </c>
      <c r="AE21" s="237">
        <v>6</v>
      </c>
      <c r="AF21" s="237">
        <v>3</v>
      </c>
      <c r="AG21" s="237">
        <v>1</v>
      </c>
      <c r="AH21" s="237">
        <v>0</v>
      </c>
      <c r="AI21" s="234"/>
      <c r="AJ21" s="234"/>
      <c r="AK21" s="234"/>
      <c r="AL21" s="280"/>
      <c r="AM21" s="280"/>
      <c r="AN21" s="280"/>
      <c r="AO21" s="280"/>
      <c r="AP21" s="280"/>
      <c r="AQ21" s="280"/>
      <c r="AR21" s="280"/>
      <c r="AS21" s="280"/>
    </row>
    <row r="22" spans="1:45" s="282" customFormat="1" ht="9.4499999999999993" customHeight="1" x14ac:dyDescent="0.25">
      <c r="A22" s="313"/>
      <c r="B22" s="276"/>
      <c r="C22" s="276"/>
      <c r="D22" s="276"/>
      <c r="E22" s="286"/>
      <c r="F22" s="276"/>
      <c r="G22" s="276"/>
      <c r="H22" s="276"/>
      <c r="I22" s="276"/>
      <c r="J22" s="286"/>
      <c r="K22" s="276"/>
      <c r="L22" s="276"/>
      <c r="M22" s="276"/>
      <c r="N22" s="278"/>
      <c r="O22" s="278"/>
      <c r="P22" s="278"/>
      <c r="Q22" s="278"/>
      <c r="R22" s="279"/>
      <c r="S22" s="280"/>
      <c r="T22" s="280"/>
      <c r="U22" s="280"/>
      <c r="V22" s="280"/>
      <c r="W22" s="280"/>
      <c r="X22" s="280"/>
      <c r="Y22" s="236"/>
      <c r="Z22" s="236"/>
      <c r="AA22" s="236" t="s">
        <v>87</v>
      </c>
      <c r="AB22" s="237">
        <v>15</v>
      </c>
      <c r="AC22" s="237">
        <v>10</v>
      </c>
      <c r="AD22" s="237">
        <v>6</v>
      </c>
      <c r="AE22" s="237">
        <v>3</v>
      </c>
      <c r="AF22" s="237">
        <v>1</v>
      </c>
      <c r="AG22" s="237">
        <v>0</v>
      </c>
      <c r="AH22" s="237">
        <v>0</v>
      </c>
      <c r="AI22" s="234"/>
      <c r="AJ22" s="234"/>
      <c r="AK22" s="234"/>
      <c r="AL22" s="280"/>
      <c r="AM22" s="280"/>
      <c r="AN22" s="280"/>
      <c r="AO22" s="280"/>
      <c r="AP22" s="280"/>
      <c r="AQ22" s="280"/>
      <c r="AR22" s="280"/>
      <c r="AS22" s="280"/>
    </row>
    <row r="23" spans="1:45" s="282" customFormat="1" ht="9.4499999999999993" customHeight="1" x14ac:dyDescent="0.25">
      <c r="A23" s="314"/>
      <c r="B23" s="286"/>
      <c r="C23" s="286"/>
      <c r="D23" s="286"/>
      <c r="E23" s="286"/>
      <c r="F23" s="276"/>
      <c r="G23" s="276"/>
      <c r="H23" s="280"/>
      <c r="I23" s="315"/>
      <c r="J23" s="286"/>
      <c r="K23" s="276"/>
      <c r="L23" s="276"/>
      <c r="M23" s="276"/>
      <c r="N23" s="278"/>
      <c r="O23" s="278"/>
      <c r="P23" s="278"/>
      <c r="Q23" s="278"/>
      <c r="R23" s="279"/>
      <c r="S23" s="280"/>
      <c r="T23" s="280"/>
      <c r="U23" s="280"/>
      <c r="V23" s="280"/>
      <c r="W23" s="280"/>
      <c r="X23" s="280"/>
      <c r="Y23" s="236"/>
      <c r="Z23" s="236"/>
      <c r="AA23" s="236" t="s">
        <v>88</v>
      </c>
      <c r="AB23" s="237">
        <v>10</v>
      </c>
      <c r="AC23" s="237">
        <v>6</v>
      </c>
      <c r="AD23" s="237">
        <v>3</v>
      </c>
      <c r="AE23" s="237">
        <v>1</v>
      </c>
      <c r="AF23" s="237">
        <v>0</v>
      </c>
      <c r="AG23" s="237">
        <v>0</v>
      </c>
      <c r="AH23" s="237">
        <v>0</v>
      </c>
      <c r="AI23" s="234"/>
      <c r="AJ23" s="234"/>
      <c r="AK23" s="234"/>
      <c r="AL23" s="280"/>
      <c r="AM23" s="280"/>
      <c r="AN23" s="280"/>
      <c r="AO23" s="280"/>
      <c r="AP23" s="280"/>
      <c r="AQ23" s="280"/>
      <c r="AR23" s="280"/>
      <c r="AS23" s="280"/>
    </row>
    <row r="24" spans="1:45" s="282" customFormat="1" ht="9.4499999999999993" customHeight="1" x14ac:dyDescent="0.25">
      <c r="A24" s="314"/>
      <c r="B24" s="276"/>
      <c r="C24" s="276"/>
      <c r="D24" s="276"/>
      <c r="E24" s="286"/>
      <c r="F24" s="276"/>
      <c r="G24" s="276"/>
      <c r="H24" s="276"/>
      <c r="I24" s="276"/>
      <c r="J24" s="286"/>
      <c r="K24" s="276"/>
      <c r="L24" s="316"/>
      <c r="M24" s="276"/>
      <c r="N24" s="278"/>
      <c r="O24" s="278"/>
      <c r="P24" s="278"/>
      <c r="Q24" s="278"/>
      <c r="R24" s="279"/>
      <c r="S24" s="280"/>
      <c r="T24" s="280"/>
      <c r="U24" s="280"/>
      <c r="V24" s="280"/>
      <c r="W24" s="280"/>
      <c r="X24" s="280"/>
      <c r="Y24" s="236"/>
      <c r="Z24" s="236"/>
      <c r="AA24" s="236" t="s">
        <v>89</v>
      </c>
      <c r="AB24" s="237">
        <v>6</v>
      </c>
      <c r="AC24" s="237">
        <v>3</v>
      </c>
      <c r="AD24" s="237">
        <v>1</v>
      </c>
      <c r="AE24" s="237">
        <v>0</v>
      </c>
      <c r="AF24" s="237">
        <v>0</v>
      </c>
      <c r="AG24" s="237">
        <v>0</v>
      </c>
      <c r="AH24" s="237">
        <v>0</v>
      </c>
      <c r="AI24" s="234"/>
      <c r="AJ24" s="234"/>
      <c r="AK24" s="234"/>
      <c r="AL24" s="280"/>
      <c r="AM24" s="280"/>
      <c r="AN24" s="280"/>
      <c r="AO24" s="280"/>
      <c r="AP24" s="280"/>
      <c r="AQ24" s="280"/>
      <c r="AR24" s="280"/>
      <c r="AS24" s="280"/>
    </row>
    <row r="25" spans="1:45" s="282" customFormat="1" ht="9.4499999999999993" customHeight="1" x14ac:dyDescent="0.25">
      <c r="A25" s="314"/>
      <c r="B25" s="286"/>
      <c r="C25" s="286"/>
      <c r="D25" s="286"/>
      <c r="E25" s="286"/>
      <c r="F25" s="276"/>
      <c r="G25" s="276"/>
      <c r="H25" s="280"/>
      <c r="I25" s="276"/>
      <c r="J25" s="286"/>
      <c r="K25" s="315"/>
      <c r="L25" s="286"/>
      <c r="M25" s="276"/>
      <c r="N25" s="278"/>
      <c r="O25" s="278"/>
      <c r="P25" s="278"/>
      <c r="Q25" s="278"/>
      <c r="R25" s="279"/>
      <c r="S25" s="280"/>
      <c r="T25" s="280"/>
      <c r="U25" s="280"/>
      <c r="V25" s="280"/>
      <c r="W25" s="280"/>
      <c r="X25" s="280"/>
      <c r="Y25" s="236"/>
      <c r="Z25" s="236"/>
      <c r="AA25" s="236" t="s">
        <v>94</v>
      </c>
      <c r="AB25" s="237">
        <v>3</v>
      </c>
      <c r="AC25" s="237">
        <v>2</v>
      </c>
      <c r="AD25" s="237">
        <v>1</v>
      </c>
      <c r="AE25" s="237">
        <v>0</v>
      </c>
      <c r="AF25" s="237">
        <v>0</v>
      </c>
      <c r="AG25" s="237">
        <v>0</v>
      </c>
      <c r="AH25" s="237">
        <v>0</v>
      </c>
      <c r="AI25" s="234"/>
      <c r="AJ25" s="234"/>
      <c r="AK25" s="234"/>
      <c r="AL25" s="280"/>
      <c r="AM25" s="280"/>
      <c r="AN25" s="280"/>
      <c r="AO25" s="280"/>
      <c r="AP25" s="280"/>
      <c r="AQ25" s="280"/>
      <c r="AR25" s="280"/>
      <c r="AS25" s="280"/>
    </row>
    <row r="26" spans="1:45" s="282" customFormat="1" ht="9.4499999999999993" customHeight="1" x14ac:dyDescent="0.25">
      <c r="A26" s="314"/>
      <c r="B26" s="276"/>
      <c r="C26" s="276"/>
      <c r="D26" s="276"/>
      <c r="E26" s="286"/>
      <c r="F26" s="276"/>
      <c r="G26" s="276"/>
      <c r="H26" s="276"/>
      <c r="I26" s="276"/>
      <c r="J26" s="286"/>
      <c r="K26" s="276"/>
      <c r="L26" s="276"/>
      <c r="M26" s="276"/>
      <c r="N26" s="278"/>
      <c r="O26" s="278"/>
      <c r="P26" s="278"/>
      <c r="Q26" s="278"/>
      <c r="R26" s="279"/>
      <c r="S26" s="317"/>
      <c r="T26" s="280"/>
      <c r="U26" s="280"/>
      <c r="V26" s="280"/>
      <c r="W26" s="280"/>
      <c r="X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234"/>
      <c r="AJ26" s="234"/>
      <c r="AK26" s="234"/>
      <c r="AL26" s="280"/>
      <c r="AM26" s="280"/>
      <c r="AN26" s="280"/>
      <c r="AO26" s="280"/>
      <c r="AP26" s="280"/>
      <c r="AQ26" s="280"/>
      <c r="AR26" s="280"/>
      <c r="AS26" s="280"/>
    </row>
    <row r="27" spans="1:45" s="282" customFormat="1" ht="9.4499999999999993" customHeight="1" x14ac:dyDescent="0.25">
      <c r="A27" s="314"/>
      <c r="B27" s="286"/>
      <c r="C27" s="286"/>
      <c r="D27" s="286"/>
      <c r="E27" s="286"/>
      <c r="F27" s="276"/>
      <c r="G27" s="276"/>
      <c r="H27" s="280"/>
      <c r="I27" s="315"/>
      <c r="J27" s="286"/>
      <c r="K27" s="276"/>
      <c r="L27" s="276"/>
      <c r="M27" s="276"/>
      <c r="N27" s="278"/>
      <c r="O27" s="278"/>
      <c r="P27" s="278"/>
      <c r="Q27" s="278"/>
      <c r="R27" s="279"/>
      <c r="S27" s="280"/>
      <c r="T27" s="280"/>
      <c r="U27" s="280"/>
      <c r="V27" s="280"/>
      <c r="W27" s="280"/>
      <c r="X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234"/>
      <c r="AJ27" s="234"/>
      <c r="AK27" s="234"/>
      <c r="AL27" s="280"/>
      <c r="AM27" s="280"/>
      <c r="AN27" s="280"/>
      <c r="AO27" s="280"/>
      <c r="AP27" s="280"/>
      <c r="AQ27" s="280"/>
      <c r="AR27" s="280"/>
      <c r="AS27" s="280"/>
    </row>
    <row r="28" spans="1:45" s="282" customFormat="1" ht="9.4499999999999993" customHeight="1" x14ac:dyDescent="0.25">
      <c r="A28" s="314"/>
      <c r="B28" s="276"/>
      <c r="C28" s="276"/>
      <c r="D28" s="276"/>
      <c r="E28" s="286"/>
      <c r="F28" s="276"/>
      <c r="G28" s="276"/>
      <c r="H28" s="276"/>
      <c r="I28" s="276"/>
      <c r="J28" s="286"/>
      <c r="K28" s="276"/>
      <c r="L28" s="276"/>
      <c r="M28" s="276"/>
      <c r="N28" s="278"/>
      <c r="O28" s="278"/>
      <c r="P28" s="278"/>
      <c r="Q28" s="278"/>
      <c r="R28" s="279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</row>
    <row r="29" spans="1:45" s="282" customFormat="1" ht="9.4499999999999993" customHeight="1" x14ac:dyDescent="0.25">
      <c r="A29" s="314"/>
      <c r="B29" s="286"/>
      <c r="C29" s="286"/>
      <c r="D29" s="286"/>
      <c r="E29" s="286"/>
      <c r="F29" s="276"/>
      <c r="G29" s="276"/>
      <c r="H29" s="280"/>
      <c r="I29" s="276"/>
      <c r="J29" s="286"/>
      <c r="K29" s="276"/>
      <c r="L29" s="276"/>
      <c r="M29" s="315"/>
      <c r="N29" s="286"/>
      <c r="O29" s="276"/>
      <c r="P29" s="278"/>
      <c r="Q29" s="278"/>
      <c r="R29" s="279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</row>
    <row r="30" spans="1:45" s="282" customFormat="1" ht="9.4499999999999993" customHeight="1" x14ac:dyDescent="0.25">
      <c r="A30" s="314"/>
      <c r="B30" s="276"/>
      <c r="C30" s="276"/>
      <c r="D30" s="276"/>
      <c r="E30" s="286"/>
      <c r="F30" s="276"/>
      <c r="G30" s="276"/>
      <c r="H30" s="276"/>
      <c r="I30" s="276"/>
      <c r="J30" s="286"/>
      <c r="K30" s="276"/>
      <c r="L30" s="276"/>
      <c r="M30" s="276"/>
      <c r="N30" s="278"/>
      <c r="O30" s="276"/>
      <c r="P30" s="278"/>
      <c r="Q30" s="278"/>
      <c r="R30" s="279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</row>
    <row r="31" spans="1:45" s="282" customFormat="1" ht="9.4499999999999993" customHeight="1" x14ac:dyDescent="0.25">
      <c r="A31" s="314"/>
      <c r="B31" s="286"/>
      <c r="C31" s="286"/>
      <c r="D31" s="286"/>
      <c r="E31" s="286"/>
      <c r="F31" s="276"/>
      <c r="G31" s="276"/>
      <c r="H31" s="280"/>
      <c r="I31" s="315"/>
      <c r="J31" s="286"/>
      <c r="K31" s="276"/>
      <c r="L31" s="276"/>
      <c r="M31" s="276"/>
      <c r="N31" s="278"/>
      <c r="O31" s="278"/>
      <c r="P31" s="278"/>
      <c r="Q31" s="278"/>
      <c r="R31" s="279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</row>
    <row r="32" spans="1:45" s="282" customFormat="1" ht="9.4499999999999993" customHeight="1" x14ac:dyDescent="0.25">
      <c r="A32" s="314"/>
      <c r="B32" s="276"/>
      <c r="C32" s="276"/>
      <c r="D32" s="276"/>
      <c r="E32" s="286"/>
      <c r="F32" s="276"/>
      <c r="G32" s="276"/>
      <c r="H32" s="276"/>
      <c r="I32" s="276"/>
      <c r="J32" s="286"/>
      <c r="K32" s="276"/>
      <c r="L32" s="316"/>
      <c r="M32" s="276"/>
      <c r="N32" s="278"/>
      <c r="O32" s="278"/>
      <c r="P32" s="278"/>
      <c r="Q32" s="278"/>
      <c r="R32" s="279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</row>
    <row r="33" spans="1:45" s="282" customFormat="1" ht="9.4499999999999993" customHeight="1" x14ac:dyDescent="0.25">
      <c r="A33" s="314"/>
      <c r="B33" s="286"/>
      <c r="C33" s="286"/>
      <c r="D33" s="286"/>
      <c r="E33" s="286"/>
      <c r="F33" s="276"/>
      <c r="G33" s="276"/>
      <c r="H33" s="280"/>
      <c r="I33" s="276"/>
      <c r="J33" s="286"/>
      <c r="K33" s="315"/>
      <c r="L33" s="286"/>
      <c r="M33" s="276"/>
      <c r="N33" s="278"/>
      <c r="O33" s="278"/>
      <c r="P33" s="278"/>
      <c r="Q33" s="278"/>
      <c r="R33" s="279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</row>
    <row r="34" spans="1:45" s="282" customFormat="1" ht="9.4499999999999993" customHeight="1" x14ac:dyDescent="0.25">
      <c r="A34" s="314"/>
      <c r="B34" s="276"/>
      <c r="C34" s="276"/>
      <c r="D34" s="276"/>
      <c r="E34" s="286"/>
      <c r="F34" s="276"/>
      <c r="G34" s="276"/>
      <c r="H34" s="276"/>
      <c r="I34" s="276"/>
      <c r="J34" s="286"/>
      <c r="K34" s="276"/>
      <c r="L34" s="276"/>
      <c r="M34" s="276"/>
      <c r="N34" s="278"/>
      <c r="O34" s="278"/>
      <c r="P34" s="278"/>
      <c r="Q34" s="278"/>
      <c r="R34" s="279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</row>
    <row r="35" spans="1:45" s="282" customFormat="1" ht="9.4499999999999993" customHeight="1" x14ac:dyDescent="0.25">
      <c r="A35" s="314"/>
      <c r="B35" s="286"/>
      <c r="C35" s="286"/>
      <c r="D35" s="286"/>
      <c r="E35" s="286"/>
      <c r="F35" s="276"/>
      <c r="G35" s="276"/>
      <c r="H35" s="280"/>
      <c r="I35" s="315"/>
      <c r="J35" s="286"/>
      <c r="K35" s="276"/>
      <c r="L35" s="276"/>
      <c r="M35" s="276"/>
      <c r="N35" s="278"/>
      <c r="O35" s="278"/>
      <c r="P35" s="278"/>
      <c r="Q35" s="278"/>
      <c r="R35" s="279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</row>
    <row r="36" spans="1:45" s="282" customFormat="1" ht="9.4499999999999993" customHeight="1" x14ac:dyDescent="0.25">
      <c r="A36" s="313"/>
      <c r="B36" s="276"/>
      <c r="C36" s="276"/>
      <c r="D36" s="276"/>
      <c r="E36" s="286"/>
      <c r="F36" s="276"/>
      <c r="G36" s="276"/>
      <c r="H36" s="276"/>
      <c r="I36" s="276"/>
      <c r="J36" s="286"/>
      <c r="K36" s="276"/>
      <c r="L36" s="276"/>
      <c r="M36" s="276"/>
      <c r="N36" s="276"/>
      <c r="O36" s="276"/>
      <c r="P36" s="276"/>
      <c r="Q36" s="278"/>
      <c r="R36" s="279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</row>
    <row r="37" spans="1:45" s="282" customFormat="1" ht="9.4499999999999993" customHeight="1" x14ac:dyDescent="0.25">
      <c r="A37" s="314"/>
      <c r="B37" s="286"/>
      <c r="C37" s="286"/>
      <c r="D37" s="286"/>
      <c r="E37" s="286"/>
      <c r="F37" s="318"/>
      <c r="G37" s="318"/>
      <c r="H37" s="319"/>
      <c r="I37" s="275"/>
      <c r="J37" s="298"/>
      <c r="K37" s="275"/>
      <c r="L37" s="275"/>
      <c r="M37" s="275"/>
      <c r="N37" s="301"/>
      <c r="O37" s="301"/>
      <c r="P37" s="301"/>
      <c r="Q37" s="278"/>
      <c r="R37" s="279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</row>
    <row r="38" spans="1:45" s="282" customFormat="1" ht="9.4499999999999993" customHeight="1" x14ac:dyDescent="0.25">
      <c r="A38" s="313"/>
      <c r="B38" s="276"/>
      <c r="C38" s="276"/>
      <c r="D38" s="276"/>
      <c r="E38" s="286"/>
      <c r="F38" s="276"/>
      <c r="G38" s="276"/>
      <c r="H38" s="276"/>
      <c r="I38" s="276"/>
      <c r="J38" s="286"/>
      <c r="K38" s="276"/>
      <c r="L38" s="276"/>
      <c r="M38" s="276"/>
      <c r="N38" s="278"/>
      <c r="O38" s="278"/>
      <c r="P38" s="278"/>
      <c r="Q38" s="278"/>
      <c r="R38" s="279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</row>
    <row r="39" spans="1:45" s="282" customFormat="1" ht="9.4499999999999993" customHeight="1" x14ac:dyDescent="0.25">
      <c r="A39" s="314"/>
      <c r="B39" s="286"/>
      <c r="C39" s="286"/>
      <c r="D39" s="286"/>
      <c r="E39" s="286"/>
      <c r="F39" s="276"/>
      <c r="G39" s="276"/>
      <c r="H39" s="280"/>
      <c r="I39" s="315"/>
      <c r="J39" s="286"/>
      <c r="K39" s="276"/>
      <c r="L39" s="276"/>
      <c r="M39" s="276"/>
      <c r="N39" s="278"/>
      <c r="O39" s="278"/>
      <c r="P39" s="278"/>
      <c r="Q39" s="278"/>
      <c r="R39" s="279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</row>
    <row r="40" spans="1:45" s="282" customFormat="1" ht="9.4499999999999993" customHeight="1" x14ac:dyDescent="0.25">
      <c r="A40" s="314"/>
      <c r="B40" s="276"/>
      <c r="C40" s="276"/>
      <c r="D40" s="276"/>
      <c r="E40" s="286"/>
      <c r="F40" s="276"/>
      <c r="G40" s="276"/>
      <c r="H40" s="276"/>
      <c r="I40" s="276"/>
      <c r="J40" s="286"/>
      <c r="K40" s="276"/>
      <c r="L40" s="316"/>
      <c r="M40" s="276"/>
      <c r="N40" s="278"/>
      <c r="O40" s="278"/>
      <c r="P40" s="278"/>
      <c r="Q40" s="278"/>
      <c r="R40" s="279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</row>
    <row r="41" spans="1:45" s="282" customFormat="1" ht="9.4499999999999993" customHeight="1" x14ac:dyDescent="0.25">
      <c r="A41" s="314"/>
      <c r="B41" s="286"/>
      <c r="C41" s="286"/>
      <c r="D41" s="286"/>
      <c r="E41" s="286"/>
      <c r="F41" s="276"/>
      <c r="G41" s="276"/>
      <c r="H41" s="280"/>
      <c r="I41" s="276"/>
      <c r="J41" s="286"/>
      <c r="K41" s="315"/>
      <c r="L41" s="286"/>
      <c r="M41" s="276"/>
      <c r="N41" s="278"/>
      <c r="O41" s="278"/>
      <c r="P41" s="278"/>
      <c r="Q41" s="278"/>
      <c r="R41" s="279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</row>
    <row r="42" spans="1:45" s="282" customFormat="1" ht="9.4499999999999993" customHeight="1" x14ac:dyDescent="0.25">
      <c r="A42" s="314"/>
      <c r="B42" s="276"/>
      <c r="C42" s="276"/>
      <c r="D42" s="276"/>
      <c r="E42" s="286"/>
      <c r="F42" s="276"/>
      <c r="G42" s="276"/>
      <c r="H42" s="276"/>
      <c r="I42" s="276"/>
      <c r="J42" s="286"/>
      <c r="K42" s="276"/>
      <c r="L42" s="276"/>
      <c r="M42" s="276"/>
      <c r="N42" s="278"/>
      <c r="O42" s="278"/>
      <c r="P42" s="278"/>
      <c r="Q42" s="278"/>
      <c r="R42" s="279"/>
      <c r="S42" s="317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</row>
    <row r="43" spans="1:45" s="282" customFormat="1" ht="9.4499999999999993" customHeight="1" x14ac:dyDescent="0.25">
      <c r="A43" s="314"/>
      <c r="B43" s="286"/>
      <c r="C43" s="286"/>
      <c r="D43" s="286"/>
      <c r="E43" s="286"/>
      <c r="F43" s="276"/>
      <c r="G43" s="276"/>
      <c r="H43" s="280"/>
      <c r="I43" s="315"/>
      <c r="J43" s="286"/>
      <c r="K43" s="276"/>
      <c r="L43" s="276"/>
      <c r="M43" s="276"/>
      <c r="N43" s="278"/>
      <c r="O43" s="278"/>
      <c r="P43" s="278"/>
      <c r="Q43" s="278"/>
      <c r="R43" s="279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</row>
    <row r="44" spans="1:45" s="282" customFormat="1" ht="9.4499999999999993" customHeight="1" x14ac:dyDescent="0.25">
      <c r="A44" s="314"/>
      <c r="B44" s="276"/>
      <c r="C44" s="276"/>
      <c r="D44" s="276"/>
      <c r="E44" s="286"/>
      <c r="F44" s="276"/>
      <c r="G44" s="276"/>
      <c r="H44" s="276"/>
      <c r="I44" s="276"/>
      <c r="J44" s="286"/>
      <c r="K44" s="276"/>
      <c r="L44" s="276"/>
      <c r="M44" s="276"/>
      <c r="N44" s="278"/>
      <c r="O44" s="278"/>
      <c r="P44" s="278"/>
      <c r="Q44" s="278"/>
      <c r="R44" s="279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</row>
    <row r="45" spans="1:45" s="282" customFormat="1" ht="9.4499999999999993" customHeight="1" x14ac:dyDescent="0.25">
      <c r="A45" s="314"/>
      <c r="B45" s="286"/>
      <c r="C45" s="286"/>
      <c r="D45" s="286"/>
      <c r="E45" s="286"/>
      <c r="F45" s="276"/>
      <c r="G45" s="276"/>
      <c r="H45" s="280"/>
      <c r="I45" s="276"/>
      <c r="J45" s="286"/>
      <c r="K45" s="276"/>
      <c r="L45" s="276"/>
      <c r="M45" s="315"/>
      <c r="N45" s="286"/>
      <c r="O45" s="276"/>
      <c r="P45" s="278"/>
      <c r="Q45" s="278"/>
      <c r="R45" s="279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</row>
    <row r="46" spans="1:45" s="282" customFormat="1" ht="9.4499999999999993" customHeight="1" x14ac:dyDescent="0.25">
      <c r="A46" s="314"/>
      <c r="B46" s="276"/>
      <c r="C46" s="276"/>
      <c r="D46" s="276"/>
      <c r="E46" s="286"/>
      <c r="F46" s="276"/>
      <c r="G46" s="276"/>
      <c r="H46" s="276"/>
      <c r="I46" s="276"/>
      <c r="J46" s="286"/>
      <c r="K46" s="276"/>
      <c r="L46" s="276"/>
      <c r="M46" s="276"/>
      <c r="N46" s="278"/>
      <c r="O46" s="276"/>
      <c r="P46" s="278"/>
      <c r="Q46" s="278"/>
      <c r="R46" s="279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</row>
    <row r="47" spans="1:45" s="282" customFormat="1" ht="9.4499999999999993" customHeight="1" x14ac:dyDescent="0.25">
      <c r="A47" s="314"/>
      <c r="B47" s="286"/>
      <c r="C47" s="286"/>
      <c r="D47" s="286"/>
      <c r="E47" s="286"/>
      <c r="F47" s="276"/>
      <c r="G47" s="276"/>
      <c r="H47" s="280"/>
      <c r="I47" s="315"/>
      <c r="J47" s="286"/>
      <c r="K47" s="276"/>
      <c r="L47" s="276"/>
      <c r="M47" s="276"/>
      <c r="N47" s="278"/>
      <c r="O47" s="278"/>
      <c r="P47" s="278"/>
      <c r="Q47" s="278"/>
      <c r="R47" s="279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</row>
    <row r="48" spans="1:45" s="282" customFormat="1" ht="9.4499999999999993" customHeight="1" x14ac:dyDescent="0.25">
      <c r="A48" s="314"/>
      <c r="B48" s="276"/>
      <c r="C48" s="276"/>
      <c r="D48" s="276"/>
      <c r="E48" s="286"/>
      <c r="F48" s="276"/>
      <c r="G48" s="276"/>
      <c r="H48" s="276"/>
      <c r="I48" s="276"/>
      <c r="J48" s="286"/>
      <c r="K48" s="276"/>
      <c r="L48" s="316"/>
      <c r="M48" s="276"/>
      <c r="N48" s="278"/>
      <c r="O48" s="278"/>
      <c r="P48" s="278"/>
      <c r="Q48" s="278"/>
      <c r="R48" s="279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</row>
    <row r="49" spans="1:45" s="282" customFormat="1" ht="9.4499999999999993" customHeight="1" x14ac:dyDescent="0.25">
      <c r="A49" s="314"/>
      <c r="B49" s="286"/>
      <c r="C49" s="286"/>
      <c r="D49" s="286"/>
      <c r="E49" s="286"/>
      <c r="F49" s="276"/>
      <c r="G49" s="276"/>
      <c r="H49" s="280"/>
      <c r="I49" s="276"/>
      <c r="J49" s="286"/>
      <c r="K49" s="315"/>
      <c r="L49" s="286"/>
      <c r="M49" s="276"/>
      <c r="N49" s="278"/>
      <c r="O49" s="278"/>
      <c r="P49" s="278"/>
      <c r="Q49" s="278"/>
      <c r="R49" s="279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</row>
    <row r="50" spans="1:45" s="282" customFormat="1" ht="9.4499999999999993" customHeight="1" x14ac:dyDescent="0.25">
      <c r="A50" s="314"/>
      <c r="B50" s="276"/>
      <c r="C50" s="276"/>
      <c r="D50" s="276"/>
      <c r="E50" s="286"/>
      <c r="F50" s="276"/>
      <c r="G50" s="276"/>
      <c r="H50" s="276"/>
      <c r="I50" s="276"/>
      <c r="J50" s="286"/>
      <c r="K50" s="276"/>
      <c r="L50" s="276"/>
      <c r="M50" s="276"/>
      <c r="N50" s="278"/>
      <c r="O50" s="278"/>
      <c r="P50" s="278"/>
      <c r="Q50" s="278"/>
      <c r="R50" s="279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</row>
    <row r="51" spans="1:45" s="282" customFormat="1" ht="9.4499999999999993" customHeight="1" x14ac:dyDescent="0.25">
      <c r="A51" s="314"/>
      <c r="B51" s="286"/>
      <c r="C51" s="286"/>
      <c r="D51" s="286"/>
      <c r="E51" s="286"/>
      <c r="F51" s="276"/>
      <c r="G51" s="276"/>
      <c r="H51" s="280"/>
      <c r="I51" s="315"/>
      <c r="J51" s="286"/>
      <c r="K51" s="276"/>
      <c r="L51" s="276"/>
      <c r="M51" s="276"/>
      <c r="N51" s="278"/>
      <c r="O51" s="278"/>
      <c r="P51" s="278"/>
      <c r="Q51" s="278"/>
      <c r="R51" s="279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</row>
    <row r="52" spans="1:45" s="282" customFormat="1" ht="9.4499999999999993" customHeight="1" x14ac:dyDescent="0.25">
      <c r="A52" s="313"/>
      <c r="B52" s="276"/>
      <c r="C52" s="276"/>
      <c r="D52" s="276"/>
      <c r="E52" s="286"/>
      <c r="F52" s="320"/>
      <c r="G52" s="320"/>
      <c r="H52" s="320"/>
      <c r="I52" s="320"/>
      <c r="J52" s="286"/>
      <c r="K52" s="276"/>
      <c r="L52" s="276"/>
      <c r="M52" s="276"/>
      <c r="N52" s="276"/>
      <c r="O52" s="276"/>
      <c r="P52" s="276"/>
      <c r="Q52" s="278"/>
      <c r="R52" s="279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</row>
    <row r="53" spans="1:45" s="327" customFormat="1" ht="6.75" customHeight="1" x14ac:dyDescent="0.25">
      <c r="A53" s="321"/>
      <c r="B53" s="321"/>
      <c r="C53" s="321"/>
      <c r="D53" s="321"/>
      <c r="E53" s="321"/>
      <c r="F53" s="322"/>
      <c r="G53" s="322"/>
      <c r="H53" s="322"/>
      <c r="I53" s="322"/>
      <c r="J53" s="323"/>
      <c r="K53" s="324"/>
      <c r="L53" s="325"/>
      <c r="M53" s="324"/>
      <c r="N53" s="325"/>
      <c r="O53" s="324"/>
      <c r="P53" s="325"/>
      <c r="Q53" s="324"/>
      <c r="R53" s="325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280"/>
      <c r="AJ53" s="280"/>
      <c r="AK53" s="280"/>
      <c r="AL53" s="326"/>
      <c r="AM53" s="326"/>
      <c r="AN53" s="326"/>
      <c r="AO53" s="326"/>
      <c r="AP53" s="326"/>
      <c r="AQ53" s="326"/>
      <c r="AR53" s="326"/>
      <c r="AS53" s="326"/>
    </row>
    <row r="54" spans="1:45" s="340" customFormat="1" ht="10.5" customHeight="1" x14ac:dyDescent="0.25">
      <c r="A54" s="328" t="s">
        <v>32</v>
      </c>
      <c r="B54" s="329"/>
      <c r="C54" s="329"/>
      <c r="D54" s="330"/>
      <c r="E54" s="331" t="s">
        <v>3</v>
      </c>
      <c r="F54" s="332" t="s">
        <v>34</v>
      </c>
      <c r="G54" s="331"/>
      <c r="H54" s="333"/>
      <c r="I54" s="334"/>
      <c r="J54" s="331" t="s">
        <v>3</v>
      </c>
      <c r="K54" s="332" t="s">
        <v>41</v>
      </c>
      <c r="L54" s="335"/>
      <c r="M54" s="332" t="s">
        <v>42</v>
      </c>
      <c r="N54" s="336"/>
      <c r="O54" s="337" t="s">
        <v>43</v>
      </c>
      <c r="P54" s="337"/>
      <c r="Q54" s="338"/>
      <c r="R54" s="339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2"/>
      <c r="AJ54" s="342"/>
      <c r="AK54" s="342"/>
      <c r="AL54" s="341"/>
      <c r="AM54" s="341"/>
      <c r="AN54" s="341"/>
      <c r="AO54" s="341"/>
      <c r="AP54" s="341"/>
      <c r="AQ54" s="341"/>
      <c r="AR54" s="341"/>
      <c r="AS54" s="341"/>
    </row>
    <row r="55" spans="1:45" s="340" customFormat="1" ht="9" customHeight="1" x14ac:dyDescent="0.25">
      <c r="A55" s="343" t="s">
        <v>33</v>
      </c>
      <c r="B55" s="344"/>
      <c r="C55" s="345"/>
      <c r="D55" s="346"/>
      <c r="E55" s="347">
        <v>1</v>
      </c>
      <c r="F55" s="341" t="str">
        <f>IF(E55&gt;$R$62,,UPPER(VLOOKUP(E55,'[14]1MD ELO'!$A$7:$Q$134,2)))</f>
        <v/>
      </c>
      <c r="G55" s="347"/>
      <c r="H55" s="341"/>
      <c r="I55" s="348"/>
      <c r="J55" s="349" t="s">
        <v>4</v>
      </c>
      <c r="K55" s="350"/>
      <c r="L55" s="351"/>
      <c r="M55" s="350"/>
      <c r="N55" s="352"/>
      <c r="O55" s="353" t="s">
        <v>35</v>
      </c>
      <c r="P55" s="354"/>
      <c r="Q55" s="354"/>
      <c r="R55" s="352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2"/>
      <c r="AJ55" s="342"/>
      <c r="AK55" s="342"/>
      <c r="AL55" s="341"/>
      <c r="AM55" s="341"/>
      <c r="AN55" s="341"/>
      <c r="AO55" s="341"/>
      <c r="AP55" s="341"/>
      <c r="AQ55" s="341"/>
      <c r="AR55" s="341"/>
      <c r="AS55" s="341"/>
    </row>
    <row r="56" spans="1:45" s="340" customFormat="1" ht="9" customHeight="1" x14ac:dyDescent="0.25">
      <c r="A56" s="355" t="s">
        <v>40</v>
      </c>
      <c r="B56" s="356"/>
      <c r="C56" s="357"/>
      <c r="D56" s="358"/>
      <c r="E56" s="347">
        <v>2</v>
      </c>
      <c r="F56" s="341" t="str">
        <f>IF(E56&gt;$R$62,,UPPER(VLOOKUP(E56,'[14]1MD ELO'!$A$7:$Q$134,2)))</f>
        <v/>
      </c>
      <c r="G56" s="347"/>
      <c r="H56" s="341"/>
      <c r="I56" s="348"/>
      <c r="J56" s="349" t="s">
        <v>5</v>
      </c>
      <c r="K56" s="350"/>
      <c r="L56" s="351"/>
      <c r="M56" s="350"/>
      <c r="N56" s="352"/>
      <c r="O56" s="359"/>
      <c r="P56" s="360"/>
      <c r="Q56" s="356"/>
      <c r="R56" s="36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2"/>
      <c r="AJ56" s="342"/>
      <c r="AK56" s="342"/>
      <c r="AL56" s="341"/>
      <c r="AM56" s="341"/>
      <c r="AN56" s="341"/>
      <c r="AO56" s="341"/>
      <c r="AP56" s="341"/>
      <c r="AQ56" s="341"/>
      <c r="AR56" s="341"/>
      <c r="AS56" s="341"/>
    </row>
    <row r="57" spans="1:45" s="340" customFormat="1" ht="9" customHeight="1" x14ac:dyDescent="0.25">
      <c r="A57" s="362"/>
      <c r="B57" s="363"/>
      <c r="C57" s="364"/>
      <c r="D57" s="365"/>
      <c r="E57" s="347"/>
      <c r="F57" s="341"/>
      <c r="G57" s="347"/>
      <c r="H57" s="341"/>
      <c r="I57" s="348"/>
      <c r="J57" s="349" t="s">
        <v>6</v>
      </c>
      <c r="K57" s="350"/>
      <c r="L57" s="351"/>
      <c r="M57" s="350"/>
      <c r="N57" s="352"/>
      <c r="O57" s="353" t="s">
        <v>36</v>
      </c>
      <c r="P57" s="354"/>
      <c r="Q57" s="354"/>
      <c r="R57" s="352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2"/>
      <c r="AJ57" s="342"/>
      <c r="AK57" s="342"/>
      <c r="AL57" s="341"/>
      <c r="AM57" s="341"/>
      <c r="AN57" s="341"/>
      <c r="AO57" s="341"/>
      <c r="AP57" s="341"/>
      <c r="AQ57" s="341"/>
      <c r="AR57" s="341"/>
      <c r="AS57" s="341"/>
    </row>
    <row r="58" spans="1:45" s="340" customFormat="1" ht="9" customHeight="1" x14ac:dyDescent="0.25">
      <c r="A58" s="366"/>
      <c r="B58" s="252"/>
      <c r="C58" s="252"/>
      <c r="D58" s="367"/>
      <c r="E58" s="347"/>
      <c r="F58" s="341"/>
      <c r="G58" s="347"/>
      <c r="H58" s="341"/>
      <c r="I58" s="348"/>
      <c r="J58" s="349" t="s">
        <v>7</v>
      </c>
      <c r="K58" s="350"/>
      <c r="L58" s="351"/>
      <c r="M58" s="350"/>
      <c r="N58" s="352"/>
      <c r="O58" s="350"/>
      <c r="P58" s="351"/>
      <c r="Q58" s="350"/>
      <c r="R58" s="352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2"/>
      <c r="AJ58" s="342"/>
      <c r="AK58" s="342"/>
      <c r="AL58" s="341"/>
      <c r="AM58" s="341"/>
      <c r="AN58" s="341"/>
      <c r="AO58" s="341"/>
      <c r="AP58" s="341"/>
      <c r="AQ58" s="341"/>
      <c r="AR58" s="341"/>
      <c r="AS58" s="341"/>
    </row>
    <row r="59" spans="1:45" s="340" customFormat="1" ht="9" customHeight="1" x14ac:dyDescent="0.25">
      <c r="A59" s="368"/>
      <c r="B59" s="369"/>
      <c r="C59" s="369"/>
      <c r="D59" s="370"/>
      <c r="E59" s="347"/>
      <c r="F59" s="341"/>
      <c r="G59" s="347"/>
      <c r="H59" s="341"/>
      <c r="I59" s="348"/>
      <c r="J59" s="349" t="s">
        <v>8</v>
      </c>
      <c r="K59" s="350"/>
      <c r="L59" s="351"/>
      <c r="M59" s="350"/>
      <c r="N59" s="352"/>
      <c r="O59" s="356"/>
      <c r="P59" s="360"/>
      <c r="Q59" s="356"/>
      <c r="R59" s="36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J59" s="342"/>
      <c r="AK59" s="342"/>
      <c r="AL59" s="341"/>
      <c r="AM59" s="341"/>
      <c r="AN59" s="341"/>
      <c r="AO59" s="341"/>
      <c r="AP59" s="341"/>
      <c r="AQ59" s="341"/>
      <c r="AR59" s="341"/>
      <c r="AS59" s="341"/>
    </row>
    <row r="60" spans="1:45" s="340" customFormat="1" ht="9" customHeight="1" x14ac:dyDescent="0.25">
      <c r="A60" s="371"/>
      <c r="B60" s="372"/>
      <c r="C60" s="252"/>
      <c r="D60" s="367"/>
      <c r="E60" s="347"/>
      <c r="F60" s="341"/>
      <c r="G60" s="347"/>
      <c r="H60" s="341"/>
      <c r="I60" s="348"/>
      <c r="J60" s="349" t="s">
        <v>9</v>
      </c>
      <c r="K60" s="350"/>
      <c r="L60" s="351"/>
      <c r="M60" s="350"/>
      <c r="N60" s="352"/>
      <c r="O60" s="353" t="s">
        <v>28</v>
      </c>
      <c r="P60" s="354"/>
      <c r="Q60" s="354"/>
      <c r="R60" s="352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2"/>
      <c r="AJ60" s="342"/>
      <c r="AK60" s="342"/>
      <c r="AL60" s="341"/>
      <c r="AM60" s="341"/>
      <c r="AN60" s="341"/>
      <c r="AO60" s="341"/>
      <c r="AP60" s="341"/>
      <c r="AQ60" s="341"/>
      <c r="AR60" s="341"/>
      <c r="AS60" s="341"/>
    </row>
    <row r="61" spans="1:45" s="340" customFormat="1" ht="9" customHeight="1" x14ac:dyDescent="0.25">
      <c r="A61" s="371"/>
      <c r="B61" s="372"/>
      <c r="C61" s="373"/>
      <c r="D61" s="374"/>
      <c r="E61" s="347"/>
      <c r="F61" s="341"/>
      <c r="G61" s="347"/>
      <c r="H61" s="341"/>
      <c r="I61" s="348"/>
      <c r="J61" s="349" t="s">
        <v>10</v>
      </c>
      <c r="K61" s="350"/>
      <c r="L61" s="351"/>
      <c r="M61" s="350"/>
      <c r="N61" s="352"/>
      <c r="O61" s="350"/>
      <c r="P61" s="351"/>
      <c r="Q61" s="350"/>
      <c r="R61" s="352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2"/>
      <c r="AJ61" s="342"/>
      <c r="AK61" s="342"/>
      <c r="AL61" s="341"/>
      <c r="AM61" s="341"/>
      <c r="AN61" s="341"/>
      <c r="AO61" s="341"/>
      <c r="AP61" s="341"/>
      <c r="AQ61" s="341"/>
      <c r="AR61" s="341"/>
      <c r="AS61" s="341"/>
    </row>
    <row r="62" spans="1:45" s="340" customFormat="1" ht="9" customHeight="1" x14ac:dyDescent="0.25">
      <c r="A62" s="375"/>
      <c r="B62" s="376"/>
      <c r="C62" s="377"/>
      <c r="D62" s="378"/>
      <c r="E62" s="379"/>
      <c r="F62" s="359"/>
      <c r="G62" s="379"/>
      <c r="H62" s="359"/>
      <c r="I62" s="380"/>
      <c r="J62" s="381" t="s">
        <v>11</v>
      </c>
      <c r="K62" s="356"/>
      <c r="L62" s="360"/>
      <c r="M62" s="356"/>
      <c r="N62" s="361"/>
      <c r="O62" s="356">
        <f>R4</f>
        <v>0</v>
      </c>
      <c r="P62" s="360"/>
      <c r="Q62" s="356"/>
      <c r="R62" s="382">
        <f>MIN(4,'[14]1MD ELO'!Q5)</f>
        <v>4</v>
      </c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2"/>
      <c r="AJ62" s="342"/>
      <c r="AK62" s="342"/>
      <c r="AL62" s="341"/>
      <c r="AM62" s="341"/>
      <c r="AN62" s="341"/>
      <c r="AO62" s="341"/>
      <c r="AP62" s="341"/>
      <c r="AQ62" s="341"/>
      <c r="AR62" s="341"/>
      <c r="AS62" s="341"/>
    </row>
    <row r="63" spans="1:45" x14ac:dyDescent="0.25"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L63" s="385"/>
      <c r="AM63" s="385"/>
      <c r="AN63" s="385"/>
      <c r="AO63" s="385"/>
      <c r="AP63" s="385"/>
      <c r="AQ63" s="385"/>
      <c r="AR63" s="385"/>
      <c r="AS63" s="385"/>
    </row>
    <row r="64" spans="1:45" x14ac:dyDescent="0.25"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L64" s="385"/>
      <c r="AM64" s="385"/>
      <c r="AN64" s="385"/>
      <c r="AO64" s="385"/>
      <c r="AP64" s="385"/>
      <c r="AQ64" s="385"/>
      <c r="AR64" s="385"/>
      <c r="AS64" s="385"/>
    </row>
    <row r="65" spans="20:45" x14ac:dyDescent="0.25"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L65" s="385"/>
      <c r="AM65" s="385"/>
      <c r="AN65" s="385"/>
      <c r="AO65" s="385"/>
      <c r="AP65" s="385"/>
      <c r="AQ65" s="385"/>
      <c r="AR65" s="385"/>
      <c r="AS65" s="385"/>
    </row>
    <row r="66" spans="20:45" x14ac:dyDescent="0.25"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385"/>
      <c r="AH66" s="385"/>
      <c r="AL66" s="385"/>
      <c r="AM66" s="385"/>
      <c r="AN66" s="385"/>
      <c r="AO66" s="385"/>
      <c r="AP66" s="385"/>
      <c r="AQ66" s="385"/>
      <c r="AR66" s="385"/>
      <c r="AS66" s="385"/>
    </row>
    <row r="67" spans="20:45" x14ac:dyDescent="0.25"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385"/>
      <c r="AH67" s="385"/>
      <c r="AL67" s="385"/>
      <c r="AM67" s="385"/>
      <c r="AN67" s="385"/>
      <c r="AO67" s="385"/>
      <c r="AP67" s="385"/>
      <c r="AQ67" s="385"/>
      <c r="AR67" s="385"/>
      <c r="AS67" s="385"/>
    </row>
    <row r="68" spans="20:45" x14ac:dyDescent="0.25"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385"/>
      <c r="AH68" s="385"/>
      <c r="AL68" s="385"/>
      <c r="AM68" s="385"/>
      <c r="AN68" s="385"/>
      <c r="AO68" s="385"/>
      <c r="AP68" s="385"/>
      <c r="AQ68" s="385"/>
      <c r="AR68" s="385"/>
      <c r="AS68" s="385"/>
    </row>
    <row r="69" spans="20:45" x14ac:dyDescent="0.25">
      <c r="T69" s="385"/>
      <c r="U69" s="385"/>
      <c r="V69" s="385"/>
      <c r="W69" s="385"/>
      <c r="X69" s="385"/>
      <c r="Y69" s="385"/>
      <c r="Z69" s="385"/>
      <c r="AA69" s="385"/>
      <c r="AB69" s="385"/>
      <c r="AC69" s="385"/>
      <c r="AD69" s="385"/>
      <c r="AE69" s="385"/>
      <c r="AF69" s="385"/>
      <c r="AG69" s="385"/>
      <c r="AH69" s="385"/>
      <c r="AL69" s="385"/>
      <c r="AM69" s="385"/>
      <c r="AN69" s="385"/>
      <c r="AO69" s="385"/>
      <c r="AP69" s="385"/>
      <c r="AQ69" s="385"/>
      <c r="AR69" s="385"/>
      <c r="AS69" s="385"/>
    </row>
    <row r="70" spans="20:45" x14ac:dyDescent="0.25"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L70" s="385"/>
      <c r="AM70" s="385"/>
      <c r="AN70" s="385"/>
      <c r="AO70" s="385"/>
      <c r="AP70" s="385"/>
      <c r="AQ70" s="385"/>
      <c r="AR70" s="385"/>
      <c r="AS70" s="385"/>
    </row>
    <row r="71" spans="20:45" x14ac:dyDescent="0.25">
      <c r="T71" s="385"/>
      <c r="U71" s="385"/>
      <c r="V71" s="385"/>
      <c r="W71" s="385"/>
      <c r="X71" s="385"/>
      <c r="Y71" s="385"/>
      <c r="Z71" s="385"/>
      <c r="AA71" s="385"/>
      <c r="AB71" s="385"/>
      <c r="AC71" s="385"/>
      <c r="AD71" s="385"/>
      <c r="AE71" s="385"/>
      <c r="AF71" s="385"/>
      <c r="AG71" s="385"/>
      <c r="AH71" s="385"/>
      <c r="AL71" s="385"/>
      <c r="AM71" s="385"/>
      <c r="AN71" s="385"/>
      <c r="AO71" s="385"/>
      <c r="AP71" s="385"/>
      <c r="AQ71" s="385"/>
      <c r="AR71" s="385"/>
      <c r="AS71" s="385"/>
    </row>
    <row r="72" spans="20:45" x14ac:dyDescent="0.25">
      <c r="T72" s="385"/>
      <c r="U72" s="385"/>
      <c r="V72" s="385"/>
      <c r="W72" s="385"/>
      <c r="X72" s="385"/>
      <c r="Y72" s="385"/>
      <c r="Z72" s="385"/>
      <c r="AA72" s="385"/>
      <c r="AB72" s="385"/>
      <c r="AC72" s="385"/>
      <c r="AD72" s="385"/>
      <c r="AE72" s="385"/>
      <c r="AF72" s="385"/>
      <c r="AG72" s="385"/>
      <c r="AH72" s="385"/>
      <c r="AL72" s="385"/>
      <c r="AM72" s="385"/>
      <c r="AN72" s="385"/>
      <c r="AO72" s="385"/>
      <c r="AP72" s="385"/>
      <c r="AQ72" s="385"/>
      <c r="AR72" s="385"/>
      <c r="AS72" s="385"/>
    </row>
    <row r="73" spans="20:45" x14ac:dyDescent="0.25"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L73" s="385"/>
      <c r="AM73" s="385"/>
      <c r="AN73" s="385"/>
      <c r="AO73" s="385"/>
      <c r="AP73" s="385"/>
      <c r="AQ73" s="385"/>
      <c r="AR73" s="385"/>
      <c r="AS73" s="385"/>
    </row>
    <row r="74" spans="20:45" x14ac:dyDescent="0.25">
      <c r="T74" s="385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5"/>
      <c r="AL74" s="385"/>
      <c r="AM74" s="385"/>
      <c r="AN74" s="385"/>
      <c r="AO74" s="385"/>
      <c r="AP74" s="385"/>
      <c r="AQ74" s="385"/>
      <c r="AR74" s="385"/>
      <c r="AS74" s="385"/>
    </row>
    <row r="75" spans="20:45" x14ac:dyDescent="0.25">
      <c r="T75" s="385"/>
      <c r="U75" s="385"/>
      <c r="V75" s="385"/>
      <c r="W75" s="385"/>
      <c r="X75" s="385"/>
      <c r="Y75" s="385"/>
      <c r="Z75" s="385"/>
      <c r="AA75" s="385"/>
      <c r="AB75" s="385"/>
      <c r="AC75" s="385"/>
      <c r="AD75" s="385"/>
      <c r="AE75" s="385"/>
      <c r="AF75" s="385"/>
      <c r="AG75" s="385"/>
      <c r="AH75" s="385"/>
      <c r="AL75" s="385"/>
      <c r="AM75" s="385"/>
      <c r="AN75" s="385"/>
      <c r="AO75" s="385"/>
      <c r="AP75" s="385"/>
      <c r="AQ75" s="385"/>
      <c r="AR75" s="385"/>
      <c r="AS75" s="385"/>
    </row>
    <row r="76" spans="20:45" x14ac:dyDescent="0.25"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L76" s="385"/>
      <c r="AM76" s="385"/>
      <c r="AN76" s="385"/>
      <c r="AO76" s="385"/>
      <c r="AP76" s="385"/>
      <c r="AQ76" s="385"/>
      <c r="AR76" s="385"/>
      <c r="AS76" s="385"/>
    </row>
    <row r="77" spans="20:45" x14ac:dyDescent="0.25"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L77" s="385"/>
      <c r="AM77" s="385"/>
      <c r="AN77" s="385"/>
      <c r="AO77" s="385"/>
      <c r="AP77" s="385"/>
      <c r="AQ77" s="385"/>
      <c r="AR77" s="385"/>
      <c r="AS77" s="385"/>
    </row>
    <row r="78" spans="20:45" x14ac:dyDescent="0.25"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L78" s="385"/>
      <c r="AM78" s="385"/>
      <c r="AN78" s="385"/>
      <c r="AO78" s="385"/>
      <c r="AP78" s="385"/>
      <c r="AQ78" s="385"/>
      <c r="AR78" s="385"/>
      <c r="AS78" s="385"/>
    </row>
    <row r="79" spans="20:45" x14ac:dyDescent="0.25">
      <c r="T79" s="385"/>
      <c r="U79" s="385"/>
      <c r="V79" s="385"/>
      <c r="W79" s="385"/>
      <c r="X79" s="385"/>
      <c r="Y79" s="385"/>
      <c r="Z79" s="385"/>
      <c r="AA79" s="385"/>
      <c r="AB79" s="385"/>
      <c r="AC79" s="385"/>
      <c r="AD79" s="385"/>
      <c r="AE79" s="385"/>
      <c r="AF79" s="385"/>
      <c r="AG79" s="385"/>
      <c r="AH79" s="385"/>
      <c r="AL79" s="385"/>
      <c r="AM79" s="385"/>
      <c r="AN79" s="385"/>
      <c r="AO79" s="385"/>
      <c r="AP79" s="385"/>
      <c r="AQ79" s="385"/>
      <c r="AR79" s="385"/>
      <c r="AS79" s="385"/>
    </row>
    <row r="80" spans="20:45" x14ac:dyDescent="0.25">
      <c r="T80" s="385"/>
      <c r="U80" s="385"/>
      <c r="V80" s="385"/>
      <c r="W80" s="385"/>
      <c r="X80" s="385"/>
      <c r="Y80" s="385"/>
      <c r="Z80" s="385"/>
      <c r="AA80" s="385"/>
      <c r="AB80" s="385"/>
      <c r="AC80" s="385"/>
      <c r="AD80" s="385"/>
      <c r="AE80" s="385"/>
      <c r="AF80" s="385"/>
      <c r="AG80" s="385"/>
      <c r="AH80" s="385"/>
      <c r="AL80" s="385"/>
      <c r="AM80" s="385"/>
      <c r="AN80" s="385"/>
      <c r="AO80" s="385"/>
      <c r="AP80" s="385"/>
      <c r="AQ80" s="385"/>
      <c r="AR80" s="385"/>
      <c r="AS80" s="385"/>
    </row>
    <row r="81" spans="20:45" x14ac:dyDescent="0.25"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L81" s="385"/>
      <c r="AM81" s="385"/>
      <c r="AN81" s="385"/>
      <c r="AO81" s="385"/>
      <c r="AP81" s="385"/>
      <c r="AQ81" s="385"/>
      <c r="AR81" s="385"/>
      <c r="AS81" s="385"/>
    </row>
    <row r="82" spans="20:45" x14ac:dyDescent="0.25">
      <c r="T82" s="385"/>
      <c r="U82" s="385"/>
      <c r="V82" s="385"/>
      <c r="W82" s="385"/>
      <c r="X82" s="385"/>
      <c r="Y82" s="385"/>
      <c r="Z82" s="385"/>
      <c r="AA82" s="385"/>
      <c r="AB82" s="385"/>
      <c r="AC82" s="385"/>
      <c r="AD82" s="385"/>
      <c r="AE82" s="385"/>
      <c r="AF82" s="385"/>
      <c r="AG82" s="385"/>
      <c r="AH82" s="385"/>
      <c r="AL82" s="385"/>
      <c r="AM82" s="385"/>
      <c r="AN82" s="385"/>
      <c r="AO82" s="385"/>
      <c r="AP82" s="385"/>
      <c r="AQ82" s="385"/>
      <c r="AR82" s="385"/>
      <c r="AS82" s="385"/>
    </row>
    <row r="83" spans="20:45" x14ac:dyDescent="0.25">
      <c r="T83" s="385"/>
      <c r="U83" s="385"/>
      <c r="V83" s="385"/>
      <c r="W83" s="385"/>
      <c r="X83" s="385"/>
      <c r="Y83" s="385"/>
      <c r="Z83" s="385"/>
      <c r="AA83" s="385"/>
      <c r="AB83" s="385"/>
      <c r="AC83" s="385"/>
      <c r="AD83" s="385"/>
      <c r="AE83" s="385"/>
      <c r="AF83" s="385"/>
      <c r="AG83" s="385"/>
      <c r="AH83" s="385"/>
      <c r="AL83" s="385"/>
      <c r="AM83" s="385"/>
      <c r="AN83" s="385"/>
      <c r="AO83" s="385"/>
      <c r="AP83" s="385"/>
      <c r="AQ83" s="385"/>
      <c r="AR83" s="385"/>
      <c r="AS83" s="385"/>
    </row>
    <row r="84" spans="20:45" x14ac:dyDescent="0.25">
      <c r="T84" s="385"/>
      <c r="U84" s="385"/>
      <c r="V84" s="385"/>
      <c r="W84" s="385"/>
      <c r="X84" s="385"/>
      <c r="Y84" s="385"/>
      <c r="Z84" s="385"/>
      <c r="AA84" s="385"/>
      <c r="AB84" s="385"/>
      <c r="AC84" s="385"/>
      <c r="AD84" s="385"/>
      <c r="AE84" s="385"/>
      <c r="AF84" s="385"/>
      <c r="AG84" s="385"/>
      <c r="AH84" s="385"/>
      <c r="AL84" s="385"/>
      <c r="AM84" s="385"/>
      <c r="AN84" s="385"/>
      <c r="AO84" s="385"/>
      <c r="AP84" s="385"/>
      <c r="AQ84" s="385"/>
      <c r="AR84" s="385"/>
      <c r="AS84" s="385"/>
    </row>
    <row r="85" spans="20:45" x14ac:dyDescent="0.25"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L85" s="385"/>
      <c r="AM85" s="385"/>
      <c r="AN85" s="385"/>
      <c r="AO85" s="385"/>
      <c r="AP85" s="385"/>
      <c r="AQ85" s="385"/>
      <c r="AR85" s="385"/>
      <c r="AS85" s="385"/>
    </row>
    <row r="86" spans="20:45" x14ac:dyDescent="0.25"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5"/>
      <c r="AG86" s="385"/>
      <c r="AH86" s="385"/>
      <c r="AL86" s="385"/>
      <c r="AM86" s="385"/>
      <c r="AN86" s="385"/>
      <c r="AO86" s="385"/>
      <c r="AP86" s="385"/>
      <c r="AQ86" s="385"/>
      <c r="AR86" s="385"/>
      <c r="AS86" s="385"/>
    </row>
    <row r="87" spans="20:45" x14ac:dyDescent="0.25"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5"/>
      <c r="AG87" s="385"/>
      <c r="AH87" s="385"/>
      <c r="AL87" s="385"/>
      <c r="AM87" s="385"/>
      <c r="AN87" s="385"/>
      <c r="AO87" s="385"/>
      <c r="AP87" s="385"/>
      <c r="AQ87" s="385"/>
      <c r="AR87" s="385"/>
      <c r="AS87" s="385"/>
    </row>
    <row r="88" spans="20:45" x14ac:dyDescent="0.25"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L88" s="385"/>
      <c r="AM88" s="385"/>
      <c r="AN88" s="385"/>
      <c r="AO88" s="385"/>
      <c r="AP88" s="385"/>
      <c r="AQ88" s="385"/>
      <c r="AR88" s="385"/>
      <c r="AS88" s="385"/>
    </row>
    <row r="89" spans="20:45" x14ac:dyDescent="0.25"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5"/>
      <c r="AG89" s="385"/>
      <c r="AH89" s="385"/>
      <c r="AL89" s="385"/>
      <c r="AM89" s="385"/>
      <c r="AN89" s="385"/>
      <c r="AO89" s="385"/>
      <c r="AP89" s="385"/>
      <c r="AQ89" s="385"/>
      <c r="AR89" s="385"/>
      <c r="AS89" s="385"/>
    </row>
    <row r="90" spans="20:45" x14ac:dyDescent="0.25"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5"/>
      <c r="AG90" s="385"/>
      <c r="AH90" s="385"/>
      <c r="AL90" s="385"/>
      <c r="AM90" s="385"/>
      <c r="AN90" s="385"/>
      <c r="AO90" s="385"/>
      <c r="AP90" s="385"/>
      <c r="AQ90" s="385"/>
      <c r="AR90" s="385"/>
      <c r="AS90" s="385"/>
    </row>
    <row r="91" spans="20:45" x14ac:dyDescent="0.25"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5"/>
      <c r="AG91" s="385"/>
      <c r="AH91" s="385"/>
      <c r="AL91" s="385"/>
      <c r="AM91" s="385"/>
      <c r="AN91" s="385"/>
      <c r="AO91" s="385"/>
      <c r="AP91" s="385"/>
      <c r="AQ91" s="385"/>
      <c r="AR91" s="385"/>
      <c r="AS91" s="385"/>
    </row>
    <row r="92" spans="20:45" x14ac:dyDescent="0.25"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5"/>
      <c r="AG92" s="385"/>
      <c r="AH92" s="385"/>
      <c r="AL92" s="385"/>
      <c r="AM92" s="385"/>
      <c r="AN92" s="385"/>
      <c r="AO92" s="385"/>
      <c r="AP92" s="385"/>
      <c r="AQ92" s="385"/>
      <c r="AR92" s="385"/>
      <c r="AS92" s="385"/>
    </row>
    <row r="93" spans="20:45" x14ac:dyDescent="0.25"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5"/>
      <c r="AG93" s="385"/>
      <c r="AH93" s="385"/>
      <c r="AL93" s="385"/>
      <c r="AM93" s="385"/>
      <c r="AN93" s="385"/>
      <c r="AO93" s="385"/>
      <c r="AP93" s="385"/>
      <c r="AQ93" s="385"/>
      <c r="AR93" s="385"/>
      <c r="AS93" s="385"/>
    </row>
    <row r="94" spans="20:45" x14ac:dyDescent="0.25"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L94" s="385"/>
      <c r="AM94" s="385"/>
      <c r="AN94" s="385"/>
      <c r="AO94" s="385"/>
      <c r="AP94" s="385"/>
      <c r="AQ94" s="385"/>
      <c r="AR94" s="385"/>
      <c r="AS94" s="385"/>
    </row>
    <row r="95" spans="20:45" x14ac:dyDescent="0.25"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L95" s="385"/>
      <c r="AM95" s="385"/>
      <c r="AN95" s="385"/>
      <c r="AO95" s="385"/>
      <c r="AP95" s="385"/>
      <c r="AQ95" s="385"/>
      <c r="AR95" s="385"/>
      <c r="AS95" s="385"/>
    </row>
    <row r="96" spans="20:45" x14ac:dyDescent="0.25"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L96" s="385"/>
      <c r="AM96" s="385"/>
      <c r="AN96" s="385"/>
      <c r="AO96" s="385"/>
      <c r="AP96" s="385"/>
      <c r="AQ96" s="385"/>
      <c r="AR96" s="385"/>
      <c r="AS96" s="385"/>
    </row>
    <row r="97" spans="20:45" x14ac:dyDescent="0.25"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L97" s="385"/>
      <c r="AM97" s="385"/>
      <c r="AN97" s="385"/>
      <c r="AO97" s="385"/>
      <c r="AP97" s="385"/>
      <c r="AQ97" s="385"/>
      <c r="AR97" s="385"/>
      <c r="AS97" s="385"/>
    </row>
    <row r="98" spans="20:45" x14ac:dyDescent="0.25"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L98" s="385"/>
      <c r="AM98" s="385"/>
      <c r="AN98" s="385"/>
      <c r="AO98" s="385"/>
      <c r="AP98" s="385"/>
      <c r="AQ98" s="385"/>
      <c r="AR98" s="385"/>
      <c r="AS98" s="385"/>
    </row>
    <row r="99" spans="20:45" x14ac:dyDescent="0.25"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L99" s="385"/>
      <c r="AM99" s="385"/>
      <c r="AN99" s="385"/>
      <c r="AO99" s="385"/>
      <c r="AP99" s="385"/>
      <c r="AQ99" s="385"/>
      <c r="AR99" s="385"/>
      <c r="AS99" s="385"/>
    </row>
    <row r="100" spans="20:45" x14ac:dyDescent="0.25"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5"/>
      <c r="AG100" s="385"/>
      <c r="AH100" s="385"/>
      <c r="AL100" s="385"/>
      <c r="AM100" s="385"/>
      <c r="AN100" s="385"/>
      <c r="AO100" s="385"/>
      <c r="AP100" s="385"/>
      <c r="AQ100" s="385"/>
      <c r="AR100" s="385"/>
      <c r="AS100" s="385"/>
    </row>
    <row r="101" spans="20:45" x14ac:dyDescent="0.25"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5"/>
      <c r="AL101" s="385"/>
      <c r="AM101" s="385"/>
      <c r="AN101" s="385"/>
      <c r="AO101" s="385"/>
      <c r="AP101" s="385"/>
      <c r="AQ101" s="385"/>
      <c r="AR101" s="385"/>
      <c r="AS101" s="385"/>
    </row>
    <row r="102" spans="20:45" x14ac:dyDescent="0.25"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5"/>
      <c r="AG102" s="385"/>
      <c r="AH102" s="385"/>
      <c r="AL102" s="385"/>
      <c r="AM102" s="385"/>
      <c r="AN102" s="385"/>
      <c r="AO102" s="385"/>
      <c r="AP102" s="385"/>
      <c r="AQ102" s="385"/>
      <c r="AR102" s="385"/>
      <c r="AS102" s="385"/>
    </row>
    <row r="103" spans="20:45" x14ac:dyDescent="0.25"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L103" s="385"/>
      <c r="AM103" s="385"/>
      <c r="AN103" s="385"/>
      <c r="AO103" s="385"/>
      <c r="AP103" s="385"/>
      <c r="AQ103" s="385"/>
      <c r="AR103" s="385"/>
      <c r="AS103" s="385"/>
    </row>
    <row r="104" spans="20:45" x14ac:dyDescent="0.25"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5"/>
      <c r="AG104" s="385"/>
      <c r="AH104" s="385"/>
      <c r="AL104" s="385"/>
      <c r="AM104" s="385"/>
      <c r="AN104" s="385"/>
      <c r="AO104" s="385"/>
      <c r="AP104" s="385"/>
      <c r="AQ104" s="385"/>
      <c r="AR104" s="385"/>
      <c r="AS104" s="385"/>
    </row>
    <row r="105" spans="20:45" x14ac:dyDescent="0.25"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L105" s="385"/>
      <c r="AM105" s="385"/>
      <c r="AN105" s="385"/>
      <c r="AO105" s="385"/>
      <c r="AP105" s="385"/>
      <c r="AQ105" s="385"/>
      <c r="AR105" s="385"/>
      <c r="AS105" s="385"/>
    </row>
    <row r="106" spans="20:45" x14ac:dyDescent="0.25"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L106" s="385"/>
      <c r="AM106" s="385"/>
      <c r="AN106" s="385"/>
      <c r="AO106" s="385"/>
      <c r="AP106" s="385"/>
      <c r="AQ106" s="385"/>
      <c r="AR106" s="385"/>
      <c r="AS106" s="385"/>
    </row>
    <row r="107" spans="20:45" x14ac:dyDescent="0.25"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L107" s="385"/>
      <c r="AM107" s="385"/>
      <c r="AN107" s="385"/>
      <c r="AO107" s="385"/>
      <c r="AP107" s="385"/>
      <c r="AQ107" s="385"/>
      <c r="AR107" s="385"/>
      <c r="AS107" s="385"/>
    </row>
    <row r="108" spans="20:45" x14ac:dyDescent="0.25"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L108" s="385"/>
      <c r="AM108" s="385"/>
      <c r="AN108" s="385"/>
      <c r="AO108" s="385"/>
      <c r="AP108" s="385"/>
      <c r="AQ108" s="385"/>
      <c r="AR108" s="385"/>
      <c r="AS108" s="385"/>
    </row>
    <row r="109" spans="20:45" x14ac:dyDescent="0.25"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5"/>
      <c r="AG109" s="385"/>
      <c r="AH109" s="385"/>
      <c r="AL109" s="385"/>
      <c r="AM109" s="385"/>
      <c r="AN109" s="385"/>
      <c r="AO109" s="385"/>
      <c r="AP109" s="385"/>
      <c r="AQ109" s="385"/>
      <c r="AR109" s="385"/>
      <c r="AS109" s="385"/>
    </row>
    <row r="110" spans="20:45" x14ac:dyDescent="0.25"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5"/>
      <c r="AH110" s="385"/>
      <c r="AL110" s="385"/>
      <c r="AM110" s="385"/>
      <c r="AN110" s="385"/>
      <c r="AO110" s="385"/>
      <c r="AP110" s="385"/>
      <c r="AQ110" s="385"/>
      <c r="AR110" s="385"/>
      <c r="AS110" s="385"/>
    </row>
    <row r="111" spans="20:45" x14ac:dyDescent="0.25"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L111" s="385"/>
      <c r="AM111" s="385"/>
      <c r="AN111" s="385"/>
      <c r="AO111" s="385"/>
      <c r="AP111" s="385"/>
      <c r="AQ111" s="385"/>
      <c r="AR111" s="385"/>
      <c r="AS111" s="385"/>
    </row>
    <row r="112" spans="20:45" x14ac:dyDescent="0.25"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L112" s="385"/>
      <c r="AM112" s="385"/>
      <c r="AN112" s="385"/>
      <c r="AO112" s="385"/>
      <c r="AP112" s="385"/>
      <c r="AQ112" s="385"/>
      <c r="AR112" s="385"/>
      <c r="AS112" s="385"/>
    </row>
    <row r="113" spans="20:45" x14ac:dyDescent="0.25"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L113" s="385"/>
      <c r="AM113" s="385"/>
      <c r="AN113" s="385"/>
      <c r="AO113" s="385"/>
      <c r="AP113" s="385"/>
      <c r="AQ113" s="385"/>
      <c r="AR113" s="385"/>
      <c r="AS113" s="385"/>
    </row>
    <row r="114" spans="20:45" x14ac:dyDescent="0.25"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L114" s="385"/>
      <c r="AM114" s="385"/>
      <c r="AN114" s="385"/>
      <c r="AO114" s="385"/>
      <c r="AP114" s="385"/>
      <c r="AQ114" s="385"/>
      <c r="AR114" s="385"/>
      <c r="AS114" s="385"/>
    </row>
    <row r="115" spans="20:45" x14ac:dyDescent="0.25"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L115" s="385"/>
      <c r="AM115" s="385"/>
      <c r="AN115" s="385"/>
      <c r="AO115" s="385"/>
      <c r="AP115" s="385"/>
      <c r="AQ115" s="385"/>
      <c r="AR115" s="385"/>
      <c r="AS115" s="385"/>
    </row>
    <row r="116" spans="20:45" x14ac:dyDescent="0.25"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L116" s="385"/>
      <c r="AM116" s="385"/>
      <c r="AN116" s="385"/>
      <c r="AO116" s="385"/>
      <c r="AP116" s="385"/>
      <c r="AQ116" s="385"/>
      <c r="AR116" s="385"/>
      <c r="AS116" s="385"/>
    </row>
    <row r="117" spans="20:45" x14ac:dyDescent="0.25"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L117" s="385"/>
      <c r="AM117" s="385"/>
      <c r="AN117" s="385"/>
      <c r="AO117" s="385"/>
      <c r="AP117" s="385"/>
      <c r="AQ117" s="385"/>
      <c r="AR117" s="385"/>
      <c r="AS117" s="385"/>
    </row>
    <row r="118" spans="20:45" x14ac:dyDescent="0.25"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L118" s="385"/>
      <c r="AM118" s="385"/>
      <c r="AN118" s="385"/>
      <c r="AO118" s="385"/>
      <c r="AP118" s="385"/>
      <c r="AQ118" s="385"/>
      <c r="AR118" s="385"/>
      <c r="AS118" s="385"/>
    </row>
    <row r="119" spans="20:45" x14ac:dyDescent="0.25"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5"/>
      <c r="AG119" s="385"/>
      <c r="AH119" s="385"/>
      <c r="AL119" s="385"/>
      <c r="AM119" s="385"/>
      <c r="AN119" s="385"/>
      <c r="AO119" s="385"/>
      <c r="AP119" s="385"/>
      <c r="AQ119" s="385"/>
      <c r="AR119" s="385"/>
      <c r="AS119" s="385"/>
    </row>
    <row r="120" spans="20:45" x14ac:dyDescent="0.25"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  <c r="AG120" s="385"/>
      <c r="AH120" s="385"/>
      <c r="AL120" s="385"/>
      <c r="AM120" s="385"/>
      <c r="AN120" s="385"/>
      <c r="AO120" s="385"/>
      <c r="AP120" s="385"/>
      <c r="AQ120" s="385"/>
      <c r="AR120" s="385"/>
      <c r="AS120" s="385"/>
    </row>
    <row r="121" spans="20:45" x14ac:dyDescent="0.25"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L121" s="385"/>
      <c r="AM121" s="385"/>
      <c r="AN121" s="385"/>
      <c r="AO121" s="385"/>
      <c r="AP121" s="385"/>
      <c r="AQ121" s="385"/>
      <c r="AR121" s="385"/>
      <c r="AS121" s="385"/>
    </row>
    <row r="122" spans="20:45" x14ac:dyDescent="0.25"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L122" s="385"/>
      <c r="AM122" s="385"/>
      <c r="AN122" s="385"/>
      <c r="AO122" s="385"/>
      <c r="AP122" s="385"/>
      <c r="AQ122" s="385"/>
      <c r="AR122" s="385"/>
      <c r="AS122" s="385"/>
    </row>
    <row r="123" spans="20:45" x14ac:dyDescent="0.25"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L123" s="385"/>
      <c r="AM123" s="385"/>
      <c r="AN123" s="385"/>
      <c r="AO123" s="385"/>
      <c r="AP123" s="385"/>
      <c r="AQ123" s="385"/>
      <c r="AR123" s="385"/>
      <c r="AS123" s="385"/>
    </row>
    <row r="124" spans="20:45" x14ac:dyDescent="0.25"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L124" s="385"/>
      <c r="AM124" s="385"/>
      <c r="AN124" s="385"/>
      <c r="AO124" s="385"/>
      <c r="AP124" s="385"/>
      <c r="AQ124" s="385"/>
      <c r="AR124" s="385"/>
      <c r="AS124" s="385"/>
    </row>
    <row r="125" spans="20:45" x14ac:dyDescent="0.25"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L125" s="385"/>
      <c r="AM125" s="385"/>
      <c r="AN125" s="385"/>
      <c r="AO125" s="385"/>
      <c r="AP125" s="385"/>
      <c r="AQ125" s="385"/>
      <c r="AR125" s="385"/>
      <c r="AS125" s="385"/>
    </row>
    <row r="126" spans="20:45" x14ac:dyDescent="0.25"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L126" s="385"/>
      <c r="AM126" s="385"/>
      <c r="AN126" s="385"/>
      <c r="AO126" s="385"/>
      <c r="AP126" s="385"/>
      <c r="AQ126" s="385"/>
      <c r="AR126" s="385"/>
      <c r="AS126" s="385"/>
    </row>
    <row r="127" spans="20:45" x14ac:dyDescent="0.25"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L127" s="385"/>
      <c r="AM127" s="385"/>
      <c r="AN127" s="385"/>
      <c r="AO127" s="385"/>
      <c r="AP127" s="385"/>
      <c r="AQ127" s="385"/>
      <c r="AR127" s="385"/>
      <c r="AS127" s="385"/>
    </row>
    <row r="128" spans="20:45" x14ac:dyDescent="0.25"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L128" s="385"/>
      <c r="AM128" s="385"/>
      <c r="AN128" s="385"/>
      <c r="AO128" s="385"/>
      <c r="AP128" s="385"/>
      <c r="AQ128" s="385"/>
      <c r="AR128" s="385"/>
      <c r="AS128" s="385"/>
    </row>
    <row r="129" spans="20:45" x14ac:dyDescent="0.25"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L129" s="385"/>
      <c r="AM129" s="385"/>
      <c r="AN129" s="385"/>
      <c r="AO129" s="385"/>
      <c r="AP129" s="385"/>
      <c r="AQ129" s="385"/>
      <c r="AR129" s="385"/>
      <c r="AS129" s="385"/>
    </row>
    <row r="130" spans="20:45" x14ac:dyDescent="0.25"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L130" s="385"/>
      <c r="AM130" s="385"/>
      <c r="AN130" s="385"/>
      <c r="AO130" s="385"/>
      <c r="AP130" s="385"/>
      <c r="AQ130" s="385"/>
      <c r="AR130" s="385"/>
      <c r="AS130" s="385"/>
    </row>
    <row r="131" spans="20:45" x14ac:dyDescent="0.25"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L131" s="385"/>
      <c r="AM131" s="385"/>
      <c r="AN131" s="385"/>
      <c r="AO131" s="385"/>
      <c r="AP131" s="385"/>
      <c r="AQ131" s="385"/>
      <c r="AR131" s="385"/>
      <c r="AS131" s="385"/>
    </row>
    <row r="132" spans="20:45" x14ac:dyDescent="0.25"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L132" s="385"/>
      <c r="AM132" s="385"/>
      <c r="AN132" s="385"/>
      <c r="AO132" s="385"/>
      <c r="AP132" s="385"/>
      <c r="AQ132" s="385"/>
      <c r="AR132" s="385"/>
      <c r="AS132" s="385"/>
    </row>
    <row r="133" spans="20:45" x14ac:dyDescent="0.25"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5"/>
      <c r="AG133" s="385"/>
      <c r="AH133" s="385"/>
      <c r="AL133" s="385"/>
      <c r="AM133" s="385"/>
      <c r="AN133" s="385"/>
      <c r="AO133" s="385"/>
      <c r="AP133" s="385"/>
      <c r="AQ133" s="385"/>
      <c r="AR133" s="385"/>
      <c r="AS133" s="385"/>
    </row>
    <row r="134" spans="20:45" x14ac:dyDescent="0.25"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L134" s="385"/>
      <c r="AM134" s="385"/>
      <c r="AN134" s="385"/>
      <c r="AO134" s="385"/>
      <c r="AP134" s="385"/>
      <c r="AQ134" s="385"/>
      <c r="AR134" s="385"/>
      <c r="AS134" s="385"/>
    </row>
    <row r="135" spans="20:45" x14ac:dyDescent="0.25"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L135" s="385"/>
      <c r="AM135" s="385"/>
      <c r="AN135" s="385"/>
      <c r="AO135" s="385"/>
      <c r="AP135" s="385"/>
      <c r="AQ135" s="385"/>
      <c r="AR135" s="385"/>
      <c r="AS135" s="385"/>
    </row>
    <row r="136" spans="20:45" x14ac:dyDescent="0.25"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/>
      <c r="AG136" s="385"/>
      <c r="AH136" s="385"/>
      <c r="AL136" s="385"/>
      <c r="AM136" s="385"/>
      <c r="AN136" s="385"/>
      <c r="AO136" s="385"/>
      <c r="AP136" s="385"/>
      <c r="AQ136" s="385"/>
      <c r="AR136" s="385"/>
      <c r="AS136" s="385"/>
    </row>
    <row r="137" spans="20:45" x14ac:dyDescent="0.25"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5"/>
      <c r="AG137" s="385"/>
      <c r="AH137" s="385"/>
      <c r="AL137" s="385"/>
      <c r="AM137" s="385"/>
      <c r="AN137" s="385"/>
      <c r="AO137" s="385"/>
      <c r="AP137" s="385"/>
      <c r="AQ137" s="385"/>
      <c r="AR137" s="385"/>
      <c r="AS137" s="385"/>
    </row>
    <row r="138" spans="20:45" x14ac:dyDescent="0.25"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5"/>
      <c r="AG138" s="385"/>
      <c r="AH138" s="385"/>
      <c r="AL138" s="385"/>
      <c r="AM138" s="385"/>
      <c r="AN138" s="385"/>
      <c r="AO138" s="385"/>
      <c r="AP138" s="385"/>
      <c r="AQ138" s="385"/>
      <c r="AR138" s="385"/>
      <c r="AS138" s="385"/>
    </row>
    <row r="139" spans="20:45" x14ac:dyDescent="0.25"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L139" s="385"/>
      <c r="AM139" s="385"/>
      <c r="AN139" s="385"/>
      <c r="AO139" s="385"/>
      <c r="AP139" s="385"/>
      <c r="AQ139" s="385"/>
      <c r="AR139" s="385"/>
      <c r="AS139" s="385"/>
    </row>
    <row r="140" spans="20:45" x14ac:dyDescent="0.25"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L140" s="385"/>
      <c r="AM140" s="385"/>
      <c r="AN140" s="385"/>
      <c r="AO140" s="385"/>
      <c r="AP140" s="385"/>
      <c r="AQ140" s="385"/>
      <c r="AR140" s="385"/>
      <c r="AS140" s="385"/>
    </row>
  </sheetData>
  <mergeCells count="1">
    <mergeCell ref="A4:C4"/>
  </mergeCells>
  <conditionalFormatting sqref="B22 B24 B26 B28 B30 B32 B34 B36 B38 B40 B42 B44 B46 B48 B50 B52">
    <cfRule type="cellIs" dxfId="16" priority="13" stopIfTrue="1" operator="equal">
      <formula>"QA"</formula>
    </cfRule>
    <cfRule type="cellIs" dxfId="15" priority="14" stopIfTrue="1" operator="equal">
      <formula>"DA"</formula>
    </cfRule>
  </conditionalFormatting>
  <conditionalFormatting sqref="E7 E21">
    <cfRule type="expression" dxfId="14" priority="16" stopIfTrue="1">
      <formula>$E7&lt;5</formula>
    </cfRule>
  </conditionalFormatting>
  <conditionalFormatting sqref="E22 E24 E26 E28 E30 E32 E34 E36 E38 E40 E42 E44 E46 E48 E50 E52">
    <cfRule type="expression" dxfId="13" priority="8" stopIfTrue="1">
      <formula>AND($E22&lt;9,$C22&gt;0)</formula>
    </cfRule>
  </conditionalFormatting>
  <conditionalFormatting sqref="F7 F9 F11 F13 F15 F17 F19">
    <cfRule type="cellIs" dxfId="12" priority="17" stopIfTrue="1" operator="equal">
      <formula>"Bye"</formula>
    </cfRule>
  </conditionalFormatting>
  <conditionalFormatting sqref="F21:F22 F24 F26 F28 F30 F32 F34 F36 F38 F40 F42 F44 F46 F48 F50">
    <cfRule type="cellIs" dxfId="11" priority="9" stopIfTrue="1" operator="equal">
      <formula>"Bye"</formula>
    </cfRule>
  </conditionalFormatting>
  <conditionalFormatting sqref="F22 F24 F26 F28 F30 F32 F34 F36 F38 F40 F42 F44 F46 F48 F50">
    <cfRule type="expression" dxfId="10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9" priority="4" stopIfTrue="1">
      <formula>AND($E7&lt;9,$C7&gt;0)</formula>
    </cfRule>
  </conditionalFormatting>
  <conditionalFormatting sqref="I8 K10 I12 M14 I16 K18 I20 I23 K25 I27 M29 I31 K33 I35 I39 K41 I43 M45 I47 K49 I51">
    <cfRule type="expression" dxfId="8" priority="5" stopIfTrue="1">
      <formula>AND($O$1="CU",I8="Umpire")</formula>
    </cfRule>
    <cfRule type="expression" dxfId="7" priority="6" stopIfTrue="1">
      <formula>AND($O$1="CU",I8&lt;&gt;"Umpire",J8&lt;&gt;"")</formula>
    </cfRule>
    <cfRule type="expression" dxfId="6" priority="7" stopIfTrue="1">
      <formula>AND($O$1="CU",I8&lt;&gt;"Umpire")</formula>
    </cfRule>
  </conditionalFormatting>
  <conditionalFormatting sqref="J8 L10 J12 N14 J16 L18 J20 R62">
    <cfRule type="expression" dxfId="5" priority="15" stopIfTrue="1">
      <formula>$O$1="CU"</formula>
    </cfRule>
  </conditionalFormatting>
  <conditionalFormatting sqref="K8 M10 K12 O14 K16 M18 K20 K23 M25 K27 O29 K31 M33 K35 K39 M41 K43 O45 K47 M49 K51">
    <cfRule type="expression" dxfId="4" priority="11" stopIfTrue="1">
      <formula>J8="as"</formula>
    </cfRule>
    <cfRule type="expression" dxfId="3" priority="12" stopIfTrue="1">
      <formula>J8="bs"</formula>
    </cfRule>
  </conditionalFormatting>
  <conditionalFormatting sqref="O16">
    <cfRule type="expression" dxfId="2" priority="1" stopIfTrue="1">
      <formula>AND($O$1="CU",O16="Umpire")</formula>
    </cfRule>
    <cfRule type="expression" dxfId="1" priority="2" stopIfTrue="1">
      <formula>AND($O$1="CU",O16&lt;&gt;"Umpire",P16&lt;&gt;"")</formula>
    </cfRule>
    <cfRule type="expression" dxfId="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B0600BB7-2A05-4178-AEBB-C98B718EE51C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619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9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ColWidth="8.77734375" defaultRowHeight="13.2" x14ac:dyDescent="0.25"/>
  <cols>
    <col min="1" max="1" width="27.777343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8" customWidth="1"/>
    <col min="15" max="15" width="8.44140625" customWidth="1"/>
    <col min="16" max="16" width="11.44140625" hidden="1" customWidth="1"/>
  </cols>
  <sheetData>
    <row r="1" spans="1:14" ht="24.6" x14ac:dyDescent="0.3">
      <c r="A1" s="39" t="str">
        <f>Altalanos!$A$6</f>
        <v>OB</v>
      </c>
      <c r="B1" s="40"/>
      <c r="C1" s="40"/>
      <c r="D1" s="31"/>
      <c r="E1" s="31"/>
      <c r="F1" s="41"/>
      <c r="G1" s="31"/>
      <c r="H1" s="31"/>
      <c r="I1" s="31"/>
      <c r="J1" s="31"/>
      <c r="K1" s="31"/>
      <c r="L1" s="31"/>
      <c r="M1" s="31"/>
      <c r="N1" s="42"/>
    </row>
    <row r="2" spans="1:14" x14ac:dyDescent="0.25">
      <c r="A2" s="43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1"/>
    </row>
    <row r="3" spans="1:14" s="2" customFormat="1" ht="39.75" customHeight="1" thickBot="1" x14ac:dyDescent="0.3">
      <c r="A3" s="44"/>
      <c r="B3" s="45" t="s">
        <v>19</v>
      </c>
      <c r="C3" s="46"/>
      <c r="D3" s="47"/>
      <c r="E3" s="47"/>
      <c r="F3" s="48"/>
      <c r="G3" s="47"/>
      <c r="H3" s="49"/>
      <c r="I3" s="48"/>
      <c r="J3" s="47"/>
      <c r="K3" s="47"/>
      <c r="L3" s="47"/>
      <c r="M3" s="47"/>
      <c r="N3" s="49"/>
    </row>
    <row r="4" spans="1:14" s="18" customFormat="1" ht="9.6" x14ac:dyDescent="0.25">
      <c r="A4" s="48" t="s">
        <v>20</v>
      </c>
      <c r="B4" s="46" t="s">
        <v>17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2" customFormat="1" ht="12.75" customHeight="1" x14ac:dyDescent="0.25">
      <c r="A5" s="51">
        <f>Altalanos!$A$10</f>
        <v>0</v>
      </c>
      <c r="B5" s="52">
        <f>Altalanos!$C$10</f>
        <v>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</row>
    <row r="6" spans="1:14" s="2" customFormat="1" ht="60" customHeight="1" thickBot="1" x14ac:dyDescent="0.3">
      <c r="A6" s="203" t="s">
        <v>21</v>
      </c>
      <c r="B6" s="203"/>
      <c r="C6" s="55"/>
      <c r="D6" s="55"/>
      <c r="E6" s="55"/>
      <c r="F6" s="56"/>
      <c r="G6" s="57"/>
      <c r="H6" s="55"/>
      <c r="I6" s="56"/>
      <c r="J6" s="55"/>
      <c r="K6" s="55"/>
      <c r="L6" s="55"/>
      <c r="M6" s="55"/>
      <c r="N6" s="58"/>
    </row>
    <row r="7" spans="1:14" s="18" customFormat="1" ht="13.5" hidden="1" customHeight="1" x14ac:dyDescent="0.2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s="11" customFormat="1" ht="12.75" hidden="1" customHeight="1" x14ac:dyDescent="0.25">
      <c r="A8" s="6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3"/>
    </row>
    <row r="9" spans="1:14" s="18" customFormat="1" hidden="1" x14ac:dyDescent="0.25">
      <c r="A9" s="62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  <row r="10" spans="1:14" s="18" customFormat="1" ht="9.6" hidden="1" x14ac:dyDescent="0.25">
      <c r="A10" s="59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s="32" customFormat="1" ht="12.75" hidden="1" customHeight="1" x14ac:dyDescent="0.25">
      <c r="A11" s="66"/>
      <c r="B11" s="3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0"/>
    </row>
    <row r="12" spans="1:14" s="18" customFormat="1" ht="9.6" hidden="1" x14ac:dyDescent="0.25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0"/>
    </row>
    <row r="13" spans="1:14" s="11" customFormat="1" ht="12.75" hidden="1" customHeight="1" x14ac:dyDescent="0.25">
      <c r="A13" s="6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2"/>
      <c r="B14" s="63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18" customFormat="1" ht="9.6" hidden="1" x14ac:dyDescent="0.25">
      <c r="A15" s="59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18" customFormat="1" hidden="1" x14ac:dyDescent="0.25">
      <c r="A16" s="66"/>
      <c r="B16" s="3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0"/>
    </row>
    <row r="17" spans="1:16" s="18" customFormat="1" ht="9.6" hidden="1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0"/>
    </row>
    <row r="18" spans="1:16" s="11" customFormat="1" ht="12.75" hidden="1" customHeight="1" x14ac:dyDescent="0.25">
      <c r="A18" s="6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7"/>
      <c r="B19" s="6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07" t="s">
        <v>22</v>
      </c>
      <c r="B20" s="108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5"/>
    </row>
    <row r="21" spans="1:16" s="18" customFormat="1" ht="9.6" x14ac:dyDescent="0.25">
      <c r="A21" s="68" t="s">
        <v>23</v>
      </c>
      <c r="B21" s="69" t="s">
        <v>24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70" t="s">
        <v>47</v>
      </c>
    </row>
    <row r="22" spans="1:16" s="18" customFormat="1" ht="19.5" customHeight="1" x14ac:dyDescent="0.25">
      <c r="A22" s="71"/>
      <c r="B22" s="7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0"/>
      <c r="P22" s="73" t="str">
        <f t="shared" ref="P22:P29" si="0">LEFT(B22,1)&amp;" "&amp;A22</f>
        <v xml:space="preserve"> </v>
      </c>
    </row>
    <row r="23" spans="1:16" s="18" customFormat="1" ht="19.5" customHeight="1" x14ac:dyDescent="0.25">
      <c r="A23" s="71"/>
      <c r="B23" s="7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0"/>
      <c r="P23" s="73" t="str">
        <f t="shared" si="0"/>
        <v xml:space="preserve"> </v>
      </c>
    </row>
    <row r="24" spans="1:16" s="18" customFormat="1" ht="19.5" customHeight="1" x14ac:dyDescent="0.25">
      <c r="A24" s="71"/>
      <c r="B24" s="7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0"/>
      <c r="P24" s="73" t="str">
        <f t="shared" si="0"/>
        <v xml:space="preserve"> </v>
      </c>
    </row>
    <row r="25" spans="1:16" s="2" customFormat="1" ht="19.5" customHeight="1" x14ac:dyDescent="0.25">
      <c r="A25" s="71"/>
      <c r="B25" s="7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0"/>
      <c r="P25" s="73" t="str">
        <f t="shared" si="0"/>
        <v xml:space="preserve"> </v>
      </c>
    </row>
    <row r="26" spans="1:16" s="2" customFormat="1" ht="19.5" customHeight="1" x14ac:dyDescent="0.25">
      <c r="A26" s="71"/>
      <c r="B26" s="7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0"/>
      <c r="P26" s="73" t="str">
        <f t="shared" si="0"/>
        <v xml:space="preserve"> </v>
      </c>
    </row>
    <row r="27" spans="1:16" s="2" customFormat="1" ht="19.5" customHeight="1" x14ac:dyDescent="0.25">
      <c r="A27" s="71"/>
      <c r="B27" s="7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0"/>
      <c r="P27" s="73" t="str">
        <f t="shared" si="0"/>
        <v xml:space="preserve"> </v>
      </c>
    </row>
    <row r="28" spans="1:16" s="2" customFormat="1" ht="19.5" customHeight="1" x14ac:dyDescent="0.25">
      <c r="A28" s="71"/>
      <c r="B28" s="7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0"/>
      <c r="P28" s="73" t="str">
        <f t="shared" si="0"/>
        <v xml:space="preserve"> </v>
      </c>
    </row>
    <row r="29" spans="1:16" s="2" customFormat="1" ht="19.5" customHeight="1" thickBot="1" x14ac:dyDescent="0.3">
      <c r="A29" s="74"/>
      <c r="B29" s="7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0"/>
      <c r="P29" s="73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P30" s="77" t="s">
        <v>48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6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6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6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6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6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6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6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6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</row>
  </sheetData>
  <mergeCells count="1">
    <mergeCell ref="A6:B6"/>
  </mergeCells>
  <phoneticPr fontId="57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3">
    <tabColor indexed="11"/>
  </sheetPr>
  <dimension ref="A1:AK41"/>
  <sheetViews>
    <sheetView tabSelected="1" workbookViewId="0">
      <selection activeCell="Q25" sqref="Q25"/>
    </sheetView>
  </sheetViews>
  <sheetFormatPr defaultColWidth="8.77734375"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44140625" customWidth="1"/>
    <col min="10" max="10" width="7.77734375" customWidth="1"/>
    <col min="11" max="12" width="8.44140625" customWidth="1"/>
    <col min="13" max="13" width="7.77734375" customWidth="1"/>
    <col min="15" max="15" width="5.109375" customWidth="1"/>
    <col min="16" max="16" width="11.44140625" customWidth="1"/>
    <col min="17" max="17" width="9.33203125" customWidth="1"/>
    <col min="25" max="37" width="0" hidden="1" customWidth="1"/>
  </cols>
  <sheetData>
    <row r="1" spans="1:37" ht="24.6" x14ac:dyDescent="0.25">
      <c r="A1" s="206" t="str">
        <f>Altalanos!$A$6</f>
        <v>OB</v>
      </c>
      <c r="B1" s="206"/>
      <c r="C1" s="206"/>
      <c r="D1" s="206"/>
      <c r="E1" s="206"/>
      <c r="F1" s="206"/>
      <c r="G1" s="123"/>
      <c r="H1" s="126" t="s">
        <v>39</v>
      </c>
      <c r="I1" s="124"/>
      <c r="J1" s="125"/>
      <c r="L1" s="127"/>
      <c r="M1" s="128"/>
      <c r="N1" s="83"/>
      <c r="O1" s="83" t="s">
        <v>12</v>
      </c>
      <c r="P1" s="83"/>
      <c r="Q1" s="82"/>
      <c r="R1" s="83"/>
      <c r="AB1" s="196" t="e">
        <f>IF(Y5=1,CONCATENATE(VLOOKUP(Y3,AA16:AH27,2)),CONCATENATE(VLOOKUP(Y3,AA2:AK13,2)))</f>
        <v>#N/A</v>
      </c>
      <c r="AC1" s="196" t="e">
        <f>IF(Y5=1,CONCATENATE(VLOOKUP(Y3,AA16:AK27,3)),CONCATENATE(VLOOKUP(Y3,AA2:AK13,3)))</f>
        <v>#N/A</v>
      </c>
      <c r="AD1" s="196" t="e">
        <f>IF(Y5=1,CONCATENATE(VLOOKUP(Y3,AA16:AK27,4)),CONCATENATE(VLOOKUP(Y3,AA2:AK13,4)))</f>
        <v>#N/A</v>
      </c>
      <c r="AE1" s="196" t="e">
        <f>IF(Y5=1,CONCATENATE(VLOOKUP(Y3,AA16:AK27,5)),CONCATENATE(VLOOKUP(Y3,AA2:AK13,5)))</f>
        <v>#N/A</v>
      </c>
      <c r="AF1" s="196" t="e">
        <f>IF(Y5=1,CONCATENATE(VLOOKUP(Y3,AA16:AK27,6)),CONCATENATE(VLOOKUP(Y3,AA2:AK13,6)))</f>
        <v>#N/A</v>
      </c>
      <c r="AG1" s="196" t="e">
        <f>IF(Y5=1,CONCATENATE(VLOOKUP(Y3,AA16:AK27,7)),CONCATENATE(VLOOKUP(Y3,AA2:AK13,7)))</f>
        <v>#N/A</v>
      </c>
      <c r="AH1" s="196" t="e">
        <f>IF(Y5=1,CONCATENATE(VLOOKUP(Y3,AA16:AK27,8)),CONCATENATE(VLOOKUP(Y3,AA2:AK13,8)))</f>
        <v>#N/A</v>
      </c>
      <c r="AI1" s="196" t="e">
        <f>IF(Y5=1,CONCATENATE(VLOOKUP(Y3,AA16:AK27,9)),CONCATENATE(VLOOKUP(Y3,AA2:AK13,9)))</f>
        <v>#N/A</v>
      </c>
      <c r="AJ1" s="196" t="e">
        <f>IF(Y5=1,CONCATENATE(VLOOKUP(Y3,AA16:AK27,10)),CONCATENATE(VLOOKUP(Y3,AA2:AK13,10)))</f>
        <v>#N/A</v>
      </c>
      <c r="AK1" s="196" t="e">
        <f>IF(Y5=1,CONCATENATE(VLOOKUP(Y3,AA16:AK27,11)),CONCATENATE(VLOOKUP(Y3,AA2:AK13,11)))</f>
        <v>#N/A</v>
      </c>
    </row>
    <row r="2" spans="1:37" x14ac:dyDescent="0.25">
      <c r="A2" s="129" t="s">
        <v>38</v>
      </c>
      <c r="B2" s="130"/>
      <c r="C2" s="130"/>
      <c r="D2" s="130"/>
      <c r="E2" s="130">
        <f>Altalanos!$A$8</f>
        <v>0</v>
      </c>
      <c r="F2" s="130"/>
      <c r="G2" s="131"/>
      <c r="H2" s="132"/>
      <c r="I2" s="132"/>
      <c r="J2" s="133"/>
      <c r="K2" s="127"/>
      <c r="L2" s="127"/>
      <c r="M2" s="127"/>
      <c r="N2" s="84"/>
      <c r="O2" s="81"/>
      <c r="P2" s="84"/>
      <c r="Q2" s="81"/>
      <c r="R2" s="84"/>
      <c r="Y2" s="192"/>
      <c r="Z2" s="191"/>
      <c r="AA2" s="191" t="s">
        <v>52</v>
      </c>
      <c r="AB2" s="185">
        <v>150</v>
      </c>
      <c r="AC2" s="185">
        <v>120</v>
      </c>
      <c r="AD2" s="185">
        <v>100</v>
      </c>
      <c r="AE2" s="185">
        <v>80</v>
      </c>
      <c r="AF2" s="185">
        <v>70</v>
      </c>
      <c r="AG2" s="185">
        <v>60</v>
      </c>
      <c r="AH2" s="185">
        <v>55</v>
      </c>
      <c r="AI2" s="185">
        <v>50</v>
      </c>
      <c r="AJ2" s="185">
        <v>45</v>
      </c>
      <c r="AK2" s="185">
        <v>40</v>
      </c>
    </row>
    <row r="3" spans="1:37" x14ac:dyDescent="0.25">
      <c r="A3" s="48" t="s">
        <v>20</v>
      </c>
      <c r="B3" s="48"/>
      <c r="C3" s="48"/>
      <c r="D3" s="48"/>
      <c r="E3" s="48" t="s">
        <v>17</v>
      </c>
      <c r="F3" s="48"/>
      <c r="G3" s="48"/>
      <c r="H3" s="48" t="s">
        <v>25</v>
      </c>
      <c r="I3" s="48"/>
      <c r="J3" s="85"/>
      <c r="K3" s="48"/>
      <c r="L3" s="49" t="s">
        <v>26</v>
      </c>
      <c r="M3" s="48"/>
      <c r="N3" s="151"/>
      <c r="O3" s="150"/>
      <c r="P3" s="151"/>
      <c r="Q3" s="150"/>
      <c r="R3" s="152"/>
      <c r="Y3" s="191">
        <f>IF(H4="OB","A",IF(H4="IX","W",H4))</f>
        <v>0</v>
      </c>
      <c r="Z3" s="191"/>
      <c r="AA3" s="191" t="s">
        <v>82</v>
      </c>
      <c r="AB3" s="185">
        <v>120</v>
      </c>
      <c r="AC3" s="185">
        <v>90</v>
      </c>
      <c r="AD3" s="185">
        <v>65</v>
      </c>
      <c r="AE3" s="185">
        <v>55</v>
      </c>
      <c r="AF3" s="185">
        <v>50</v>
      </c>
      <c r="AG3" s="185">
        <v>45</v>
      </c>
      <c r="AH3" s="185">
        <v>40</v>
      </c>
      <c r="AI3" s="185">
        <v>35</v>
      </c>
      <c r="AJ3" s="185">
        <v>25</v>
      </c>
      <c r="AK3" s="185">
        <v>20</v>
      </c>
    </row>
    <row r="4" spans="1:37" ht="13.8" thickBot="1" x14ac:dyDescent="0.3">
      <c r="A4" s="210">
        <f>Altalanos!$A$10</f>
        <v>0</v>
      </c>
      <c r="B4" s="210"/>
      <c r="C4" s="210"/>
      <c r="D4" s="134"/>
      <c r="E4" s="135">
        <f>Altalanos!$C$10</f>
        <v>0</v>
      </c>
      <c r="F4" s="135"/>
      <c r="G4" s="135"/>
      <c r="H4" s="137"/>
      <c r="I4" s="135"/>
      <c r="J4" s="136"/>
      <c r="K4" s="137"/>
      <c r="L4" s="138">
        <f>Altalanos!$E$10</f>
        <v>0</v>
      </c>
      <c r="M4" s="137"/>
      <c r="N4" s="153"/>
      <c r="O4" s="154"/>
      <c r="P4" s="184" t="s">
        <v>66</v>
      </c>
      <c r="Q4" s="185" t="s">
        <v>75</v>
      </c>
      <c r="R4" s="185" t="s">
        <v>71</v>
      </c>
      <c r="S4" s="38"/>
      <c r="Y4" s="191"/>
      <c r="Z4" s="191"/>
      <c r="AA4" s="191" t="s">
        <v>83</v>
      </c>
      <c r="AB4" s="185">
        <v>90</v>
      </c>
      <c r="AC4" s="185">
        <v>60</v>
      </c>
      <c r="AD4" s="185">
        <v>45</v>
      </c>
      <c r="AE4" s="185">
        <v>34</v>
      </c>
      <c r="AF4" s="185">
        <v>27</v>
      </c>
      <c r="AG4" s="185">
        <v>22</v>
      </c>
      <c r="AH4" s="185">
        <v>18</v>
      </c>
      <c r="AI4" s="185">
        <v>15</v>
      </c>
      <c r="AJ4" s="185">
        <v>12</v>
      </c>
      <c r="AK4" s="185">
        <v>9</v>
      </c>
    </row>
    <row r="5" spans="1:37" x14ac:dyDescent="0.25">
      <c r="A5" s="31"/>
      <c r="B5" s="31" t="s">
        <v>37</v>
      </c>
      <c r="C5" s="149" t="s">
        <v>50</v>
      </c>
      <c r="D5" s="31" t="s">
        <v>32</v>
      </c>
      <c r="E5" s="31" t="s">
        <v>55</v>
      </c>
      <c r="F5" s="31"/>
      <c r="G5" s="31" t="s">
        <v>24</v>
      </c>
      <c r="H5" s="31"/>
      <c r="I5" s="31" t="s">
        <v>27</v>
      </c>
      <c r="J5" s="31"/>
      <c r="K5" s="178" t="s">
        <v>56</v>
      </c>
      <c r="L5" s="178" t="s">
        <v>57</v>
      </c>
      <c r="M5" s="178" t="s">
        <v>58</v>
      </c>
      <c r="P5" s="186" t="s">
        <v>73</v>
      </c>
      <c r="Q5" s="187" t="s">
        <v>69</v>
      </c>
      <c r="R5" s="187" t="s">
        <v>76</v>
      </c>
      <c r="S5" s="38"/>
      <c r="Y5" s="191">
        <f>IF(OR(Altalanos!$A$8="F1",Altalanos!$A$8="F2",Altalanos!$A$8="N1",Altalanos!$A$8="N2"),1,2)</f>
        <v>2</v>
      </c>
      <c r="Z5" s="191"/>
      <c r="AA5" s="191" t="s">
        <v>84</v>
      </c>
      <c r="AB5" s="185">
        <v>60</v>
      </c>
      <c r="AC5" s="185">
        <v>40</v>
      </c>
      <c r="AD5" s="185">
        <v>30</v>
      </c>
      <c r="AE5" s="185">
        <v>20</v>
      </c>
      <c r="AF5" s="185">
        <v>18</v>
      </c>
      <c r="AG5" s="185">
        <v>15</v>
      </c>
      <c r="AH5" s="185">
        <v>12</v>
      </c>
      <c r="AI5" s="185">
        <v>10</v>
      </c>
      <c r="AJ5" s="185">
        <v>8</v>
      </c>
      <c r="AK5" s="185">
        <v>6</v>
      </c>
    </row>
    <row r="6" spans="1:37" x14ac:dyDescent="0.25">
      <c r="A6" s="140"/>
      <c r="B6" s="140"/>
      <c r="C6" s="177"/>
      <c r="D6" s="140"/>
      <c r="E6" s="140"/>
      <c r="F6" s="140"/>
      <c r="G6" s="140"/>
      <c r="H6" s="140"/>
      <c r="I6" s="140"/>
      <c r="J6" s="140"/>
      <c r="K6" s="140"/>
      <c r="L6" s="140"/>
      <c r="M6" s="140"/>
      <c r="P6" s="188" t="s">
        <v>74</v>
      </c>
      <c r="Q6" s="189" t="s">
        <v>77</v>
      </c>
      <c r="R6" s="189" t="s">
        <v>72</v>
      </c>
      <c r="S6" s="38"/>
      <c r="Y6" s="191"/>
      <c r="Z6" s="191"/>
      <c r="AA6" s="191" t="s">
        <v>85</v>
      </c>
      <c r="AB6" s="185">
        <v>40</v>
      </c>
      <c r="AC6" s="185">
        <v>25</v>
      </c>
      <c r="AD6" s="185">
        <v>18</v>
      </c>
      <c r="AE6" s="185">
        <v>13</v>
      </c>
      <c r="AF6" s="185">
        <v>10</v>
      </c>
      <c r="AG6" s="185">
        <v>8</v>
      </c>
      <c r="AH6" s="185">
        <v>6</v>
      </c>
      <c r="AI6" s="185">
        <v>5</v>
      </c>
      <c r="AJ6" s="185">
        <v>4</v>
      </c>
      <c r="AK6" s="185">
        <v>3</v>
      </c>
    </row>
    <row r="7" spans="1:37" x14ac:dyDescent="0.25">
      <c r="A7" s="155" t="s">
        <v>52</v>
      </c>
      <c r="B7" s="179"/>
      <c r="C7" s="181" t="str">
        <f>IF($B7="","",VLOOKUP($B7,#REF!,5))</f>
        <v/>
      </c>
      <c r="D7" s="181" t="str">
        <f>IF($B7="","",VLOOKUP($B7,#REF!,15))</f>
        <v/>
      </c>
      <c r="E7" s="216" t="s">
        <v>107</v>
      </c>
      <c r="F7" s="213"/>
      <c r="G7" s="213">
        <v>82</v>
      </c>
      <c r="H7" s="213"/>
      <c r="I7" t="s">
        <v>112</v>
      </c>
      <c r="J7" s="140"/>
      <c r="K7" s="197">
        <v>2</v>
      </c>
      <c r="L7" s="193" t="e">
        <f>IF(K7="","",CONCATENATE(VLOOKUP($Y$3,$AB$1:$AK$1,K7)," pont"))</f>
        <v>#N/A</v>
      </c>
      <c r="M7" s="198"/>
      <c r="P7" s="184" t="s">
        <v>80</v>
      </c>
      <c r="Q7" s="185" t="s">
        <v>68</v>
      </c>
      <c r="R7" s="185" t="s">
        <v>78</v>
      </c>
      <c r="Y7" s="191"/>
      <c r="Z7" s="191"/>
      <c r="AA7" s="191" t="s">
        <v>86</v>
      </c>
      <c r="AB7" s="185">
        <v>25</v>
      </c>
      <c r="AC7" s="185">
        <v>15</v>
      </c>
      <c r="AD7" s="185">
        <v>13</v>
      </c>
      <c r="AE7" s="185">
        <v>8</v>
      </c>
      <c r="AF7" s="185">
        <v>6</v>
      </c>
      <c r="AG7" s="185">
        <v>4</v>
      </c>
      <c r="AH7" s="185">
        <v>3</v>
      </c>
      <c r="AI7" s="185">
        <v>2</v>
      </c>
      <c r="AJ7" s="185">
        <v>1</v>
      </c>
      <c r="AK7" s="185">
        <v>0</v>
      </c>
    </row>
    <row r="8" spans="1:37" x14ac:dyDescent="0.25">
      <c r="A8" s="155"/>
      <c r="B8" s="180"/>
      <c r="C8" s="182"/>
      <c r="D8" s="182"/>
      <c r="E8" s="182"/>
      <c r="F8" s="182"/>
      <c r="G8" s="182"/>
      <c r="H8" s="182"/>
      <c r="I8" s="182"/>
      <c r="J8" s="140"/>
      <c r="K8" s="155"/>
      <c r="L8" s="155"/>
      <c r="M8" s="199"/>
      <c r="P8" s="186" t="s">
        <v>81</v>
      </c>
      <c r="Q8" s="187" t="s">
        <v>70</v>
      </c>
      <c r="R8" s="187" t="s">
        <v>79</v>
      </c>
      <c r="Y8" s="191"/>
      <c r="Z8" s="191"/>
      <c r="AA8" s="191" t="s">
        <v>87</v>
      </c>
      <c r="AB8" s="185">
        <v>15</v>
      </c>
      <c r="AC8" s="185">
        <v>10</v>
      </c>
      <c r="AD8" s="185">
        <v>7</v>
      </c>
      <c r="AE8" s="185">
        <v>5</v>
      </c>
      <c r="AF8" s="185">
        <v>4</v>
      </c>
      <c r="AG8" s="185">
        <v>3</v>
      </c>
      <c r="AH8" s="185">
        <v>2</v>
      </c>
      <c r="AI8" s="185">
        <v>1</v>
      </c>
      <c r="AJ8" s="185">
        <v>0</v>
      </c>
      <c r="AK8" s="185">
        <v>0</v>
      </c>
    </row>
    <row r="9" spans="1:37" x14ac:dyDescent="0.25">
      <c r="A9" s="155" t="s">
        <v>53</v>
      </c>
      <c r="B9" s="179"/>
      <c r="C9" s="181" t="str">
        <f>IF($B9="","",VLOOKUP($B9,#REF!,5))</f>
        <v/>
      </c>
      <c r="D9" s="181" t="str">
        <f>IF($B9="","",VLOOKUP($B9,#REF!,15))</f>
        <v/>
      </c>
      <c r="E9" s="216" t="s">
        <v>110</v>
      </c>
      <c r="F9" s="213"/>
      <c r="G9" s="213">
        <v>136</v>
      </c>
      <c r="H9" s="213"/>
      <c r="I9" t="s">
        <v>112</v>
      </c>
      <c r="J9" s="140"/>
      <c r="K9" s="197">
        <v>1</v>
      </c>
      <c r="L9" s="193" t="e">
        <f>IF(K9="","",CONCATENATE(VLOOKUP($Y$3,$AB$1:$AK$1,K9)," pont"))</f>
        <v>#N/A</v>
      </c>
      <c r="M9" s="198"/>
      <c r="Y9" s="191"/>
      <c r="Z9" s="191"/>
      <c r="AA9" s="191" t="s">
        <v>88</v>
      </c>
      <c r="AB9" s="185">
        <v>10</v>
      </c>
      <c r="AC9" s="185">
        <v>6</v>
      </c>
      <c r="AD9" s="185">
        <v>4</v>
      </c>
      <c r="AE9" s="185">
        <v>2</v>
      </c>
      <c r="AF9" s="185">
        <v>1</v>
      </c>
      <c r="AG9" s="185">
        <v>0</v>
      </c>
      <c r="AH9" s="185">
        <v>0</v>
      </c>
      <c r="AI9" s="185">
        <v>0</v>
      </c>
      <c r="AJ9" s="185">
        <v>0</v>
      </c>
      <c r="AK9" s="185">
        <v>0</v>
      </c>
    </row>
    <row r="10" spans="1:37" x14ac:dyDescent="0.25">
      <c r="A10" s="155"/>
      <c r="B10" s="180"/>
      <c r="C10" s="182"/>
      <c r="D10" s="182"/>
      <c r="E10" s="182"/>
      <c r="F10" s="182"/>
      <c r="G10" s="182"/>
      <c r="H10" s="182"/>
      <c r="I10" s="182"/>
      <c r="J10" s="140"/>
      <c r="K10" s="155"/>
      <c r="L10" s="155"/>
      <c r="M10" s="199"/>
      <c r="Y10" s="191"/>
      <c r="Z10" s="191"/>
      <c r="AA10" s="191" t="s">
        <v>89</v>
      </c>
      <c r="AB10" s="185">
        <v>6</v>
      </c>
      <c r="AC10" s="185">
        <v>3</v>
      </c>
      <c r="AD10" s="185">
        <v>2</v>
      </c>
      <c r="AE10" s="185">
        <v>1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</row>
    <row r="11" spans="1:37" x14ac:dyDescent="0.25">
      <c r="A11" s="155" t="s">
        <v>54</v>
      </c>
      <c r="B11" s="179"/>
      <c r="C11" s="181" t="str">
        <f>IF($B11="","",VLOOKUP($B11,#REF!,5))</f>
        <v/>
      </c>
      <c r="D11" s="181" t="str">
        <f>IF($B11="","",VLOOKUP($B11,#REF!,15))</f>
        <v/>
      </c>
      <c r="E11" s="216" t="s">
        <v>109</v>
      </c>
      <c r="F11" s="213"/>
      <c r="G11" s="213">
        <v>149</v>
      </c>
      <c r="H11" s="213"/>
      <c r="I11" t="s">
        <v>112</v>
      </c>
      <c r="J11" s="140"/>
      <c r="K11" s="197">
        <v>4</v>
      </c>
      <c r="L11" s="193" t="e">
        <f>IF(K11="","",CONCATENATE(VLOOKUP($Y$3,$AB$1:$AK$1,K11)," pont"))</f>
        <v>#N/A</v>
      </c>
      <c r="M11" s="198"/>
      <c r="Y11" s="191"/>
      <c r="Z11" s="191"/>
      <c r="AA11" s="191" t="s">
        <v>94</v>
      </c>
      <c r="AB11" s="185">
        <v>3</v>
      </c>
      <c r="AC11" s="185">
        <v>2</v>
      </c>
      <c r="AD11" s="185">
        <v>1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</row>
    <row r="12" spans="1:37" x14ac:dyDescent="0.25">
      <c r="A12" s="155"/>
      <c r="B12" s="180"/>
      <c r="C12" s="182"/>
      <c r="D12" s="182"/>
      <c r="E12" s="182"/>
      <c r="F12" s="182"/>
      <c r="G12" s="182"/>
      <c r="H12" s="182"/>
      <c r="I12" s="182"/>
      <c r="J12" s="140"/>
      <c r="K12" s="177"/>
      <c r="L12" s="177"/>
      <c r="M12" s="199"/>
      <c r="Y12" s="191"/>
      <c r="Z12" s="191"/>
      <c r="AA12" s="191" t="s">
        <v>90</v>
      </c>
      <c r="AB12" s="195">
        <v>0</v>
      </c>
      <c r="AC12" s="195">
        <v>0</v>
      </c>
      <c r="AD12" s="195">
        <v>0</v>
      </c>
      <c r="AE12" s="195">
        <v>0</v>
      </c>
      <c r="AF12" s="195">
        <v>0</v>
      </c>
      <c r="AG12" s="195">
        <v>0</v>
      </c>
      <c r="AH12" s="195">
        <v>0</v>
      </c>
      <c r="AI12" s="195">
        <v>0</v>
      </c>
      <c r="AJ12" s="195">
        <v>0</v>
      </c>
      <c r="AK12" s="195">
        <v>0</v>
      </c>
    </row>
    <row r="13" spans="1:37" x14ac:dyDescent="0.25">
      <c r="A13" s="155" t="s">
        <v>59</v>
      </c>
      <c r="B13" s="179"/>
      <c r="C13" s="181" t="str">
        <f>IF($B13="","",VLOOKUP($B13,#REF!,5))</f>
        <v/>
      </c>
      <c r="D13" s="181" t="str">
        <f>IF($B13="","",VLOOKUP($B13,#REF!,15))</f>
        <v/>
      </c>
      <c r="E13" s="216" t="s">
        <v>108</v>
      </c>
      <c r="F13" s="213"/>
      <c r="G13" s="213" t="str">
        <f>IF($B13="","",VLOOKUP($B13,#REF!,3))</f>
        <v/>
      </c>
      <c r="H13" s="213"/>
      <c r="I13" t="s">
        <v>112</v>
      </c>
      <c r="J13" s="140"/>
      <c r="K13" s="197">
        <v>5</v>
      </c>
      <c r="L13" s="193" t="e">
        <f>IF(K13="","",CONCATENATE(VLOOKUP($Y$3,$AB$1:$AK$1,K13)," pont"))</f>
        <v>#N/A</v>
      </c>
      <c r="M13" s="198"/>
      <c r="Y13" s="191"/>
      <c r="Z13" s="191"/>
      <c r="AA13" s="191" t="s">
        <v>91</v>
      </c>
      <c r="AB13" s="195">
        <v>0</v>
      </c>
      <c r="AC13" s="195">
        <v>0</v>
      </c>
      <c r="AD13" s="195">
        <v>0</v>
      </c>
      <c r="AE13" s="195">
        <v>0</v>
      </c>
      <c r="AF13" s="195">
        <v>0</v>
      </c>
      <c r="AG13" s="195">
        <v>0</v>
      </c>
      <c r="AH13" s="195">
        <v>0</v>
      </c>
      <c r="AI13" s="195">
        <v>0</v>
      </c>
      <c r="AJ13" s="195">
        <v>0</v>
      </c>
      <c r="AK13" s="195">
        <v>0</v>
      </c>
    </row>
    <row r="14" spans="1:37" x14ac:dyDescent="0.25">
      <c r="A14" s="155"/>
      <c r="B14" s="180"/>
      <c r="C14" s="182"/>
      <c r="D14" s="182"/>
      <c r="E14" s="182"/>
      <c r="F14" s="182"/>
      <c r="G14" s="182"/>
      <c r="H14" s="182"/>
      <c r="I14" s="182"/>
      <c r="J14" s="140"/>
      <c r="K14" s="155"/>
      <c r="L14" s="155"/>
      <c r="M14" s="199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</row>
    <row r="15" spans="1:37" x14ac:dyDescent="0.25">
      <c r="A15" s="155" t="s">
        <v>60</v>
      </c>
      <c r="B15" s="179"/>
      <c r="C15" s="181" t="str">
        <f>IF($B15="","",VLOOKUP($B15,#REF!,5))</f>
        <v/>
      </c>
      <c r="D15" s="181" t="str">
        <f>IF($B15="","",VLOOKUP($B15,#REF!,15))</f>
        <v/>
      </c>
      <c r="E15" s="216" t="s">
        <v>111</v>
      </c>
      <c r="F15" s="213"/>
      <c r="G15" s="213" t="str">
        <f>IF($B15="","",VLOOKUP($B15,#REF!,3))</f>
        <v/>
      </c>
      <c r="H15" s="213"/>
      <c r="I15" t="s">
        <v>112</v>
      </c>
      <c r="J15" s="140"/>
      <c r="K15" s="197">
        <v>3</v>
      </c>
      <c r="L15" s="193" t="e">
        <f>IF(K15="","",CONCATENATE(VLOOKUP($Y$3,$AB$1:$AK$1,K15)," pont"))</f>
        <v>#N/A</v>
      </c>
      <c r="M15" s="198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</row>
    <row r="16" spans="1:37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Y16" s="191"/>
      <c r="Z16" s="191"/>
      <c r="AA16" s="191" t="s">
        <v>52</v>
      </c>
      <c r="AB16" s="191">
        <v>300</v>
      </c>
      <c r="AC16" s="191">
        <v>250</v>
      </c>
      <c r="AD16" s="191">
        <v>220</v>
      </c>
      <c r="AE16" s="191">
        <v>180</v>
      </c>
      <c r="AF16" s="191">
        <v>160</v>
      </c>
      <c r="AG16" s="191">
        <v>150</v>
      </c>
      <c r="AH16" s="191">
        <v>140</v>
      </c>
      <c r="AI16" s="191">
        <v>130</v>
      </c>
      <c r="AJ16" s="191">
        <v>120</v>
      </c>
      <c r="AK16" s="191">
        <v>110</v>
      </c>
    </row>
    <row r="17" spans="1:37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Y17" s="191"/>
      <c r="Z17" s="191"/>
      <c r="AA17" s="191" t="s">
        <v>82</v>
      </c>
      <c r="AB17" s="191">
        <v>250</v>
      </c>
      <c r="AC17" s="191">
        <v>200</v>
      </c>
      <c r="AD17" s="191">
        <v>160</v>
      </c>
      <c r="AE17" s="191">
        <v>140</v>
      </c>
      <c r="AF17" s="191">
        <v>120</v>
      </c>
      <c r="AG17" s="191">
        <v>110</v>
      </c>
      <c r="AH17" s="191">
        <v>100</v>
      </c>
      <c r="AI17" s="191">
        <v>90</v>
      </c>
      <c r="AJ17" s="191">
        <v>80</v>
      </c>
      <c r="AK17" s="191">
        <v>70</v>
      </c>
    </row>
    <row r="18" spans="1:37" ht="18.75" customHeight="1" x14ac:dyDescent="0.25">
      <c r="A18" s="140"/>
      <c r="B18" s="204"/>
      <c r="C18" s="204"/>
      <c r="D18" s="211" t="str">
        <f>E7</f>
        <v>Varga-Karádi Benjámin</v>
      </c>
      <c r="E18" s="211"/>
      <c r="F18" s="211" t="str">
        <f>E9</f>
        <v>Neuvirth Dávid</v>
      </c>
      <c r="G18" s="211"/>
      <c r="H18" s="211" t="str">
        <f>E11</f>
        <v>Gróf Zétény</v>
      </c>
      <c r="I18" s="211"/>
      <c r="J18" s="211" t="str">
        <f>E13</f>
        <v>Kopácsi Martin</v>
      </c>
      <c r="K18" s="211"/>
      <c r="L18" s="211" t="str">
        <f>E15</f>
        <v>Simon Ákos</v>
      </c>
      <c r="M18" s="211"/>
      <c r="Y18" s="191"/>
      <c r="Z18" s="191"/>
      <c r="AA18" s="191" t="s">
        <v>83</v>
      </c>
      <c r="AB18" s="191">
        <v>200</v>
      </c>
      <c r="AC18" s="191">
        <v>150</v>
      </c>
      <c r="AD18" s="191">
        <v>130</v>
      </c>
      <c r="AE18" s="191">
        <v>110</v>
      </c>
      <c r="AF18" s="191">
        <v>95</v>
      </c>
      <c r="AG18" s="191">
        <v>80</v>
      </c>
      <c r="AH18" s="191">
        <v>70</v>
      </c>
      <c r="AI18" s="191">
        <v>60</v>
      </c>
      <c r="AJ18" s="191">
        <v>55</v>
      </c>
      <c r="AK18" s="191">
        <v>50</v>
      </c>
    </row>
    <row r="19" spans="1:37" ht="18.75" customHeight="1" x14ac:dyDescent="0.25">
      <c r="A19" s="183" t="s">
        <v>52</v>
      </c>
      <c r="B19" s="208" t="str">
        <f>E7</f>
        <v>Varga-Karádi Benjámin</v>
      </c>
      <c r="C19" s="208"/>
      <c r="D19" s="209"/>
      <c r="E19" s="209"/>
      <c r="F19" s="215" t="s">
        <v>113</v>
      </c>
      <c r="G19" s="205"/>
      <c r="H19" s="215" t="s">
        <v>114</v>
      </c>
      <c r="I19" s="205"/>
      <c r="J19" s="214" t="s">
        <v>115</v>
      </c>
      <c r="K19" s="211"/>
      <c r="L19" s="214" t="s">
        <v>114</v>
      </c>
      <c r="M19" s="211"/>
      <c r="Y19" s="191"/>
      <c r="Z19" s="191"/>
      <c r="AA19" s="191" t="s">
        <v>84</v>
      </c>
      <c r="AB19" s="191">
        <v>150</v>
      </c>
      <c r="AC19" s="191">
        <v>120</v>
      </c>
      <c r="AD19" s="191">
        <v>100</v>
      </c>
      <c r="AE19" s="191">
        <v>80</v>
      </c>
      <c r="AF19" s="191">
        <v>70</v>
      </c>
      <c r="AG19" s="191">
        <v>60</v>
      </c>
      <c r="AH19" s="191">
        <v>55</v>
      </c>
      <c r="AI19" s="191">
        <v>50</v>
      </c>
      <c r="AJ19" s="191">
        <v>45</v>
      </c>
      <c r="AK19" s="191">
        <v>40</v>
      </c>
    </row>
    <row r="20" spans="1:37" ht="18.75" customHeight="1" x14ac:dyDescent="0.25">
      <c r="A20" s="183" t="s">
        <v>53</v>
      </c>
      <c r="B20" s="208" t="str">
        <f>E9</f>
        <v>Neuvirth Dávid</v>
      </c>
      <c r="C20" s="208"/>
      <c r="D20" s="215" t="s">
        <v>116</v>
      </c>
      <c r="E20" s="205"/>
      <c r="F20" s="209"/>
      <c r="G20" s="209"/>
      <c r="H20" s="215" t="s">
        <v>114</v>
      </c>
      <c r="I20" s="205"/>
      <c r="J20" s="215" t="s">
        <v>114</v>
      </c>
      <c r="K20" s="205"/>
      <c r="L20" s="214" t="s">
        <v>117</v>
      </c>
      <c r="M20" s="211"/>
      <c r="Y20" s="191"/>
      <c r="Z20" s="191"/>
      <c r="AA20" s="191" t="s">
        <v>85</v>
      </c>
      <c r="AB20" s="191">
        <v>120</v>
      </c>
      <c r="AC20" s="191">
        <v>90</v>
      </c>
      <c r="AD20" s="191">
        <v>65</v>
      </c>
      <c r="AE20" s="191">
        <v>55</v>
      </c>
      <c r="AF20" s="191">
        <v>50</v>
      </c>
      <c r="AG20" s="191">
        <v>45</v>
      </c>
      <c r="AH20" s="191">
        <v>40</v>
      </c>
      <c r="AI20" s="191">
        <v>35</v>
      </c>
      <c r="AJ20" s="191">
        <v>25</v>
      </c>
      <c r="AK20" s="191">
        <v>20</v>
      </c>
    </row>
    <row r="21" spans="1:37" ht="18.75" customHeight="1" x14ac:dyDescent="0.25">
      <c r="A21" s="183" t="s">
        <v>54</v>
      </c>
      <c r="B21" s="208" t="str">
        <f>E11</f>
        <v>Gróf Zétény</v>
      </c>
      <c r="C21" s="208"/>
      <c r="D21" s="215" t="s">
        <v>116</v>
      </c>
      <c r="E21" s="205"/>
      <c r="F21" s="215" t="s">
        <v>116</v>
      </c>
      <c r="G21" s="205"/>
      <c r="H21" s="209"/>
      <c r="I21" s="209"/>
      <c r="J21" s="215" t="s">
        <v>115</v>
      </c>
      <c r="K21" s="205"/>
      <c r="L21" s="215" t="s">
        <v>118</v>
      </c>
      <c r="M21" s="205"/>
      <c r="Y21" s="191"/>
      <c r="Z21" s="191"/>
      <c r="AA21" s="191" t="s">
        <v>86</v>
      </c>
      <c r="AB21" s="191">
        <v>90</v>
      </c>
      <c r="AC21" s="191">
        <v>60</v>
      </c>
      <c r="AD21" s="191">
        <v>45</v>
      </c>
      <c r="AE21" s="191">
        <v>34</v>
      </c>
      <c r="AF21" s="191">
        <v>27</v>
      </c>
      <c r="AG21" s="191">
        <v>22</v>
      </c>
      <c r="AH21" s="191">
        <v>18</v>
      </c>
      <c r="AI21" s="191">
        <v>15</v>
      </c>
      <c r="AJ21" s="191">
        <v>12</v>
      </c>
      <c r="AK21" s="191">
        <v>9</v>
      </c>
    </row>
    <row r="22" spans="1:37" ht="18.75" customHeight="1" x14ac:dyDescent="0.25">
      <c r="A22" s="183" t="s">
        <v>59</v>
      </c>
      <c r="B22" s="208" t="str">
        <f>E13</f>
        <v>Kopácsi Martin</v>
      </c>
      <c r="C22" s="208"/>
      <c r="D22" s="215" t="s">
        <v>121</v>
      </c>
      <c r="E22" s="205"/>
      <c r="F22" s="215" t="s">
        <v>116</v>
      </c>
      <c r="G22" s="205"/>
      <c r="H22" s="214" t="s">
        <v>120</v>
      </c>
      <c r="I22" s="211"/>
      <c r="J22" s="209"/>
      <c r="K22" s="209"/>
      <c r="L22" s="215" t="s">
        <v>119</v>
      </c>
      <c r="M22" s="205"/>
      <c r="Y22" s="191"/>
      <c r="Z22" s="191"/>
      <c r="AA22" s="191" t="s">
        <v>87</v>
      </c>
      <c r="AB22" s="191">
        <v>60</v>
      </c>
      <c r="AC22" s="191">
        <v>40</v>
      </c>
      <c r="AD22" s="191">
        <v>30</v>
      </c>
      <c r="AE22" s="191">
        <v>20</v>
      </c>
      <c r="AF22" s="191">
        <v>18</v>
      </c>
      <c r="AG22" s="191">
        <v>15</v>
      </c>
      <c r="AH22" s="191">
        <v>12</v>
      </c>
      <c r="AI22" s="191">
        <v>10</v>
      </c>
      <c r="AJ22" s="191">
        <v>8</v>
      </c>
      <c r="AK22" s="191">
        <v>6</v>
      </c>
    </row>
    <row r="23" spans="1:37" ht="18.75" customHeight="1" x14ac:dyDescent="0.25">
      <c r="A23" s="183" t="s">
        <v>60</v>
      </c>
      <c r="B23" s="208" t="str">
        <f>E15</f>
        <v>Simon Ákos</v>
      </c>
      <c r="C23" s="208"/>
      <c r="D23" s="215" t="s">
        <v>116</v>
      </c>
      <c r="E23" s="205"/>
      <c r="F23" s="214" t="s">
        <v>122</v>
      </c>
      <c r="G23" s="211"/>
      <c r="H23" s="214" t="s">
        <v>123</v>
      </c>
      <c r="I23" s="211"/>
      <c r="J23" s="214" t="s">
        <v>124</v>
      </c>
      <c r="K23" s="211"/>
      <c r="L23" s="209"/>
      <c r="M23" s="209"/>
      <c r="Y23" s="191"/>
      <c r="Z23" s="191"/>
      <c r="AA23" s="191" t="s">
        <v>88</v>
      </c>
      <c r="AB23" s="191">
        <v>40</v>
      </c>
      <c r="AC23" s="191">
        <v>25</v>
      </c>
      <c r="AD23" s="191">
        <v>18</v>
      </c>
      <c r="AE23" s="191">
        <v>13</v>
      </c>
      <c r="AF23" s="191">
        <v>8</v>
      </c>
      <c r="AG23" s="191">
        <v>7</v>
      </c>
      <c r="AH23" s="191">
        <v>6</v>
      </c>
      <c r="AI23" s="191">
        <v>5</v>
      </c>
      <c r="AJ23" s="191">
        <v>4</v>
      </c>
      <c r="AK23" s="191">
        <v>3</v>
      </c>
    </row>
    <row r="24" spans="1:37" x14ac:dyDescent="0.25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Y24" s="191"/>
      <c r="Z24" s="191"/>
      <c r="AA24" s="191" t="s">
        <v>89</v>
      </c>
      <c r="AB24" s="191">
        <v>25</v>
      </c>
      <c r="AC24" s="191">
        <v>15</v>
      </c>
      <c r="AD24" s="191">
        <v>13</v>
      </c>
      <c r="AE24" s="191">
        <v>7</v>
      </c>
      <c r="AF24" s="191">
        <v>6</v>
      </c>
      <c r="AG24" s="191">
        <v>5</v>
      </c>
      <c r="AH24" s="191">
        <v>4</v>
      </c>
      <c r="AI24" s="191">
        <v>3</v>
      </c>
      <c r="AJ24" s="191">
        <v>2</v>
      </c>
      <c r="AK24" s="191">
        <v>1</v>
      </c>
    </row>
    <row r="25" spans="1:37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Y25" s="191"/>
      <c r="Z25" s="191"/>
      <c r="AA25" s="191" t="s">
        <v>94</v>
      </c>
      <c r="AB25" s="191">
        <v>15</v>
      </c>
      <c r="AC25" s="191">
        <v>10</v>
      </c>
      <c r="AD25" s="191">
        <v>8</v>
      </c>
      <c r="AE25" s="191">
        <v>4</v>
      </c>
      <c r="AF25" s="191">
        <v>3</v>
      </c>
      <c r="AG25" s="191">
        <v>2</v>
      </c>
      <c r="AH25" s="191">
        <v>1</v>
      </c>
      <c r="AI25" s="191">
        <v>0</v>
      </c>
      <c r="AJ25" s="191">
        <v>0</v>
      </c>
      <c r="AK25" s="191">
        <v>0</v>
      </c>
    </row>
    <row r="26" spans="1:37" x14ac:dyDescent="0.25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Y26" s="191"/>
      <c r="Z26" s="191"/>
      <c r="AA26" s="191" t="s">
        <v>90</v>
      </c>
      <c r="AB26" s="191">
        <v>10</v>
      </c>
      <c r="AC26" s="191">
        <v>6</v>
      </c>
      <c r="AD26" s="191">
        <v>4</v>
      </c>
      <c r="AE26" s="191">
        <v>2</v>
      </c>
      <c r="AF26" s="191">
        <v>1</v>
      </c>
      <c r="AG26" s="191">
        <v>0</v>
      </c>
      <c r="AH26" s="191">
        <v>0</v>
      </c>
      <c r="AI26" s="191">
        <v>0</v>
      </c>
      <c r="AJ26" s="191">
        <v>0</v>
      </c>
      <c r="AK26" s="191">
        <v>0</v>
      </c>
    </row>
    <row r="27" spans="1:37" x14ac:dyDescent="0.25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Y27" s="191"/>
      <c r="Z27" s="191"/>
      <c r="AA27" s="191" t="s">
        <v>91</v>
      </c>
      <c r="AB27" s="191">
        <v>3</v>
      </c>
      <c r="AC27" s="191">
        <v>2</v>
      </c>
      <c r="AD27" s="191">
        <v>1</v>
      </c>
      <c r="AE27" s="191">
        <v>0</v>
      </c>
      <c r="AF27" s="191">
        <v>0</v>
      </c>
      <c r="AG27" s="191">
        <v>0</v>
      </c>
      <c r="AH27" s="191">
        <v>0</v>
      </c>
      <c r="AI27" s="191">
        <v>0</v>
      </c>
      <c r="AJ27" s="191">
        <v>0</v>
      </c>
      <c r="AK27" s="191">
        <v>0</v>
      </c>
    </row>
    <row r="28" spans="1:37" x14ac:dyDescent="0.25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37" x14ac:dyDescent="0.25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37" x14ac:dyDescent="0.25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37" x14ac:dyDescent="0.25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37" x14ac:dyDescent="0.25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39"/>
      <c r="M32" s="140"/>
    </row>
    <row r="33" spans="1:18" x14ac:dyDescent="0.25">
      <c r="A33" s="88" t="s">
        <v>32</v>
      </c>
      <c r="B33" s="89"/>
      <c r="C33" s="119"/>
      <c r="D33" s="160" t="s">
        <v>3</v>
      </c>
      <c r="E33" s="161" t="s">
        <v>34</v>
      </c>
      <c r="F33" s="175"/>
      <c r="G33" s="160" t="s">
        <v>3</v>
      </c>
      <c r="H33" s="161" t="s">
        <v>41</v>
      </c>
      <c r="I33" s="98"/>
      <c r="J33" s="161" t="s">
        <v>42</v>
      </c>
      <c r="K33" s="97" t="s">
        <v>43</v>
      </c>
      <c r="L33" s="31"/>
      <c r="M33" s="175"/>
      <c r="P33" s="156"/>
      <c r="Q33" s="156"/>
      <c r="R33" s="157"/>
    </row>
    <row r="34" spans="1:18" x14ac:dyDescent="0.25">
      <c r="A34" s="144" t="s">
        <v>33</v>
      </c>
      <c r="B34" s="145"/>
      <c r="C34" s="146"/>
      <c r="D34" s="162"/>
      <c r="E34" s="207"/>
      <c r="F34" s="207"/>
      <c r="G34" s="169" t="s">
        <v>4</v>
      </c>
      <c r="H34" s="145"/>
      <c r="I34" s="163"/>
      <c r="J34" s="170"/>
      <c r="K34" s="142" t="s">
        <v>35</v>
      </c>
      <c r="L34" s="176"/>
      <c r="M34" s="164"/>
      <c r="P34" s="158"/>
      <c r="Q34" s="158"/>
      <c r="R34" s="91"/>
    </row>
    <row r="35" spans="1:18" x14ac:dyDescent="0.25">
      <c r="A35" s="147" t="s">
        <v>40</v>
      </c>
      <c r="B35" s="96"/>
      <c r="C35" s="148"/>
      <c r="D35" s="165"/>
      <c r="E35" s="212"/>
      <c r="F35" s="212"/>
      <c r="G35" s="171" t="s">
        <v>5</v>
      </c>
      <c r="H35" s="78"/>
      <c r="I35" s="141"/>
      <c r="J35" s="79"/>
      <c r="K35" s="173"/>
      <c r="L35" s="139"/>
      <c r="M35" s="168"/>
      <c r="P35" s="91"/>
      <c r="Q35" s="90"/>
      <c r="R35" s="91"/>
    </row>
    <row r="36" spans="1:18" x14ac:dyDescent="0.25">
      <c r="A36" s="111"/>
      <c r="B36" s="112"/>
      <c r="C36" s="113"/>
      <c r="D36" s="165"/>
      <c r="E36" s="80"/>
      <c r="F36" s="140"/>
      <c r="G36" s="171" t="s">
        <v>6</v>
      </c>
      <c r="H36" s="78"/>
      <c r="I36" s="141"/>
      <c r="J36" s="79"/>
      <c r="K36" s="142" t="s">
        <v>36</v>
      </c>
      <c r="L36" s="176"/>
      <c r="M36" s="164"/>
      <c r="P36" s="158"/>
      <c r="Q36" s="158"/>
      <c r="R36" s="91"/>
    </row>
    <row r="37" spans="1:18" x14ac:dyDescent="0.25">
      <c r="A37" s="92"/>
      <c r="B37" s="87"/>
      <c r="C37" s="93"/>
      <c r="D37" s="165"/>
      <c r="E37" s="80"/>
      <c r="F37" s="140"/>
      <c r="G37" s="171" t="s">
        <v>7</v>
      </c>
      <c r="H37" s="78"/>
      <c r="I37" s="141"/>
      <c r="J37" s="79"/>
      <c r="K37" s="174"/>
      <c r="L37" s="140"/>
      <c r="M37" s="166"/>
      <c r="P37" s="91"/>
      <c r="Q37" s="90"/>
      <c r="R37" s="91"/>
    </row>
    <row r="38" spans="1:18" x14ac:dyDescent="0.25">
      <c r="A38" s="100"/>
      <c r="B38" s="114"/>
      <c r="C38" s="118"/>
      <c r="D38" s="165"/>
      <c r="E38" s="80"/>
      <c r="F38" s="140"/>
      <c r="G38" s="171" t="s">
        <v>8</v>
      </c>
      <c r="H38" s="78"/>
      <c r="I38" s="141"/>
      <c r="J38" s="79"/>
      <c r="K38" s="147"/>
      <c r="L38" s="139"/>
      <c r="M38" s="168"/>
      <c r="P38" s="91"/>
      <c r="Q38" s="90"/>
      <c r="R38" s="91"/>
    </row>
    <row r="39" spans="1:18" x14ac:dyDescent="0.25">
      <c r="A39" s="101"/>
      <c r="B39" s="21"/>
      <c r="C39" s="93"/>
      <c r="D39" s="165"/>
      <c r="E39" s="80"/>
      <c r="F39" s="140"/>
      <c r="G39" s="171" t="s">
        <v>9</v>
      </c>
      <c r="H39" s="78"/>
      <c r="I39" s="141"/>
      <c r="J39" s="79"/>
      <c r="K39" s="142" t="s">
        <v>28</v>
      </c>
      <c r="L39" s="176"/>
      <c r="M39" s="164"/>
      <c r="P39" s="158"/>
      <c r="Q39" s="158"/>
      <c r="R39" s="91"/>
    </row>
    <row r="40" spans="1:18" x14ac:dyDescent="0.25">
      <c r="A40" s="101"/>
      <c r="B40" s="21"/>
      <c r="C40" s="109"/>
      <c r="D40" s="165"/>
      <c r="E40" s="80"/>
      <c r="F40" s="140"/>
      <c r="G40" s="171" t="s">
        <v>10</v>
      </c>
      <c r="H40" s="78"/>
      <c r="I40" s="141"/>
      <c r="J40" s="79"/>
      <c r="K40" s="174"/>
      <c r="L40" s="140"/>
      <c r="M40" s="166"/>
      <c r="P40" s="91"/>
      <c r="Q40" s="90"/>
      <c r="R40" s="91"/>
    </row>
    <row r="41" spans="1:18" x14ac:dyDescent="0.25">
      <c r="A41" s="102"/>
      <c r="B41" s="99"/>
      <c r="C41" s="110"/>
      <c r="D41" s="167"/>
      <c r="E41" s="94"/>
      <c r="F41" s="139"/>
      <c r="G41" s="172" t="s">
        <v>11</v>
      </c>
      <c r="H41" s="96"/>
      <c r="I41" s="143"/>
      <c r="J41" s="95"/>
      <c r="K41" s="147">
        <f>L4</f>
        <v>0</v>
      </c>
      <c r="L41" s="139"/>
      <c r="M41" s="168"/>
      <c r="P41" s="91"/>
      <c r="Q41" s="90"/>
      <c r="R41" s="159"/>
    </row>
  </sheetData>
  <mergeCells count="50">
    <mergeCell ref="E9:F9"/>
    <mergeCell ref="G9:H9"/>
    <mergeCell ref="E11:F11"/>
    <mergeCell ref="G11:H11"/>
    <mergeCell ref="A1:F1"/>
    <mergeCell ref="A4:C4"/>
    <mergeCell ref="E7:F7"/>
    <mergeCell ref="G7:H7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B21:C21"/>
    <mergeCell ref="D21:E21"/>
    <mergeCell ref="F21:G21"/>
    <mergeCell ref="H21:I21"/>
    <mergeCell ref="B20:C20"/>
    <mergeCell ref="D20:E20"/>
    <mergeCell ref="F20:G20"/>
    <mergeCell ref="H20:I20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E34:F34"/>
    <mergeCell ref="B23:C23"/>
    <mergeCell ref="D23:E23"/>
    <mergeCell ref="F23:G23"/>
    <mergeCell ref="H23:I23"/>
    <mergeCell ref="J22:K22"/>
    <mergeCell ref="B22:C22"/>
    <mergeCell ref="H22:I22"/>
    <mergeCell ref="L18:M18"/>
    <mergeCell ref="L23:M23"/>
    <mergeCell ref="L19:M19"/>
    <mergeCell ref="L20:M20"/>
    <mergeCell ref="L21:M21"/>
    <mergeCell ref="L22:M22"/>
  </mergeCells>
  <phoneticPr fontId="57" type="noConversion"/>
  <conditionalFormatting sqref="E7 E9 E11 E13 E15">
    <cfRule type="cellIs" dxfId="177" priority="1" stopIfTrue="1" operator="equal">
      <formula>"Bye"</formula>
    </cfRule>
  </conditionalFormatting>
  <conditionalFormatting sqref="R41">
    <cfRule type="expression" dxfId="17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26BB-46CB-410E-A34C-DE5AD1E2D937}">
  <sheetPr>
    <tabColor indexed="11"/>
  </sheetPr>
  <dimension ref="A1:AS140"/>
  <sheetViews>
    <sheetView workbookViewId="0">
      <selection activeCell="O16" sqref="O16"/>
    </sheetView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33203125" style="303" customWidth="1"/>
    <col min="5" max="5" width="4.33203125" style="303" customWidth="1"/>
    <col min="6" max="6" width="17" style="303" customWidth="1"/>
    <col min="7" max="7" width="2.6640625" style="303" customWidth="1"/>
    <col min="8" max="8" width="24.77734375" style="303" bestFit="1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27" width="0" style="303" hidden="1" customWidth="1"/>
    <col min="28" max="28" width="10.33203125" style="303" hidden="1" customWidth="1"/>
    <col min="29" max="34" width="0" style="303" hidden="1" customWidth="1"/>
    <col min="35" max="37" width="9.109375" style="385" customWidth="1"/>
    <col min="38" max="16384" width="8.77734375" style="303"/>
  </cols>
  <sheetData>
    <row r="1" spans="1:45" s="224" customFormat="1" ht="21.75" customHeight="1" x14ac:dyDescent="0.25">
      <c r="A1" s="217" t="str">
        <f>[1]Altalanos!$A$6</f>
        <v>OB</v>
      </c>
      <c r="B1" s="217"/>
      <c r="C1" s="218"/>
      <c r="D1" s="218"/>
      <c r="E1" s="218"/>
      <c r="F1" s="218"/>
      <c r="G1" s="218"/>
      <c r="H1" s="217"/>
      <c r="I1" s="219"/>
      <c r="J1" s="220"/>
      <c r="K1" s="221" t="s">
        <v>39</v>
      </c>
      <c r="L1" s="222"/>
      <c r="M1" s="223"/>
      <c r="N1" s="220"/>
      <c r="O1" s="220" t="s">
        <v>12</v>
      </c>
      <c r="P1" s="220"/>
      <c r="Q1" s="218"/>
      <c r="R1" s="220"/>
      <c r="T1" s="225"/>
      <c r="U1" s="225"/>
      <c r="V1" s="225"/>
      <c r="W1" s="225"/>
      <c r="X1" s="225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  <c r="AI1" s="227"/>
      <c r="AJ1" s="227"/>
      <c r="AK1" s="227"/>
    </row>
    <row r="2" spans="1:45" s="233" customFormat="1" x14ac:dyDescent="0.25">
      <c r="A2" s="228" t="s">
        <v>38</v>
      </c>
      <c r="B2" s="229"/>
      <c r="C2" s="229"/>
      <c r="D2" s="229"/>
      <c r="E2" s="229">
        <f>[1]Altalanos!$A$8</f>
        <v>0</v>
      </c>
      <c r="F2" s="229"/>
      <c r="G2" s="230"/>
      <c r="H2" s="231"/>
      <c r="I2" s="231"/>
      <c r="J2" s="232"/>
      <c r="K2" s="222"/>
      <c r="L2" s="222"/>
      <c r="M2" s="222"/>
      <c r="N2" s="232"/>
      <c r="O2" s="231"/>
      <c r="P2" s="232"/>
      <c r="Q2" s="231"/>
      <c r="R2" s="232"/>
      <c r="T2" s="234"/>
      <c r="U2" s="234"/>
      <c r="V2" s="234"/>
      <c r="W2" s="234"/>
      <c r="X2" s="234"/>
      <c r="Y2" s="235"/>
      <c r="Z2" s="236"/>
      <c r="AA2" s="236" t="s">
        <v>52</v>
      </c>
      <c r="AB2" s="237">
        <v>300</v>
      </c>
      <c r="AC2" s="237">
        <v>250</v>
      </c>
      <c r="AD2" s="237">
        <v>200</v>
      </c>
      <c r="AE2" s="237">
        <v>150</v>
      </c>
      <c r="AF2" s="237">
        <v>120</v>
      </c>
      <c r="AG2" s="237">
        <v>90</v>
      </c>
      <c r="AH2" s="237">
        <v>40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</row>
    <row r="3" spans="1:45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T3" s="242"/>
      <c r="U3" s="242"/>
      <c r="V3" s="242"/>
      <c r="W3" s="242"/>
      <c r="X3" s="242"/>
      <c r="Y3" s="236" t="str">
        <f>IF(K4="OB","A",IF(K4="IX","W",IF(K4="","",K4)))</f>
        <v/>
      </c>
      <c r="Z3" s="236"/>
      <c r="AA3" s="236" t="s">
        <v>53</v>
      </c>
      <c r="AB3" s="237">
        <v>280</v>
      </c>
      <c r="AC3" s="237">
        <v>230</v>
      </c>
      <c r="AD3" s="237">
        <v>180</v>
      </c>
      <c r="AE3" s="237">
        <v>140</v>
      </c>
      <c r="AF3" s="237">
        <v>80</v>
      </c>
      <c r="AG3" s="237">
        <v>0</v>
      </c>
      <c r="AH3" s="237">
        <v>0</v>
      </c>
      <c r="AI3" s="234"/>
      <c r="AJ3" s="234"/>
      <c r="AK3" s="234"/>
      <c r="AL3" s="242"/>
      <c r="AM3" s="242"/>
      <c r="AN3" s="242"/>
      <c r="AO3" s="242"/>
      <c r="AP3" s="242"/>
      <c r="AQ3" s="242"/>
      <c r="AR3" s="242"/>
      <c r="AS3" s="242"/>
    </row>
    <row r="4" spans="1:45" s="250" customFormat="1" ht="11.25" customHeight="1" thickBot="1" x14ac:dyDescent="0.3">
      <c r="A4" s="243">
        <f>[1]Altalanos!$A$10</f>
        <v>0</v>
      </c>
      <c r="B4" s="243"/>
      <c r="C4" s="243"/>
      <c r="D4" s="244"/>
      <c r="E4" s="245"/>
      <c r="F4" s="245"/>
      <c r="G4" s="245">
        <f>[1]Altalanos!$C$10</f>
        <v>0</v>
      </c>
      <c r="H4" s="246"/>
      <c r="I4" s="245"/>
      <c r="J4" s="247"/>
      <c r="K4" s="137"/>
      <c r="L4" s="247"/>
      <c r="M4" s="248"/>
      <c r="N4" s="247"/>
      <c r="O4" s="245"/>
      <c r="P4" s="247"/>
      <c r="Q4" s="245"/>
      <c r="R4" s="249">
        <f>[1]Altalanos!$E$10</f>
        <v>0</v>
      </c>
      <c r="T4" s="251"/>
      <c r="U4" s="251"/>
      <c r="V4" s="251"/>
      <c r="W4" s="251"/>
      <c r="X4" s="251"/>
      <c r="Y4" s="236"/>
      <c r="Z4" s="236"/>
      <c r="AA4" s="236" t="s">
        <v>82</v>
      </c>
      <c r="AB4" s="237">
        <v>250</v>
      </c>
      <c r="AC4" s="237">
        <v>200</v>
      </c>
      <c r="AD4" s="237">
        <v>150</v>
      </c>
      <c r="AE4" s="237">
        <v>120</v>
      </c>
      <c r="AF4" s="237">
        <v>90</v>
      </c>
      <c r="AG4" s="237">
        <v>60</v>
      </c>
      <c r="AH4" s="237">
        <v>25</v>
      </c>
      <c r="AI4" s="234"/>
      <c r="AJ4" s="234"/>
      <c r="AK4" s="234"/>
      <c r="AL4" s="251"/>
      <c r="AM4" s="251"/>
      <c r="AN4" s="251"/>
      <c r="AO4" s="251"/>
      <c r="AP4" s="251"/>
      <c r="AQ4" s="251"/>
      <c r="AR4" s="251"/>
      <c r="AS4" s="251"/>
    </row>
    <row r="5" spans="1:45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45</v>
      </c>
      <c r="N5" s="256"/>
      <c r="O5" s="253" t="s">
        <v>44</v>
      </c>
      <c r="P5" s="256"/>
      <c r="Q5" s="253"/>
      <c r="R5" s="257"/>
      <c r="T5" s="242"/>
      <c r="U5" s="242"/>
      <c r="V5" s="242"/>
      <c r="W5" s="242"/>
      <c r="X5" s="242"/>
      <c r="Y5" s="236">
        <f>IF(OR([1]Altalanos!$A$8="F1",[1]Altalanos!$A$8="F2",[1]Altalanos!$A$8="N1",[1]Altalanos!$A$8="N2"),1,2)</f>
        <v>2</v>
      </c>
      <c r="Z5" s="236"/>
      <c r="AA5" s="236" t="s">
        <v>83</v>
      </c>
      <c r="AB5" s="237">
        <v>200</v>
      </c>
      <c r="AC5" s="237">
        <v>150</v>
      </c>
      <c r="AD5" s="237">
        <v>120</v>
      </c>
      <c r="AE5" s="237">
        <v>90</v>
      </c>
      <c r="AF5" s="237">
        <v>60</v>
      </c>
      <c r="AG5" s="237">
        <v>40</v>
      </c>
      <c r="AH5" s="237">
        <v>15</v>
      </c>
      <c r="AI5" s="234"/>
      <c r="AJ5" s="234"/>
      <c r="AK5" s="234"/>
      <c r="AL5" s="242"/>
      <c r="AM5" s="242"/>
      <c r="AN5" s="242"/>
      <c r="AO5" s="242"/>
      <c r="AP5" s="242"/>
      <c r="AQ5" s="242"/>
      <c r="AR5" s="242"/>
      <c r="AS5" s="242"/>
    </row>
    <row r="6" spans="1:45" s="264" customFormat="1" ht="10.95" customHeight="1" thickBot="1" x14ac:dyDescent="0.3">
      <c r="A6" s="258"/>
      <c r="B6" s="259"/>
      <c r="C6" s="259"/>
      <c r="D6" s="259"/>
      <c r="E6" s="259"/>
      <c r="F6" s="258" t="str">
        <f>IF(Y3="","",CONCATENATE(VLOOKUP(Y3,AB1:AH1,4)," pont"))</f>
        <v/>
      </c>
      <c r="G6" s="260"/>
      <c r="H6" s="261"/>
      <c r="I6" s="260"/>
      <c r="J6" s="262"/>
      <c r="K6" s="259" t="str">
        <f>IF(Y3="","",CONCATENATE(VLOOKUP(Y3,AB1:AH1,3)," pont"))</f>
        <v/>
      </c>
      <c r="L6" s="262"/>
      <c r="M6" s="259" t="str">
        <f>IF(Y3="","",CONCATENATE(VLOOKUP(Y3,AB1:AH1,2)," pont"))</f>
        <v/>
      </c>
      <c r="N6" s="262"/>
      <c r="O6" s="259" t="str">
        <f>IF(Y3="","",CONCATENATE(VLOOKUP(Y3,AB1:AH1,1)," pont"))</f>
        <v/>
      </c>
      <c r="P6" s="262"/>
      <c r="Q6" s="259"/>
      <c r="R6" s="263"/>
      <c r="T6" s="265"/>
      <c r="U6" s="265"/>
      <c r="V6" s="265"/>
      <c r="W6" s="265"/>
      <c r="X6" s="265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268"/>
      <c r="AJ6" s="268"/>
      <c r="AK6" s="268"/>
      <c r="AL6" s="265"/>
      <c r="AM6" s="265"/>
      <c r="AN6" s="265"/>
      <c r="AO6" s="265"/>
      <c r="AP6" s="265"/>
      <c r="AQ6" s="265"/>
      <c r="AR6" s="265"/>
      <c r="AS6" s="265"/>
    </row>
    <row r="7" spans="1:45" s="282" customFormat="1" ht="13.05" customHeight="1" x14ac:dyDescent="0.25">
      <c r="A7" s="269">
        <v>1</v>
      </c>
      <c r="B7" s="270" t="str">
        <f>IF($E7="","",VLOOKUP($E7,'[1]1MD ELO'!$A$7:$O$22,14))</f>
        <v/>
      </c>
      <c r="C7" s="271" t="str">
        <f>IF($E7="","",VLOOKUP($E7,'[1]1MD ELO'!$A$7:$O$22,15))</f>
        <v/>
      </c>
      <c r="D7" s="271" t="str">
        <f>IF($E7="","",VLOOKUP($E7,'[1]1MD ELO'!$A$7:$O$22,5))</f>
        <v/>
      </c>
      <c r="E7" s="272"/>
      <c r="F7" s="273"/>
      <c r="G7" s="273"/>
      <c r="H7" s="273"/>
      <c r="I7" s="273" t="str">
        <f>IF($E7="","",VLOOKUP($E7,'[1]1MD ELO'!$A$7:$O$22,4))</f>
        <v/>
      </c>
      <c r="J7" s="274"/>
      <c r="K7" s="275"/>
      <c r="L7" s="275"/>
      <c r="M7" s="275"/>
      <c r="N7" s="275"/>
      <c r="O7" s="276"/>
      <c r="P7" s="277"/>
      <c r="Q7" s="278"/>
      <c r="R7" s="279"/>
      <c r="S7" s="280"/>
      <c r="T7" s="280"/>
      <c r="U7" s="281" t="str">
        <f>[1]Birók!P21</f>
        <v>Bíró</v>
      </c>
      <c r="V7" s="280"/>
      <c r="W7" s="280"/>
      <c r="X7" s="280"/>
      <c r="Y7" s="236"/>
      <c r="Z7" s="236"/>
      <c r="AA7" s="236" t="s">
        <v>85</v>
      </c>
      <c r="AB7" s="237">
        <v>120</v>
      </c>
      <c r="AC7" s="237">
        <v>90</v>
      </c>
      <c r="AD7" s="237">
        <v>60</v>
      </c>
      <c r="AE7" s="237">
        <v>40</v>
      </c>
      <c r="AF7" s="237">
        <v>25</v>
      </c>
      <c r="AG7" s="237">
        <v>10</v>
      </c>
      <c r="AH7" s="237">
        <v>5</v>
      </c>
      <c r="AI7" s="234"/>
      <c r="AJ7" s="234"/>
      <c r="AK7" s="234"/>
      <c r="AL7" s="280"/>
      <c r="AM7" s="280"/>
      <c r="AN7" s="280"/>
      <c r="AO7" s="280"/>
      <c r="AP7" s="280"/>
      <c r="AQ7" s="280"/>
      <c r="AR7" s="280"/>
      <c r="AS7" s="280"/>
    </row>
    <row r="8" spans="1:45" s="282" customFormat="1" ht="13.05" customHeight="1" x14ac:dyDescent="0.25">
      <c r="A8" s="283"/>
      <c r="B8" s="284"/>
      <c r="C8" s="285"/>
      <c r="D8" s="285"/>
      <c r="E8" s="286"/>
      <c r="F8" s="287"/>
      <c r="G8" s="287"/>
      <c r="H8" s="288"/>
      <c r="I8" s="289" t="s">
        <v>0</v>
      </c>
      <c r="J8" s="290"/>
      <c r="K8" s="291" t="str">
        <f>UPPER(IF(OR(J8="a",J8="as"),F7,IF(OR(J8="b",J8="bs"),F9,)))</f>
        <v/>
      </c>
      <c r="L8" s="291"/>
      <c r="M8" s="275"/>
      <c r="N8" s="275"/>
      <c r="O8" s="276"/>
      <c r="P8" s="277"/>
      <c r="Q8" s="278"/>
      <c r="R8" s="279"/>
      <c r="S8" s="280"/>
      <c r="T8" s="280"/>
      <c r="U8" s="292" t="str">
        <f>[1]Birók!P22</f>
        <v xml:space="preserve"> </v>
      </c>
      <c r="V8" s="280"/>
      <c r="W8" s="280"/>
      <c r="X8" s="280"/>
      <c r="Y8" s="236"/>
      <c r="Z8" s="236"/>
      <c r="AA8" s="236" t="s">
        <v>86</v>
      </c>
      <c r="AB8" s="237">
        <v>90</v>
      </c>
      <c r="AC8" s="237">
        <v>60</v>
      </c>
      <c r="AD8" s="237">
        <v>40</v>
      </c>
      <c r="AE8" s="237">
        <v>25</v>
      </c>
      <c r="AF8" s="237">
        <v>10</v>
      </c>
      <c r="AG8" s="237">
        <v>5</v>
      </c>
      <c r="AH8" s="237">
        <v>2</v>
      </c>
      <c r="AI8" s="234"/>
      <c r="AJ8" s="234"/>
      <c r="AK8" s="234"/>
      <c r="AL8" s="280"/>
      <c r="AM8" s="280"/>
      <c r="AN8" s="280"/>
      <c r="AO8" s="280"/>
      <c r="AP8" s="280"/>
      <c r="AQ8" s="280"/>
      <c r="AR8" s="280"/>
      <c r="AS8" s="280"/>
    </row>
    <row r="9" spans="1:45" s="282" customFormat="1" ht="13.05" customHeight="1" x14ac:dyDescent="0.25">
      <c r="A9" s="283">
        <v>2</v>
      </c>
      <c r="B9" s="270" t="str">
        <f>IF($E9="","",VLOOKUP($E9,'[1]1MD ELO'!$A$7:$O$22,14))</f>
        <v/>
      </c>
      <c r="C9" s="271" t="str">
        <f>IF($E9="","",VLOOKUP($E9,'[1]1MD ELO'!$A$7:$O$22,15))</f>
        <v/>
      </c>
      <c r="D9" s="271" t="str">
        <f>IF($E9="","",VLOOKUP($E9,'[1]1MD ELO'!$A$7:$O$22,5))</f>
        <v/>
      </c>
      <c r="E9" s="293"/>
      <c r="F9" s="294"/>
      <c r="G9" s="294"/>
      <c r="H9" s="294"/>
      <c r="I9" s="294" t="str">
        <f>IF($E9="","",VLOOKUP($E9,'[1]1MD ELO'!$A$7:$O$22,4))</f>
        <v/>
      </c>
      <c r="J9" s="295"/>
      <c r="K9" s="275"/>
      <c r="L9" s="296"/>
      <c r="M9" s="275"/>
      <c r="N9" s="275"/>
      <c r="O9" s="276"/>
      <c r="P9" s="277"/>
      <c r="Q9" s="278"/>
      <c r="R9" s="279"/>
      <c r="S9" s="280"/>
      <c r="T9" s="280"/>
      <c r="U9" s="292" t="str">
        <f>[1]Birók!P23</f>
        <v xml:space="preserve"> </v>
      </c>
      <c r="V9" s="280"/>
      <c r="W9" s="280"/>
      <c r="X9" s="280"/>
      <c r="Y9" s="236"/>
      <c r="Z9" s="236"/>
      <c r="AA9" s="236" t="s">
        <v>87</v>
      </c>
      <c r="AB9" s="237">
        <v>60</v>
      </c>
      <c r="AC9" s="237">
        <v>40</v>
      </c>
      <c r="AD9" s="237">
        <v>25</v>
      </c>
      <c r="AE9" s="237">
        <v>10</v>
      </c>
      <c r="AF9" s="237">
        <v>5</v>
      </c>
      <c r="AG9" s="237">
        <v>2</v>
      </c>
      <c r="AH9" s="237">
        <v>1</v>
      </c>
      <c r="AI9" s="234"/>
      <c r="AJ9" s="234"/>
      <c r="AK9" s="234"/>
      <c r="AL9" s="280"/>
      <c r="AM9" s="280"/>
      <c r="AN9" s="280"/>
      <c r="AO9" s="280"/>
      <c r="AP9" s="280"/>
      <c r="AQ9" s="280"/>
      <c r="AR9" s="280"/>
      <c r="AS9" s="280"/>
    </row>
    <row r="10" spans="1:45" s="282" customFormat="1" ht="13.05" customHeight="1" x14ac:dyDescent="0.25">
      <c r="A10" s="283"/>
      <c r="B10" s="284"/>
      <c r="C10" s="285"/>
      <c r="D10" s="285"/>
      <c r="E10" s="297"/>
      <c r="F10" s="287"/>
      <c r="G10" s="287"/>
      <c r="H10" s="288"/>
      <c r="I10" s="287"/>
      <c r="J10" s="298"/>
      <c r="K10" s="289" t="s">
        <v>0</v>
      </c>
      <c r="L10" s="299"/>
      <c r="M10" s="291" t="s">
        <v>125</v>
      </c>
      <c r="N10" s="300"/>
      <c r="O10" s="301"/>
      <c r="P10" s="301"/>
      <c r="Q10" s="278"/>
      <c r="R10" s="279"/>
      <c r="S10" s="280"/>
      <c r="T10" s="280"/>
      <c r="U10" s="292" t="str">
        <f>[1]Birók!P24</f>
        <v xml:space="preserve"> </v>
      </c>
      <c r="V10" s="280"/>
      <c r="W10" s="280"/>
      <c r="X10" s="280"/>
      <c r="Y10" s="236"/>
      <c r="Z10" s="236"/>
      <c r="AA10" s="236" t="s">
        <v>88</v>
      </c>
      <c r="AB10" s="237">
        <v>40</v>
      </c>
      <c r="AC10" s="237">
        <v>25</v>
      </c>
      <c r="AD10" s="237">
        <v>15</v>
      </c>
      <c r="AE10" s="237">
        <v>7</v>
      </c>
      <c r="AF10" s="237">
        <v>4</v>
      </c>
      <c r="AG10" s="237">
        <v>1</v>
      </c>
      <c r="AH10" s="237">
        <v>0</v>
      </c>
      <c r="AI10" s="234"/>
      <c r="AJ10" s="234"/>
      <c r="AK10" s="234"/>
      <c r="AL10" s="280"/>
      <c r="AM10" s="280"/>
      <c r="AN10" s="280"/>
      <c r="AO10" s="280"/>
      <c r="AP10" s="280"/>
      <c r="AQ10" s="280"/>
      <c r="AR10" s="280"/>
      <c r="AS10" s="280"/>
    </row>
    <row r="11" spans="1:45" s="282" customFormat="1" ht="13.05" customHeight="1" x14ac:dyDescent="0.25">
      <c r="A11" s="283">
        <v>3</v>
      </c>
      <c r="B11" s="270" t="str">
        <f>IF($E11="","",VLOOKUP($E11,'[1]1MD ELO'!$A$7:$O$22,14))</f>
        <v/>
      </c>
      <c r="C11" s="271" t="str">
        <f>IF($E11="","",VLOOKUP($E11,'[1]1MD ELO'!$A$7:$O$22,15))</f>
        <v/>
      </c>
      <c r="D11" s="271" t="str">
        <f>IF($E11="","",VLOOKUP($E11,'[1]1MD ELO'!$A$7:$O$22,5))</f>
        <v/>
      </c>
      <c r="E11" s="293"/>
      <c r="F11" s="294"/>
      <c r="G11" s="294"/>
      <c r="H11" s="294"/>
      <c r="I11" s="294" t="str">
        <f>IF($E11="","",VLOOKUP($E11,'[1]1MD ELO'!$A$7:$O$22,4))</f>
        <v/>
      </c>
      <c r="J11" s="274"/>
      <c r="K11" s="275"/>
      <c r="L11" s="302"/>
      <c r="M11" s="303" t="s">
        <v>126</v>
      </c>
      <c r="N11" s="304"/>
      <c r="O11" s="301"/>
      <c r="P11" s="301"/>
      <c r="Q11" s="278"/>
      <c r="R11" s="279"/>
      <c r="S11" s="280"/>
      <c r="T11" s="280"/>
      <c r="U11" s="292" t="str">
        <f>[1]Birók!P25</f>
        <v xml:space="preserve"> </v>
      </c>
      <c r="V11" s="280"/>
      <c r="W11" s="280"/>
      <c r="X11" s="280"/>
      <c r="Y11" s="236"/>
      <c r="Z11" s="236"/>
      <c r="AA11" s="236" t="s">
        <v>89</v>
      </c>
      <c r="AB11" s="237">
        <v>25</v>
      </c>
      <c r="AC11" s="237">
        <v>15</v>
      </c>
      <c r="AD11" s="237">
        <v>10</v>
      </c>
      <c r="AE11" s="237">
        <v>6</v>
      </c>
      <c r="AF11" s="237">
        <v>3</v>
      </c>
      <c r="AG11" s="237">
        <v>1</v>
      </c>
      <c r="AH11" s="237">
        <v>0</v>
      </c>
      <c r="AI11" s="234"/>
      <c r="AJ11" s="234"/>
      <c r="AK11" s="234"/>
      <c r="AL11" s="280"/>
      <c r="AM11" s="280"/>
      <c r="AN11" s="280"/>
      <c r="AO11" s="280"/>
      <c r="AP11" s="280"/>
      <c r="AQ11" s="280"/>
      <c r="AR11" s="280"/>
      <c r="AS11" s="280"/>
    </row>
    <row r="12" spans="1:45" s="282" customFormat="1" ht="13.05" customHeight="1" x14ac:dyDescent="0.25">
      <c r="A12" s="283"/>
      <c r="B12" s="284"/>
      <c r="C12" s="285"/>
      <c r="D12" s="285"/>
      <c r="E12" s="297"/>
      <c r="F12" s="287"/>
      <c r="G12" s="287"/>
      <c r="H12" s="288"/>
      <c r="I12" s="289" t="s">
        <v>0</v>
      </c>
      <c r="J12" s="290"/>
      <c r="K12" s="291" t="str">
        <f>UPPER(IF(OR(J12="a",J12="as"),F11,IF(OR(J12="b",J12="bs"),F13,)))</f>
        <v/>
      </c>
      <c r="L12" s="305"/>
      <c r="M12" s="275"/>
      <c r="N12" s="304"/>
      <c r="O12" s="301"/>
      <c r="P12" s="301"/>
      <c r="Q12" s="278"/>
      <c r="R12" s="279"/>
      <c r="S12" s="280"/>
      <c r="T12" s="280"/>
      <c r="U12" s="292" t="str">
        <f>[1]Birók!P26</f>
        <v xml:space="preserve"> </v>
      </c>
      <c r="V12" s="280"/>
      <c r="W12" s="280"/>
      <c r="X12" s="280"/>
      <c r="Y12" s="236"/>
      <c r="Z12" s="236"/>
      <c r="AA12" s="236" t="s">
        <v>94</v>
      </c>
      <c r="AB12" s="237">
        <v>15</v>
      </c>
      <c r="AC12" s="237">
        <v>10</v>
      </c>
      <c r="AD12" s="237">
        <v>6</v>
      </c>
      <c r="AE12" s="237">
        <v>3</v>
      </c>
      <c r="AF12" s="237">
        <v>1</v>
      </c>
      <c r="AG12" s="237">
        <v>0</v>
      </c>
      <c r="AH12" s="237">
        <v>0</v>
      </c>
      <c r="AI12" s="234"/>
      <c r="AJ12" s="234"/>
      <c r="AK12" s="234"/>
      <c r="AL12" s="280"/>
      <c r="AM12" s="280"/>
      <c r="AN12" s="280"/>
      <c r="AO12" s="280"/>
      <c r="AP12" s="280"/>
      <c r="AQ12" s="280"/>
      <c r="AR12" s="280"/>
      <c r="AS12" s="280"/>
    </row>
    <row r="13" spans="1:45" s="282" customFormat="1" ht="13.05" customHeight="1" x14ac:dyDescent="0.25">
      <c r="A13" s="283">
        <v>4</v>
      </c>
      <c r="B13" s="270" t="str">
        <f>IF($E13="","",VLOOKUP($E13,'[1]1MD ELO'!$A$7:$O$22,14))</f>
        <v/>
      </c>
      <c r="C13" s="271" t="str">
        <f>IF($E13="","",VLOOKUP($E13,'[1]1MD ELO'!$A$7:$O$22,15))</f>
        <v/>
      </c>
      <c r="D13" s="271" t="str">
        <f>IF($E13="","",VLOOKUP($E13,'[1]1MD ELO'!$A$7:$O$22,5))</f>
        <v/>
      </c>
      <c r="E13" s="293"/>
      <c r="F13" s="294"/>
      <c r="G13" s="294"/>
      <c r="H13" s="294"/>
      <c r="I13" s="294" t="str">
        <f>IF($E13="","",VLOOKUP($E13,'[1]1MD ELO'!$A$7:$O$22,4))</f>
        <v/>
      </c>
      <c r="J13" s="306"/>
      <c r="K13" s="275"/>
      <c r="L13" s="275"/>
      <c r="M13" s="275"/>
      <c r="N13" s="304"/>
      <c r="O13" s="301"/>
      <c r="P13" s="301"/>
      <c r="Q13" s="278"/>
      <c r="R13" s="279"/>
      <c r="S13" s="280"/>
      <c r="T13" s="280"/>
      <c r="U13" s="292" t="str">
        <f>[1]Birók!P27</f>
        <v xml:space="preserve"> </v>
      </c>
      <c r="V13" s="280"/>
      <c r="W13" s="280"/>
      <c r="X13" s="280"/>
      <c r="Y13" s="236"/>
      <c r="Z13" s="236"/>
      <c r="AA13" s="236" t="s">
        <v>90</v>
      </c>
      <c r="AB13" s="237">
        <v>10</v>
      </c>
      <c r="AC13" s="237">
        <v>6</v>
      </c>
      <c r="AD13" s="237">
        <v>3</v>
      </c>
      <c r="AE13" s="237">
        <v>1</v>
      </c>
      <c r="AF13" s="237">
        <v>0</v>
      </c>
      <c r="AG13" s="237">
        <v>0</v>
      </c>
      <c r="AH13" s="237">
        <v>0</v>
      </c>
      <c r="AI13" s="234"/>
      <c r="AJ13" s="234"/>
      <c r="AK13" s="234"/>
      <c r="AL13" s="280"/>
      <c r="AM13" s="280"/>
      <c r="AN13" s="280"/>
      <c r="AO13" s="280"/>
      <c r="AP13" s="280"/>
      <c r="AQ13" s="280"/>
      <c r="AR13" s="280"/>
      <c r="AS13" s="280"/>
    </row>
    <row r="14" spans="1:45" s="282" customFormat="1" ht="13.05" customHeight="1" x14ac:dyDescent="0.25">
      <c r="A14" s="283"/>
      <c r="B14" s="284"/>
      <c r="C14" s="285"/>
      <c r="D14" s="285"/>
      <c r="E14" s="297"/>
      <c r="F14" s="287"/>
      <c r="G14" s="287"/>
      <c r="H14" s="288"/>
      <c r="I14" s="287"/>
      <c r="J14" s="298"/>
      <c r="K14" s="275"/>
      <c r="L14" s="275"/>
      <c r="M14" s="289" t="s">
        <v>0</v>
      </c>
      <c r="N14" s="299"/>
      <c r="O14" s="291" t="s">
        <v>127</v>
      </c>
      <c r="P14" s="300"/>
      <c r="Q14" s="278"/>
      <c r="R14" s="279"/>
      <c r="S14" s="280"/>
      <c r="T14" s="280"/>
      <c r="U14" s="292" t="str">
        <f>[1]Birók!P28</f>
        <v xml:space="preserve"> </v>
      </c>
      <c r="V14" s="280"/>
      <c r="W14" s="280"/>
      <c r="X14" s="280"/>
      <c r="Y14" s="236"/>
      <c r="Z14" s="236"/>
      <c r="AA14" s="236" t="s">
        <v>91</v>
      </c>
      <c r="AB14" s="237">
        <v>3</v>
      </c>
      <c r="AC14" s="237">
        <v>2</v>
      </c>
      <c r="AD14" s="237">
        <v>1</v>
      </c>
      <c r="AE14" s="237">
        <v>0</v>
      </c>
      <c r="AF14" s="237">
        <v>0</v>
      </c>
      <c r="AG14" s="237">
        <v>0</v>
      </c>
      <c r="AH14" s="237">
        <v>0</v>
      </c>
      <c r="AI14" s="234"/>
      <c r="AJ14" s="234"/>
      <c r="AK14" s="234"/>
      <c r="AL14" s="280"/>
      <c r="AM14" s="280"/>
      <c r="AN14" s="280"/>
      <c r="AO14" s="280"/>
      <c r="AP14" s="280"/>
      <c r="AQ14" s="280"/>
      <c r="AR14" s="280"/>
      <c r="AS14" s="280"/>
    </row>
    <row r="15" spans="1:45" s="282" customFormat="1" ht="13.05" customHeight="1" x14ac:dyDescent="0.25">
      <c r="A15" s="307">
        <v>5</v>
      </c>
      <c r="B15" s="270" t="str">
        <f>IF($E15="","",VLOOKUP($E15,'[1]1MD ELO'!$A$7:$O$22,14))</f>
        <v/>
      </c>
      <c r="C15" s="271" t="str">
        <f>IF($E15="","",VLOOKUP($E15,'[1]1MD ELO'!$A$7:$O$22,15))</f>
        <v/>
      </c>
      <c r="D15" s="271" t="str">
        <f>IF($E15="","",VLOOKUP($E15,'[1]1MD ELO'!$A$7:$O$22,5))</f>
        <v/>
      </c>
      <c r="E15" s="293"/>
      <c r="F15" s="294"/>
      <c r="G15" s="294"/>
      <c r="H15" s="294"/>
      <c r="I15" s="294" t="str">
        <f>IF($E15="","",VLOOKUP($E15,'[1]1MD ELO'!$A$7:$O$22,4))</f>
        <v/>
      </c>
      <c r="J15" s="308"/>
      <c r="K15" s="275"/>
      <c r="L15" s="275"/>
      <c r="M15" s="275"/>
      <c r="N15" s="304"/>
      <c r="O15" s="275" t="s">
        <v>128</v>
      </c>
      <c r="P15" s="301"/>
      <c r="Q15" s="278"/>
      <c r="R15" s="279"/>
      <c r="S15" s="280"/>
      <c r="T15" s="280"/>
      <c r="U15" s="292" t="str">
        <f>[1]Birók!P29</f>
        <v xml:space="preserve"> </v>
      </c>
      <c r="V15" s="280"/>
      <c r="W15" s="280"/>
      <c r="X15" s="280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4"/>
      <c r="AJ15" s="234"/>
      <c r="AK15" s="234"/>
      <c r="AL15" s="280"/>
      <c r="AM15" s="280"/>
      <c r="AN15" s="280"/>
      <c r="AO15" s="280"/>
      <c r="AP15" s="280"/>
      <c r="AQ15" s="280"/>
      <c r="AR15" s="280"/>
      <c r="AS15" s="280"/>
    </row>
    <row r="16" spans="1:45" s="282" customFormat="1" ht="13.05" customHeight="1" thickBot="1" x14ac:dyDescent="0.3">
      <c r="A16" s="283"/>
      <c r="B16" s="284"/>
      <c r="C16" s="285"/>
      <c r="D16" s="285"/>
      <c r="E16" s="297"/>
      <c r="F16" s="287"/>
      <c r="G16" s="287"/>
      <c r="H16" s="288"/>
      <c r="I16" s="289" t="s">
        <v>0</v>
      </c>
      <c r="J16" s="290"/>
      <c r="K16" s="291" t="str">
        <f>UPPER(IF(OR(J16="a",J16="as"),F15,IF(OR(J16="b",J16="bs"),F17,)))</f>
        <v/>
      </c>
      <c r="L16" s="291"/>
      <c r="M16" s="275"/>
      <c r="N16" s="304"/>
      <c r="O16" s="289"/>
      <c r="P16" s="301"/>
      <c r="Q16" s="278"/>
      <c r="R16" s="279"/>
      <c r="S16" s="280"/>
      <c r="T16" s="280"/>
      <c r="U16" s="309" t="str">
        <f>[1]Birók!P30</f>
        <v>Egyik sem</v>
      </c>
      <c r="V16" s="280"/>
      <c r="W16" s="280"/>
      <c r="X16" s="280"/>
      <c r="Y16" s="236"/>
      <c r="Z16" s="236"/>
      <c r="AA16" s="236" t="s">
        <v>52</v>
      </c>
      <c r="AB16" s="237">
        <v>150</v>
      </c>
      <c r="AC16" s="237">
        <v>120</v>
      </c>
      <c r="AD16" s="237">
        <v>90</v>
      </c>
      <c r="AE16" s="237">
        <v>60</v>
      </c>
      <c r="AF16" s="237">
        <v>40</v>
      </c>
      <c r="AG16" s="237">
        <v>25</v>
      </c>
      <c r="AH16" s="237">
        <v>15</v>
      </c>
      <c r="AI16" s="234"/>
      <c r="AJ16" s="234"/>
      <c r="AK16" s="234"/>
      <c r="AL16" s="280"/>
      <c r="AM16" s="280"/>
      <c r="AN16" s="280"/>
      <c r="AO16" s="280"/>
      <c r="AP16" s="280"/>
      <c r="AQ16" s="280"/>
      <c r="AR16" s="280"/>
      <c r="AS16" s="280"/>
    </row>
    <row r="17" spans="1:45" s="282" customFormat="1" ht="13.05" customHeight="1" x14ac:dyDescent="0.25">
      <c r="A17" s="283">
        <v>6</v>
      </c>
      <c r="B17" s="270" t="str">
        <f>IF($E17="","",VLOOKUP($E17,'[1]1MD ELO'!$A$7:$O$22,14))</f>
        <v/>
      </c>
      <c r="C17" s="271" t="str">
        <f>IF($E17="","",VLOOKUP($E17,'[1]1MD ELO'!$A$7:$O$22,15))</f>
        <v/>
      </c>
      <c r="D17" s="271" t="str">
        <f>IF($E17="","",VLOOKUP($E17,'[1]1MD ELO'!$A$7:$O$22,5))</f>
        <v/>
      </c>
      <c r="E17" s="293"/>
      <c r="F17" s="294"/>
      <c r="G17" s="294"/>
      <c r="H17" s="294"/>
      <c r="I17" s="294" t="str">
        <f>IF($E17="","",VLOOKUP($E17,'[1]1MD ELO'!$A$7:$O$22,4))</f>
        <v/>
      </c>
      <c r="J17" s="295"/>
      <c r="K17" s="275"/>
      <c r="L17" s="296"/>
      <c r="M17" s="275"/>
      <c r="N17" s="304"/>
      <c r="O17" s="301"/>
      <c r="P17" s="301"/>
      <c r="Q17" s="278"/>
      <c r="R17" s="279"/>
      <c r="S17" s="280"/>
      <c r="T17" s="280"/>
      <c r="U17" s="280"/>
      <c r="V17" s="280"/>
      <c r="W17" s="280"/>
      <c r="X17" s="280"/>
      <c r="Y17" s="236"/>
      <c r="Z17" s="236"/>
      <c r="AA17" s="236" t="s">
        <v>82</v>
      </c>
      <c r="AB17" s="237">
        <v>120</v>
      </c>
      <c r="AC17" s="237">
        <v>90</v>
      </c>
      <c r="AD17" s="237">
        <v>60</v>
      </c>
      <c r="AE17" s="237">
        <v>40</v>
      </c>
      <c r="AF17" s="237">
        <v>25</v>
      </c>
      <c r="AG17" s="237">
        <v>15</v>
      </c>
      <c r="AH17" s="237">
        <v>8</v>
      </c>
      <c r="AI17" s="234"/>
      <c r="AJ17" s="234"/>
      <c r="AK17" s="234"/>
      <c r="AL17" s="280"/>
      <c r="AM17" s="280"/>
      <c r="AN17" s="280"/>
      <c r="AO17" s="280"/>
      <c r="AP17" s="280"/>
      <c r="AQ17" s="280"/>
      <c r="AR17" s="280"/>
      <c r="AS17" s="280"/>
    </row>
    <row r="18" spans="1:45" s="282" customFormat="1" ht="13.05" customHeight="1" x14ac:dyDescent="0.25">
      <c r="A18" s="283"/>
      <c r="B18" s="284"/>
      <c r="C18" s="285"/>
      <c r="D18" s="285"/>
      <c r="E18" s="297"/>
      <c r="F18" s="287"/>
      <c r="G18" s="287"/>
      <c r="H18" s="288"/>
      <c r="I18" s="287"/>
      <c r="J18" s="298"/>
      <c r="K18" s="289" t="s">
        <v>0</v>
      </c>
      <c r="L18" s="299"/>
      <c r="M18" s="291" t="s">
        <v>129</v>
      </c>
      <c r="N18" s="310"/>
      <c r="O18" s="301"/>
      <c r="P18" s="301"/>
      <c r="Q18" s="278"/>
      <c r="R18" s="279"/>
      <c r="S18" s="280"/>
      <c r="T18" s="280"/>
      <c r="U18" s="280"/>
      <c r="V18" s="280"/>
      <c r="W18" s="280"/>
      <c r="X18" s="280"/>
      <c r="Y18" s="236"/>
      <c r="Z18" s="236"/>
      <c r="AA18" s="236" t="s">
        <v>83</v>
      </c>
      <c r="AB18" s="237">
        <v>90</v>
      </c>
      <c r="AC18" s="237">
        <v>60</v>
      </c>
      <c r="AD18" s="237">
        <v>40</v>
      </c>
      <c r="AE18" s="237">
        <v>25</v>
      </c>
      <c r="AF18" s="237">
        <v>15</v>
      </c>
      <c r="AG18" s="237">
        <v>8</v>
      </c>
      <c r="AH18" s="237">
        <v>4</v>
      </c>
      <c r="AI18" s="234"/>
      <c r="AJ18" s="234"/>
      <c r="AK18" s="234"/>
      <c r="AL18" s="280"/>
      <c r="AM18" s="280"/>
      <c r="AN18" s="280"/>
      <c r="AO18" s="280"/>
      <c r="AP18" s="280"/>
      <c r="AQ18" s="280"/>
      <c r="AR18" s="280"/>
      <c r="AS18" s="280"/>
    </row>
    <row r="19" spans="1:45" s="282" customFormat="1" ht="13.05" customHeight="1" x14ac:dyDescent="0.25">
      <c r="A19" s="283">
        <v>7</v>
      </c>
      <c r="B19" s="270" t="str">
        <f>IF($E19="","",VLOOKUP($E19,'[1]1MD ELO'!$A$7:$O$22,14))</f>
        <v/>
      </c>
      <c r="C19" s="271" t="str">
        <f>IF($E19="","",VLOOKUP($E19,'[1]1MD ELO'!$A$7:$O$22,15))</f>
        <v/>
      </c>
      <c r="D19" s="271" t="str">
        <f>IF($E19="","",VLOOKUP($E19,'[1]1MD ELO'!$A$7:$O$22,5))</f>
        <v/>
      </c>
      <c r="E19" s="293"/>
      <c r="F19" s="294"/>
      <c r="G19" s="294"/>
      <c r="H19" s="294"/>
      <c r="I19" s="294" t="str">
        <f>IF($E19="","",VLOOKUP($E19,'[1]1MD ELO'!$A$7:$O$22,4))</f>
        <v/>
      </c>
      <c r="J19" s="274"/>
      <c r="K19" s="275"/>
      <c r="L19" s="302"/>
      <c r="M19" s="303" t="s">
        <v>130</v>
      </c>
      <c r="N19" s="301"/>
      <c r="O19" s="301"/>
      <c r="P19" s="301"/>
      <c r="Q19" s="278"/>
      <c r="R19" s="279"/>
      <c r="S19" s="280"/>
      <c r="T19" s="280"/>
      <c r="U19" s="280"/>
      <c r="V19" s="280"/>
      <c r="W19" s="280"/>
      <c r="X19" s="280"/>
      <c r="Y19" s="236"/>
      <c r="Z19" s="236"/>
      <c r="AA19" s="236" t="s">
        <v>84</v>
      </c>
      <c r="AB19" s="237">
        <v>60</v>
      </c>
      <c r="AC19" s="237">
        <v>40</v>
      </c>
      <c r="AD19" s="237">
        <v>25</v>
      </c>
      <c r="AE19" s="237">
        <v>15</v>
      </c>
      <c r="AF19" s="237">
        <v>8</v>
      </c>
      <c r="AG19" s="237">
        <v>4</v>
      </c>
      <c r="AH19" s="237">
        <v>2</v>
      </c>
      <c r="AI19" s="234"/>
      <c r="AJ19" s="234"/>
      <c r="AK19" s="234"/>
      <c r="AL19" s="280"/>
      <c r="AM19" s="280"/>
      <c r="AN19" s="280"/>
      <c r="AO19" s="280"/>
      <c r="AP19" s="280"/>
      <c r="AQ19" s="280"/>
      <c r="AR19" s="280"/>
      <c r="AS19" s="280"/>
    </row>
    <row r="20" spans="1:45" s="282" customFormat="1" ht="13.05" customHeight="1" x14ac:dyDescent="0.25">
      <c r="A20" s="283"/>
      <c r="B20" s="284"/>
      <c r="C20" s="285"/>
      <c r="D20" s="285"/>
      <c r="E20" s="286"/>
      <c r="F20" s="287"/>
      <c r="G20" s="287"/>
      <c r="H20" s="288"/>
      <c r="I20" s="289" t="s">
        <v>0</v>
      </c>
      <c r="J20" s="290"/>
      <c r="K20" s="291" t="str">
        <f>UPPER(IF(OR(J20="a",J20="as"),F19,IF(OR(J20="b",J20="bs"),F21,)))</f>
        <v/>
      </c>
      <c r="L20" s="305"/>
      <c r="M20" s="275"/>
      <c r="N20" s="301"/>
      <c r="O20" s="301"/>
      <c r="P20" s="301"/>
      <c r="Q20" s="278"/>
      <c r="R20" s="279"/>
      <c r="S20" s="280"/>
      <c r="T20" s="280"/>
      <c r="U20" s="280"/>
      <c r="V20" s="280"/>
      <c r="W20" s="280"/>
      <c r="X20" s="280"/>
      <c r="Y20" s="236"/>
      <c r="Z20" s="236"/>
      <c r="AA20" s="236" t="s">
        <v>85</v>
      </c>
      <c r="AB20" s="237">
        <v>40</v>
      </c>
      <c r="AC20" s="237">
        <v>25</v>
      </c>
      <c r="AD20" s="237">
        <v>15</v>
      </c>
      <c r="AE20" s="237">
        <v>8</v>
      </c>
      <c r="AF20" s="237">
        <v>4</v>
      </c>
      <c r="AG20" s="237">
        <v>2</v>
      </c>
      <c r="AH20" s="237">
        <v>1</v>
      </c>
      <c r="AI20" s="234"/>
      <c r="AJ20" s="234"/>
      <c r="AK20" s="234"/>
      <c r="AL20" s="280"/>
      <c r="AM20" s="280"/>
      <c r="AN20" s="280"/>
      <c r="AO20" s="280"/>
      <c r="AP20" s="280"/>
      <c r="AQ20" s="280"/>
      <c r="AR20" s="280"/>
      <c r="AS20" s="280"/>
    </row>
    <row r="21" spans="1:45" s="282" customFormat="1" ht="13.05" customHeight="1" x14ac:dyDescent="0.25">
      <c r="A21" s="311">
        <v>8</v>
      </c>
      <c r="B21" s="270" t="str">
        <f>IF($E21="","",VLOOKUP($E21,'[1]1MD ELO'!$A$7:$O$22,14))</f>
        <v/>
      </c>
      <c r="C21" s="271" t="str">
        <f>IF($E21="","",VLOOKUP($E21,'[1]1MD ELO'!$A$7:$O$22,15))</f>
        <v/>
      </c>
      <c r="D21" s="271" t="str">
        <f>IF($E21="","",VLOOKUP($E21,'[1]1MD ELO'!$A$7:$O$22,5))</f>
        <v/>
      </c>
      <c r="E21" s="272"/>
      <c r="F21" s="312"/>
      <c r="G21" s="312"/>
      <c r="H21" s="312"/>
      <c r="I21" s="312" t="str">
        <f>IF($E21="","",VLOOKUP($E21,'[1]1MD ELO'!$A$7:$O$22,4))</f>
        <v/>
      </c>
      <c r="J21" s="306"/>
      <c r="K21" s="275"/>
      <c r="L21" s="275"/>
      <c r="M21" s="275"/>
      <c r="N21" s="301"/>
      <c r="O21" s="301"/>
      <c r="P21" s="301"/>
      <c r="Q21" s="278"/>
      <c r="R21" s="279"/>
      <c r="S21" s="280"/>
      <c r="T21" s="280"/>
      <c r="U21" s="280"/>
      <c r="V21" s="280"/>
      <c r="W21" s="280"/>
      <c r="X21" s="280"/>
      <c r="Y21" s="236"/>
      <c r="Z21" s="236"/>
      <c r="AA21" s="236" t="s">
        <v>86</v>
      </c>
      <c r="AB21" s="237">
        <v>25</v>
      </c>
      <c r="AC21" s="237">
        <v>15</v>
      </c>
      <c r="AD21" s="237">
        <v>10</v>
      </c>
      <c r="AE21" s="237">
        <v>6</v>
      </c>
      <c r="AF21" s="237">
        <v>3</v>
      </c>
      <c r="AG21" s="237">
        <v>1</v>
      </c>
      <c r="AH21" s="237">
        <v>0</v>
      </c>
      <c r="AI21" s="234"/>
      <c r="AJ21" s="234"/>
      <c r="AK21" s="234"/>
      <c r="AL21" s="280"/>
      <c r="AM21" s="280"/>
      <c r="AN21" s="280"/>
      <c r="AO21" s="280"/>
      <c r="AP21" s="280"/>
      <c r="AQ21" s="280"/>
      <c r="AR21" s="280"/>
      <c r="AS21" s="280"/>
    </row>
    <row r="22" spans="1:45" s="282" customFormat="1" ht="9.4499999999999993" customHeight="1" x14ac:dyDescent="0.25">
      <c r="A22" s="313"/>
      <c r="B22" s="276"/>
      <c r="C22" s="276"/>
      <c r="D22" s="276"/>
      <c r="E22" s="286"/>
      <c r="F22" s="276"/>
      <c r="G22" s="276"/>
      <c r="H22" s="276"/>
      <c r="I22" s="276"/>
      <c r="J22" s="286"/>
      <c r="K22" s="276"/>
      <c r="L22" s="276"/>
      <c r="M22" s="276"/>
      <c r="N22" s="278"/>
      <c r="O22" s="278"/>
      <c r="P22" s="278"/>
      <c r="Q22" s="278"/>
      <c r="R22" s="279"/>
      <c r="S22" s="280"/>
      <c r="T22" s="280"/>
      <c r="U22" s="280"/>
      <c r="V22" s="280"/>
      <c r="W22" s="280"/>
      <c r="X22" s="280"/>
      <c r="Y22" s="236"/>
      <c r="Z22" s="236"/>
      <c r="AA22" s="236" t="s">
        <v>87</v>
      </c>
      <c r="AB22" s="237">
        <v>15</v>
      </c>
      <c r="AC22" s="237">
        <v>10</v>
      </c>
      <c r="AD22" s="237">
        <v>6</v>
      </c>
      <c r="AE22" s="237">
        <v>3</v>
      </c>
      <c r="AF22" s="237">
        <v>1</v>
      </c>
      <c r="AG22" s="237">
        <v>0</v>
      </c>
      <c r="AH22" s="237">
        <v>0</v>
      </c>
      <c r="AI22" s="234"/>
      <c r="AJ22" s="234"/>
      <c r="AK22" s="234"/>
      <c r="AL22" s="280"/>
      <c r="AM22" s="280"/>
      <c r="AN22" s="280"/>
      <c r="AO22" s="280"/>
      <c r="AP22" s="280"/>
      <c r="AQ22" s="280"/>
      <c r="AR22" s="280"/>
      <c r="AS22" s="280"/>
    </row>
    <row r="23" spans="1:45" s="282" customFormat="1" ht="9.4499999999999993" customHeight="1" x14ac:dyDescent="0.25">
      <c r="A23" s="314"/>
      <c r="B23" s="286"/>
      <c r="C23" s="286"/>
      <c r="D23" s="286"/>
      <c r="E23" s="286"/>
      <c r="F23" s="276"/>
      <c r="G23" s="276"/>
      <c r="H23" s="280"/>
      <c r="I23" s="315"/>
      <c r="J23" s="286"/>
      <c r="K23" s="276"/>
      <c r="L23" s="276"/>
      <c r="M23" s="276"/>
      <c r="N23" s="278"/>
      <c r="O23" s="278"/>
      <c r="P23" s="278"/>
      <c r="Q23" s="278"/>
      <c r="R23" s="279"/>
      <c r="S23" s="280"/>
      <c r="T23" s="280"/>
      <c r="U23" s="280"/>
      <c r="V23" s="280"/>
      <c r="W23" s="280"/>
      <c r="X23" s="280"/>
      <c r="Y23" s="236"/>
      <c r="Z23" s="236"/>
      <c r="AA23" s="236" t="s">
        <v>88</v>
      </c>
      <c r="AB23" s="237">
        <v>10</v>
      </c>
      <c r="AC23" s="237">
        <v>6</v>
      </c>
      <c r="AD23" s="237">
        <v>3</v>
      </c>
      <c r="AE23" s="237">
        <v>1</v>
      </c>
      <c r="AF23" s="237">
        <v>0</v>
      </c>
      <c r="AG23" s="237">
        <v>0</v>
      </c>
      <c r="AH23" s="237">
        <v>0</v>
      </c>
      <c r="AI23" s="234"/>
      <c r="AJ23" s="234"/>
      <c r="AK23" s="234"/>
      <c r="AL23" s="280"/>
      <c r="AM23" s="280"/>
      <c r="AN23" s="280"/>
      <c r="AO23" s="280"/>
      <c r="AP23" s="280"/>
      <c r="AQ23" s="280"/>
      <c r="AR23" s="280"/>
      <c r="AS23" s="280"/>
    </row>
    <row r="24" spans="1:45" s="282" customFormat="1" ht="9.4499999999999993" customHeight="1" x14ac:dyDescent="0.25">
      <c r="A24" s="314"/>
      <c r="B24" s="276"/>
      <c r="C24" s="276"/>
      <c r="D24" s="276"/>
      <c r="E24" s="286"/>
      <c r="F24" s="276"/>
      <c r="G24" s="276"/>
      <c r="H24" s="276"/>
      <c r="I24" s="276"/>
      <c r="J24" s="286"/>
      <c r="K24" s="276"/>
      <c r="L24" s="316"/>
      <c r="M24" s="276"/>
      <c r="N24" s="278"/>
      <c r="O24" s="278"/>
      <c r="P24" s="278"/>
      <c r="Q24" s="278"/>
      <c r="R24" s="279"/>
      <c r="S24" s="280"/>
      <c r="T24" s="280"/>
      <c r="U24" s="280"/>
      <c r="V24" s="280"/>
      <c r="W24" s="280"/>
      <c r="X24" s="280"/>
      <c r="Y24" s="236"/>
      <c r="Z24" s="236"/>
      <c r="AA24" s="236" t="s">
        <v>89</v>
      </c>
      <c r="AB24" s="237">
        <v>6</v>
      </c>
      <c r="AC24" s="237">
        <v>3</v>
      </c>
      <c r="AD24" s="237">
        <v>1</v>
      </c>
      <c r="AE24" s="237">
        <v>0</v>
      </c>
      <c r="AF24" s="237">
        <v>0</v>
      </c>
      <c r="AG24" s="237">
        <v>0</v>
      </c>
      <c r="AH24" s="237">
        <v>0</v>
      </c>
      <c r="AI24" s="234"/>
      <c r="AJ24" s="234"/>
      <c r="AK24" s="234"/>
      <c r="AL24" s="280"/>
      <c r="AM24" s="280"/>
      <c r="AN24" s="280"/>
      <c r="AO24" s="280"/>
      <c r="AP24" s="280"/>
      <c r="AQ24" s="280"/>
      <c r="AR24" s="280"/>
      <c r="AS24" s="280"/>
    </row>
    <row r="25" spans="1:45" s="282" customFormat="1" ht="9.4499999999999993" customHeight="1" x14ac:dyDescent="0.25">
      <c r="A25" s="314"/>
      <c r="B25" s="286"/>
      <c r="C25" s="286"/>
      <c r="D25" s="286"/>
      <c r="E25" s="286"/>
      <c r="F25" s="276"/>
      <c r="G25" s="276"/>
      <c r="H25" s="280"/>
      <c r="I25" s="276"/>
      <c r="J25" s="286"/>
      <c r="K25" s="315"/>
      <c r="L25" s="286"/>
      <c r="M25" s="276"/>
      <c r="N25" s="278"/>
      <c r="O25" s="278"/>
      <c r="P25" s="278"/>
      <c r="Q25" s="278"/>
      <c r="R25" s="279"/>
      <c r="S25" s="280"/>
      <c r="T25" s="280"/>
      <c r="U25" s="280"/>
      <c r="V25" s="280"/>
      <c r="W25" s="280"/>
      <c r="X25" s="280"/>
      <c r="Y25" s="236"/>
      <c r="Z25" s="236"/>
      <c r="AA25" s="236" t="s">
        <v>94</v>
      </c>
      <c r="AB25" s="237">
        <v>3</v>
      </c>
      <c r="AC25" s="237">
        <v>2</v>
      </c>
      <c r="AD25" s="237">
        <v>1</v>
      </c>
      <c r="AE25" s="237">
        <v>0</v>
      </c>
      <c r="AF25" s="237">
        <v>0</v>
      </c>
      <c r="AG25" s="237">
        <v>0</v>
      </c>
      <c r="AH25" s="237">
        <v>0</v>
      </c>
      <c r="AI25" s="234"/>
      <c r="AJ25" s="234"/>
      <c r="AK25" s="234"/>
      <c r="AL25" s="280"/>
      <c r="AM25" s="280"/>
      <c r="AN25" s="280"/>
      <c r="AO25" s="280"/>
      <c r="AP25" s="280"/>
      <c r="AQ25" s="280"/>
      <c r="AR25" s="280"/>
      <c r="AS25" s="280"/>
    </row>
    <row r="26" spans="1:45" s="282" customFormat="1" ht="9.4499999999999993" customHeight="1" x14ac:dyDescent="0.25">
      <c r="A26" s="314"/>
      <c r="B26" s="276"/>
      <c r="C26" s="276"/>
      <c r="D26" s="276"/>
      <c r="E26" s="286"/>
      <c r="F26" s="276"/>
      <c r="G26" s="276"/>
      <c r="H26" s="276"/>
      <c r="I26" s="276"/>
      <c r="J26" s="286"/>
      <c r="K26" s="276"/>
      <c r="L26" s="276"/>
      <c r="M26" s="276"/>
      <c r="N26" s="278"/>
      <c r="O26" s="278"/>
      <c r="P26" s="278"/>
      <c r="Q26" s="278"/>
      <c r="R26" s="279"/>
      <c r="S26" s="317"/>
      <c r="T26" s="280"/>
      <c r="U26" s="280"/>
      <c r="V26" s="280"/>
      <c r="W26" s="280"/>
      <c r="X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234"/>
      <c r="AJ26" s="234"/>
      <c r="AK26" s="234"/>
      <c r="AL26" s="280"/>
      <c r="AM26" s="280"/>
      <c r="AN26" s="280"/>
      <c r="AO26" s="280"/>
      <c r="AP26" s="280"/>
      <c r="AQ26" s="280"/>
      <c r="AR26" s="280"/>
      <c r="AS26" s="280"/>
    </row>
    <row r="27" spans="1:45" s="282" customFormat="1" ht="9.4499999999999993" customHeight="1" x14ac:dyDescent="0.25">
      <c r="A27" s="314"/>
      <c r="B27" s="286"/>
      <c r="C27" s="286"/>
      <c r="D27" s="286"/>
      <c r="E27" s="286"/>
      <c r="F27" s="276"/>
      <c r="G27" s="276"/>
      <c r="H27" s="280"/>
      <c r="I27" s="315"/>
      <c r="J27" s="286"/>
      <c r="K27" s="276"/>
      <c r="L27" s="276"/>
      <c r="M27" s="276"/>
      <c r="N27" s="278"/>
      <c r="O27" s="278"/>
      <c r="P27" s="278"/>
      <c r="Q27" s="278"/>
      <c r="R27" s="279"/>
      <c r="S27" s="280"/>
      <c r="T27" s="280"/>
      <c r="U27" s="280"/>
      <c r="V27" s="280"/>
      <c r="W27" s="280"/>
      <c r="X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234"/>
      <c r="AJ27" s="234"/>
      <c r="AK27" s="234"/>
      <c r="AL27" s="280"/>
      <c r="AM27" s="280"/>
      <c r="AN27" s="280"/>
      <c r="AO27" s="280"/>
      <c r="AP27" s="280"/>
      <c r="AQ27" s="280"/>
      <c r="AR27" s="280"/>
      <c r="AS27" s="280"/>
    </row>
    <row r="28" spans="1:45" s="282" customFormat="1" ht="9.4499999999999993" customHeight="1" x14ac:dyDescent="0.25">
      <c r="A28" s="314"/>
      <c r="B28" s="276"/>
      <c r="C28" s="276"/>
      <c r="D28" s="276"/>
      <c r="E28" s="286"/>
      <c r="F28" s="276"/>
      <c r="G28" s="276"/>
      <c r="H28" s="276"/>
      <c r="I28" s="276"/>
      <c r="J28" s="286"/>
      <c r="K28" s="276"/>
      <c r="L28" s="276"/>
      <c r="M28" s="276"/>
      <c r="N28" s="278"/>
      <c r="O28" s="278"/>
      <c r="P28" s="278"/>
      <c r="Q28" s="278"/>
      <c r="R28" s="279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</row>
    <row r="29" spans="1:45" s="282" customFormat="1" ht="9.4499999999999993" customHeight="1" x14ac:dyDescent="0.25">
      <c r="A29" s="314"/>
      <c r="B29" s="286"/>
      <c r="C29" s="286"/>
      <c r="D29" s="286"/>
      <c r="E29" s="286"/>
      <c r="F29" s="276"/>
      <c r="G29" s="276"/>
      <c r="H29" s="280"/>
      <c r="I29" s="276"/>
      <c r="J29" s="286"/>
      <c r="K29" s="276"/>
      <c r="L29" s="276"/>
      <c r="M29" s="315"/>
      <c r="N29" s="286"/>
      <c r="O29" s="276"/>
      <c r="P29" s="278"/>
      <c r="Q29" s="278"/>
      <c r="R29" s="279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</row>
    <row r="30" spans="1:45" s="282" customFormat="1" ht="9.4499999999999993" customHeight="1" x14ac:dyDescent="0.25">
      <c r="A30" s="314"/>
      <c r="B30" s="276"/>
      <c r="C30" s="276"/>
      <c r="D30" s="276"/>
      <c r="E30" s="286"/>
      <c r="F30" s="276"/>
      <c r="G30" s="276"/>
      <c r="H30" s="276"/>
      <c r="I30" s="276"/>
      <c r="J30" s="286"/>
      <c r="K30" s="276"/>
      <c r="L30" s="276"/>
      <c r="M30" s="276"/>
      <c r="N30" s="278"/>
      <c r="O30" s="276"/>
      <c r="P30" s="278"/>
      <c r="Q30" s="278"/>
      <c r="R30" s="279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</row>
    <row r="31" spans="1:45" s="282" customFormat="1" ht="9.4499999999999993" customHeight="1" x14ac:dyDescent="0.25">
      <c r="A31" s="314"/>
      <c r="B31" s="286"/>
      <c r="C31" s="286"/>
      <c r="D31" s="286"/>
      <c r="E31" s="286"/>
      <c r="F31" s="276"/>
      <c r="G31" s="276"/>
      <c r="H31" s="280"/>
      <c r="I31" s="315"/>
      <c r="J31" s="286"/>
      <c r="K31" s="276"/>
      <c r="L31" s="276"/>
      <c r="M31" s="276"/>
      <c r="N31" s="278"/>
      <c r="O31" s="278"/>
      <c r="P31" s="278"/>
      <c r="Q31" s="278"/>
      <c r="R31" s="279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</row>
    <row r="32" spans="1:45" s="282" customFormat="1" ht="9.4499999999999993" customHeight="1" x14ac:dyDescent="0.25">
      <c r="A32" s="314"/>
      <c r="B32" s="276"/>
      <c r="C32" s="276"/>
      <c r="D32" s="276"/>
      <c r="E32" s="286"/>
      <c r="F32" s="276"/>
      <c r="G32" s="276"/>
      <c r="H32" s="276"/>
      <c r="I32" s="276"/>
      <c r="J32" s="286"/>
      <c r="K32" s="276"/>
      <c r="L32" s="316"/>
      <c r="M32" s="276"/>
      <c r="N32" s="278"/>
      <c r="O32" s="278"/>
      <c r="P32" s="278"/>
      <c r="Q32" s="278"/>
      <c r="R32" s="279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</row>
    <row r="33" spans="1:45" s="282" customFormat="1" ht="9.4499999999999993" customHeight="1" x14ac:dyDescent="0.25">
      <c r="A33" s="314"/>
      <c r="B33" s="286"/>
      <c r="C33" s="286"/>
      <c r="D33" s="286"/>
      <c r="E33" s="286"/>
      <c r="F33" s="276"/>
      <c r="G33" s="276"/>
      <c r="H33" s="280"/>
      <c r="I33" s="276"/>
      <c r="J33" s="286"/>
      <c r="K33" s="315"/>
      <c r="L33" s="286"/>
      <c r="M33" s="276"/>
      <c r="N33" s="278"/>
      <c r="O33" s="278"/>
      <c r="P33" s="278"/>
      <c r="Q33" s="278"/>
      <c r="R33" s="279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</row>
    <row r="34" spans="1:45" s="282" customFormat="1" ht="9.4499999999999993" customHeight="1" x14ac:dyDescent="0.25">
      <c r="A34" s="314"/>
      <c r="B34" s="276"/>
      <c r="C34" s="276"/>
      <c r="D34" s="276"/>
      <c r="E34" s="286"/>
      <c r="F34" s="276"/>
      <c r="G34" s="276"/>
      <c r="H34" s="276"/>
      <c r="I34" s="276"/>
      <c r="J34" s="286"/>
      <c r="K34" s="276"/>
      <c r="L34" s="276"/>
      <c r="M34" s="276"/>
      <c r="N34" s="278"/>
      <c r="O34" s="278"/>
      <c r="P34" s="278"/>
      <c r="Q34" s="278"/>
      <c r="R34" s="279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</row>
    <row r="35" spans="1:45" s="282" customFormat="1" ht="9.4499999999999993" customHeight="1" x14ac:dyDescent="0.25">
      <c r="A35" s="314"/>
      <c r="B35" s="286"/>
      <c r="C35" s="286"/>
      <c r="D35" s="286"/>
      <c r="E35" s="286"/>
      <c r="F35" s="276"/>
      <c r="G35" s="276"/>
      <c r="H35" s="280"/>
      <c r="I35" s="315"/>
      <c r="J35" s="286"/>
      <c r="K35" s="276"/>
      <c r="L35" s="276"/>
      <c r="M35" s="276"/>
      <c r="N35" s="278"/>
      <c r="O35" s="278"/>
      <c r="P35" s="278"/>
      <c r="Q35" s="278"/>
      <c r="R35" s="279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</row>
    <row r="36" spans="1:45" s="282" customFormat="1" ht="9.4499999999999993" customHeight="1" x14ac:dyDescent="0.25">
      <c r="A36" s="313"/>
      <c r="B36" s="276"/>
      <c r="C36" s="276"/>
      <c r="D36" s="276"/>
      <c r="E36" s="286"/>
      <c r="F36" s="276"/>
      <c r="G36" s="276"/>
      <c r="H36" s="276"/>
      <c r="I36" s="276"/>
      <c r="J36" s="286"/>
      <c r="K36" s="276"/>
      <c r="L36" s="276"/>
      <c r="M36" s="276"/>
      <c r="N36" s="276"/>
      <c r="O36" s="276"/>
      <c r="P36" s="276"/>
      <c r="Q36" s="278"/>
      <c r="R36" s="279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</row>
    <row r="37" spans="1:45" s="282" customFormat="1" ht="9.4499999999999993" customHeight="1" x14ac:dyDescent="0.25">
      <c r="A37" s="314"/>
      <c r="B37" s="286"/>
      <c r="C37" s="286"/>
      <c r="D37" s="286"/>
      <c r="E37" s="286"/>
      <c r="F37" s="318"/>
      <c r="G37" s="318"/>
      <c r="H37" s="319"/>
      <c r="I37" s="275"/>
      <c r="J37" s="298"/>
      <c r="K37" s="275"/>
      <c r="L37" s="275"/>
      <c r="M37" s="275"/>
      <c r="N37" s="301"/>
      <c r="O37" s="301"/>
      <c r="P37" s="301"/>
      <c r="Q37" s="278"/>
      <c r="R37" s="279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</row>
    <row r="38" spans="1:45" s="282" customFormat="1" ht="9.4499999999999993" customHeight="1" x14ac:dyDescent="0.25">
      <c r="A38" s="313"/>
      <c r="B38" s="276"/>
      <c r="C38" s="276"/>
      <c r="D38" s="276"/>
      <c r="E38" s="286"/>
      <c r="F38" s="276"/>
      <c r="G38" s="276"/>
      <c r="H38" s="276"/>
      <c r="I38" s="276"/>
      <c r="J38" s="286"/>
      <c r="K38" s="276"/>
      <c r="L38" s="276"/>
      <c r="M38" s="276"/>
      <c r="N38" s="278"/>
      <c r="O38" s="278"/>
      <c r="P38" s="278"/>
      <c r="Q38" s="278"/>
      <c r="R38" s="279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</row>
    <row r="39" spans="1:45" s="282" customFormat="1" ht="9.4499999999999993" customHeight="1" x14ac:dyDescent="0.25">
      <c r="A39" s="314"/>
      <c r="B39" s="286"/>
      <c r="C39" s="286"/>
      <c r="D39" s="286"/>
      <c r="E39" s="286"/>
      <c r="F39" s="276"/>
      <c r="G39" s="276"/>
      <c r="H39" s="280"/>
      <c r="I39" s="315"/>
      <c r="J39" s="286"/>
      <c r="K39" s="276"/>
      <c r="L39" s="276"/>
      <c r="M39" s="276"/>
      <c r="N39" s="278"/>
      <c r="O39" s="278"/>
      <c r="P39" s="278"/>
      <c r="Q39" s="278"/>
      <c r="R39" s="279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</row>
    <row r="40" spans="1:45" s="282" customFormat="1" ht="9.4499999999999993" customHeight="1" x14ac:dyDescent="0.25">
      <c r="A40" s="314"/>
      <c r="B40" s="276"/>
      <c r="C40" s="276"/>
      <c r="D40" s="276"/>
      <c r="E40" s="286"/>
      <c r="F40" s="276"/>
      <c r="G40" s="276"/>
      <c r="H40" s="276"/>
      <c r="I40" s="276"/>
      <c r="J40" s="286"/>
      <c r="K40" s="276"/>
      <c r="L40" s="316"/>
      <c r="M40" s="276"/>
      <c r="N40" s="278"/>
      <c r="O40" s="278"/>
      <c r="P40" s="278"/>
      <c r="Q40" s="278"/>
      <c r="R40" s="279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</row>
    <row r="41" spans="1:45" s="282" customFormat="1" ht="9.4499999999999993" customHeight="1" x14ac:dyDescent="0.25">
      <c r="A41" s="314"/>
      <c r="B41" s="286"/>
      <c r="C41" s="286"/>
      <c r="D41" s="286"/>
      <c r="E41" s="286"/>
      <c r="F41" s="276"/>
      <c r="G41" s="276"/>
      <c r="H41" s="280"/>
      <c r="I41" s="276"/>
      <c r="J41" s="286"/>
      <c r="K41" s="315"/>
      <c r="L41" s="286"/>
      <c r="M41" s="276"/>
      <c r="N41" s="278"/>
      <c r="O41" s="278"/>
      <c r="P41" s="278"/>
      <c r="Q41" s="278"/>
      <c r="R41" s="279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</row>
    <row r="42" spans="1:45" s="282" customFormat="1" ht="9.4499999999999993" customHeight="1" x14ac:dyDescent="0.25">
      <c r="A42" s="314"/>
      <c r="B42" s="276"/>
      <c r="C42" s="276"/>
      <c r="D42" s="276"/>
      <c r="E42" s="286"/>
      <c r="F42" s="276"/>
      <c r="G42" s="276"/>
      <c r="H42" s="276"/>
      <c r="I42" s="276"/>
      <c r="J42" s="286"/>
      <c r="K42" s="276"/>
      <c r="L42" s="276"/>
      <c r="M42" s="276"/>
      <c r="N42" s="278"/>
      <c r="O42" s="278"/>
      <c r="P42" s="278"/>
      <c r="Q42" s="278"/>
      <c r="R42" s="279"/>
      <c r="S42" s="317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</row>
    <row r="43" spans="1:45" s="282" customFormat="1" ht="9.4499999999999993" customHeight="1" x14ac:dyDescent="0.25">
      <c r="A43" s="314"/>
      <c r="B43" s="286"/>
      <c r="C43" s="286"/>
      <c r="D43" s="286"/>
      <c r="E43" s="286"/>
      <c r="F43" s="276"/>
      <c r="G43" s="276"/>
      <c r="H43" s="280"/>
      <c r="I43" s="315"/>
      <c r="J43" s="286"/>
      <c r="K43" s="276"/>
      <c r="L43" s="276"/>
      <c r="M43" s="276"/>
      <c r="N43" s="278"/>
      <c r="O43" s="278"/>
      <c r="P43" s="278"/>
      <c r="Q43" s="278"/>
      <c r="R43" s="279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</row>
    <row r="44" spans="1:45" s="282" customFormat="1" ht="9.4499999999999993" customHeight="1" x14ac:dyDescent="0.25">
      <c r="A44" s="314"/>
      <c r="B44" s="276"/>
      <c r="C44" s="276"/>
      <c r="D44" s="276"/>
      <c r="E44" s="286"/>
      <c r="F44" s="276"/>
      <c r="G44" s="276"/>
      <c r="H44" s="276"/>
      <c r="I44" s="276"/>
      <c r="J44" s="286"/>
      <c r="K44" s="276"/>
      <c r="L44" s="276"/>
      <c r="M44" s="276"/>
      <c r="N44" s="278"/>
      <c r="O44" s="278"/>
      <c r="P44" s="278"/>
      <c r="Q44" s="278"/>
      <c r="R44" s="279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</row>
    <row r="45" spans="1:45" s="282" customFormat="1" ht="9.4499999999999993" customHeight="1" x14ac:dyDescent="0.25">
      <c r="A45" s="314"/>
      <c r="B45" s="286"/>
      <c r="C45" s="286"/>
      <c r="D45" s="286"/>
      <c r="E45" s="286"/>
      <c r="F45" s="276"/>
      <c r="G45" s="276"/>
      <c r="H45" s="280"/>
      <c r="I45" s="276"/>
      <c r="J45" s="286"/>
      <c r="K45" s="276"/>
      <c r="L45" s="276"/>
      <c r="M45" s="315"/>
      <c r="N45" s="286"/>
      <c r="O45" s="276"/>
      <c r="P45" s="278"/>
      <c r="Q45" s="278"/>
      <c r="R45" s="279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</row>
    <row r="46" spans="1:45" s="282" customFormat="1" ht="9.4499999999999993" customHeight="1" x14ac:dyDescent="0.25">
      <c r="A46" s="314"/>
      <c r="B46" s="276"/>
      <c r="C46" s="276"/>
      <c r="D46" s="276"/>
      <c r="E46" s="286"/>
      <c r="F46" s="276"/>
      <c r="G46" s="276"/>
      <c r="H46" s="276"/>
      <c r="I46" s="276"/>
      <c r="J46" s="286"/>
      <c r="K46" s="276"/>
      <c r="L46" s="276"/>
      <c r="M46" s="276"/>
      <c r="N46" s="278"/>
      <c r="O46" s="276"/>
      <c r="P46" s="278"/>
      <c r="Q46" s="278"/>
      <c r="R46" s="279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</row>
    <row r="47" spans="1:45" s="282" customFormat="1" ht="9.4499999999999993" customHeight="1" x14ac:dyDescent="0.25">
      <c r="A47" s="314"/>
      <c r="B47" s="286"/>
      <c r="C47" s="286"/>
      <c r="D47" s="286"/>
      <c r="E47" s="286"/>
      <c r="F47" s="276"/>
      <c r="G47" s="276"/>
      <c r="H47" s="280"/>
      <c r="I47" s="315"/>
      <c r="J47" s="286"/>
      <c r="K47" s="276"/>
      <c r="L47" s="276"/>
      <c r="M47" s="276"/>
      <c r="N47" s="278"/>
      <c r="O47" s="278"/>
      <c r="P47" s="278"/>
      <c r="Q47" s="278"/>
      <c r="R47" s="279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</row>
    <row r="48" spans="1:45" s="282" customFormat="1" ht="9.4499999999999993" customHeight="1" x14ac:dyDescent="0.25">
      <c r="A48" s="314"/>
      <c r="B48" s="276"/>
      <c r="C48" s="276"/>
      <c r="D48" s="276"/>
      <c r="E48" s="286"/>
      <c r="F48" s="276"/>
      <c r="G48" s="276"/>
      <c r="H48" s="276"/>
      <c r="I48" s="276"/>
      <c r="J48" s="286"/>
      <c r="K48" s="276"/>
      <c r="L48" s="316"/>
      <c r="M48" s="276"/>
      <c r="N48" s="278"/>
      <c r="O48" s="278"/>
      <c r="P48" s="278"/>
      <c r="Q48" s="278"/>
      <c r="R48" s="279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</row>
    <row r="49" spans="1:45" s="282" customFormat="1" ht="9.4499999999999993" customHeight="1" x14ac:dyDescent="0.25">
      <c r="A49" s="314"/>
      <c r="B49" s="286"/>
      <c r="C49" s="286"/>
      <c r="D49" s="286"/>
      <c r="E49" s="286"/>
      <c r="F49" s="276"/>
      <c r="G49" s="276"/>
      <c r="H49" s="280"/>
      <c r="I49" s="276"/>
      <c r="J49" s="286"/>
      <c r="K49" s="315"/>
      <c r="L49" s="286"/>
      <c r="M49" s="276"/>
      <c r="N49" s="278"/>
      <c r="O49" s="278"/>
      <c r="P49" s="278"/>
      <c r="Q49" s="278"/>
      <c r="R49" s="279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</row>
    <row r="50" spans="1:45" s="282" customFormat="1" ht="9.4499999999999993" customHeight="1" x14ac:dyDescent="0.25">
      <c r="A50" s="314"/>
      <c r="B50" s="276"/>
      <c r="C50" s="276"/>
      <c r="D50" s="276"/>
      <c r="E50" s="286"/>
      <c r="F50" s="276"/>
      <c r="G50" s="276"/>
      <c r="H50" s="276"/>
      <c r="I50" s="276"/>
      <c r="J50" s="286"/>
      <c r="K50" s="276"/>
      <c r="L50" s="276"/>
      <c r="M50" s="276"/>
      <c r="N50" s="278"/>
      <c r="O50" s="278"/>
      <c r="P50" s="278"/>
      <c r="Q50" s="278"/>
      <c r="R50" s="279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</row>
    <row r="51" spans="1:45" s="282" customFormat="1" ht="9.4499999999999993" customHeight="1" x14ac:dyDescent="0.25">
      <c r="A51" s="314"/>
      <c r="B51" s="286"/>
      <c r="C51" s="286"/>
      <c r="D51" s="286"/>
      <c r="E51" s="286"/>
      <c r="F51" s="276"/>
      <c r="G51" s="276"/>
      <c r="H51" s="280"/>
      <c r="I51" s="315"/>
      <c r="J51" s="286"/>
      <c r="K51" s="276"/>
      <c r="L51" s="276"/>
      <c r="M51" s="276"/>
      <c r="N51" s="278"/>
      <c r="O51" s="278"/>
      <c r="P51" s="278"/>
      <c r="Q51" s="278"/>
      <c r="R51" s="279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</row>
    <row r="52" spans="1:45" s="282" customFormat="1" ht="9.4499999999999993" customHeight="1" x14ac:dyDescent="0.25">
      <c r="A52" s="313"/>
      <c r="B52" s="276"/>
      <c r="C52" s="276"/>
      <c r="D52" s="276"/>
      <c r="E52" s="286"/>
      <c r="F52" s="320"/>
      <c r="G52" s="320"/>
      <c r="H52" s="320"/>
      <c r="I52" s="320"/>
      <c r="J52" s="286"/>
      <c r="K52" s="276"/>
      <c r="L52" s="276"/>
      <c r="M52" s="276"/>
      <c r="N52" s="276"/>
      <c r="O52" s="276"/>
      <c r="P52" s="276"/>
      <c r="Q52" s="278"/>
      <c r="R52" s="279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</row>
    <row r="53" spans="1:45" s="327" customFormat="1" ht="6.75" customHeight="1" x14ac:dyDescent="0.25">
      <c r="A53" s="321"/>
      <c r="B53" s="321"/>
      <c r="C53" s="321"/>
      <c r="D53" s="321"/>
      <c r="E53" s="321"/>
      <c r="F53" s="322"/>
      <c r="G53" s="322"/>
      <c r="H53" s="322"/>
      <c r="I53" s="322"/>
      <c r="J53" s="323"/>
      <c r="K53" s="324"/>
      <c r="L53" s="325"/>
      <c r="M53" s="324"/>
      <c r="N53" s="325"/>
      <c r="O53" s="324"/>
      <c r="P53" s="325"/>
      <c r="Q53" s="324"/>
      <c r="R53" s="325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280"/>
      <c r="AJ53" s="280"/>
      <c r="AK53" s="280"/>
      <c r="AL53" s="326"/>
      <c r="AM53" s="326"/>
      <c r="AN53" s="326"/>
      <c r="AO53" s="326"/>
      <c r="AP53" s="326"/>
      <c r="AQ53" s="326"/>
      <c r="AR53" s="326"/>
      <c r="AS53" s="326"/>
    </row>
    <row r="54" spans="1:45" s="340" customFormat="1" ht="10.5" customHeight="1" x14ac:dyDescent="0.25">
      <c r="A54" s="328" t="s">
        <v>32</v>
      </c>
      <c r="B54" s="329"/>
      <c r="C54" s="329"/>
      <c r="D54" s="330"/>
      <c r="E54" s="331" t="s">
        <v>3</v>
      </c>
      <c r="F54" s="332" t="s">
        <v>34</v>
      </c>
      <c r="G54" s="331"/>
      <c r="H54" s="333"/>
      <c r="I54" s="334"/>
      <c r="J54" s="331" t="s">
        <v>3</v>
      </c>
      <c r="K54" s="332" t="s">
        <v>41</v>
      </c>
      <c r="L54" s="335"/>
      <c r="M54" s="332" t="s">
        <v>42</v>
      </c>
      <c r="N54" s="336"/>
      <c r="O54" s="337" t="s">
        <v>43</v>
      </c>
      <c r="P54" s="337"/>
      <c r="Q54" s="338"/>
      <c r="R54" s="339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2"/>
      <c r="AJ54" s="342"/>
      <c r="AK54" s="342"/>
      <c r="AL54" s="341"/>
      <c r="AM54" s="341"/>
      <c r="AN54" s="341"/>
      <c r="AO54" s="341"/>
      <c r="AP54" s="341"/>
      <c r="AQ54" s="341"/>
      <c r="AR54" s="341"/>
      <c r="AS54" s="341"/>
    </row>
    <row r="55" spans="1:45" s="340" customFormat="1" ht="9" customHeight="1" x14ac:dyDescent="0.25">
      <c r="A55" s="343" t="s">
        <v>33</v>
      </c>
      <c r="B55" s="344"/>
      <c r="C55" s="345"/>
      <c r="D55" s="346"/>
      <c r="E55" s="347">
        <v>1</v>
      </c>
      <c r="F55" s="341" t="str">
        <f>IF(E55&gt;$R$62,,UPPER(VLOOKUP(E55,'[1]1MD ELO'!$A$7:$Q$134,2)))</f>
        <v/>
      </c>
      <c r="G55" s="347"/>
      <c r="H55" s="341"/>
      <c r="I55" s="348"/>
      <c r="J55" s="349" t="s">
        <v>4</v>
      </c>
      <c r="K55" s="350"/>
      <c r="L55" s="351"/>
      <c r="M55" s="350"/>
      <c r="N55" s="352"/>
      <c r="O55" s="353" t="s">
        <v>35</v>
      </c>
      <c r="P55" s="354"/>
      <c r="Q55" s="354"/>
      <c r="R55" s="352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2"/>
      <c r="AJ55" s="342"/>
      <c r="AK55" s="342"/>
      <c r="AL55" s="341"/>
      <c r="AM55" s="341"/>
      <c r="AN55" s="341"/>
      <c r="AO55" s="341"/>
      <c r="AP55" s="341"/>
      <c r="AQ55" s="341"/>
      <c r="AR55" s="341"/>
      <c r="AS55" s="341"/>
    </row>
    <row r="56" spans="1:45" s="340" customFormat="1" ht="9" customHeight="1" x14ac:dyDescent="0.25">
      <c r="A56" s="355" t="s">
        <v>40</v>
      </c>
      <c r="B56" s="356"/>
      <c r="C56" s="357"/>
      <c r="D56" s="358"/>
      <c r="E56" s="347">
        <v>2</v>
      </c>
      <c r="F56" s="341" t="str">
        <f>IF(E56&gt;$R$62,,UPPER(VLOOKUP(E56,'[1]1MD ELO'!$A$7:$Q$134,2)))</f>
        <v/>
      </c>
      <c r="G56" s="347"/>
      <c r="H56" s="341"/>
      <c r="I56" s="348"/>
      <c r="J56" s="349" t="s">
        <v>5</v>
      </c>
      <c r="K56" s="350"/>
      <c r="L56" s="351"/>
      <c r="M56" s="350"/>
      <c r="N56" s="352"/>
      <c r="O56" s="359"/>
      <c r="P56" s="360"/>
      <c r="Q56" s="356"/>
      <c r="R56" s="36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2"/>
      <c r="AJ56" s="342"/>
      <c r="AK56" s="342"/>
      <c r="AL56" s="341"/>
      <c r="AM56" s="341"/>
      <c r="AN56" s="341"/>
      <c r="AO56" s="341"/>
      <c r="AP56" s="341"/>
      <c r="AQ56" s="341"/>
      <c r="AR56" s="341"/>
      <c r="AS56" s="341"/>
    </row>
    <row r="57" spans="1:45" s="340" customFormat="1" ht="9" customHeight="1" x14ac:dyDescent="0.25">
      <c r="A57" s="362"/>
      <c r="B57" s="363"/>
      <c r="C57" s="364"/>
      <c r="D57" s="365"/>
      <c r="E57" s="347"/>
      <c r="F57" s="341"/>
      <c r="G57" s="347"/>
      <c r="H57" s="341"/>
      <c r="I57" s="348"/>
      <c r="J57" s="349" t="s">
        <v>6</v>
      </c>
      <c r="K57" s="350"/>
      <c r="L57" s="351"/>
      <c r="M57" s="350"/>
      <c r="N57" s="352"/>
      <c r="O57" s="353" t="s">
        <v>36</v>
      </c>
      <c r="P57" s="354"/>
      <c r="Q57" s="354"/>
      <c r="R57" s="352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2"/>
      <c r="AJ57" s="342"/>
      <c r="AK57" s="342"/>
      <c r="AL57" s="341"/>
      <c r="AM57" s="341"/>
      <c r="AN57" s="341"/>
      <c r="AO57" s="341"/>
      <c r="AP57" s="341"/>
      <c r="AQ57" s="341"/>
      <c r="AR57" s="341"/>
      <c r="AS57" s="341"/>
    </row>
    <row r="58" spans="1:45" s="340" customFormat="1" ht="9" customHeight="1" x14ac:dyDescent="0.25">
      <c r="A58" s="366"/>
      <c r="B58" s="252"/>
      <c r="C58" s="252"/>
      <c r="D58" s="367"/>
      <c r="E58" s="347"/>
      <c r="F58" s="341"/>
      <c r="G58" s="347"/>
      <c r="H58" s="341"/>
      <c r="I58" s="348"/>
      <c r="J58" s="349" t="s">
        <v>7</v>
      </c>
      <c r="K58" s="350"/>
      <c r="L58" s="351"/>
      <c r="M58" s="350"/>
      <c r="N58" s="352"/>
      <c r="O58" s="350"/>
      <c r="P58" s="351"/>
      <c r="Q58" s="350"/>
      <c r="R58" s="352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2"/>
      <c r="AJ58" s="342"/>
      <c r="AK58" s="342"/>
      <c r="AL58" s="341"/>
      <c r="AM58" s="341"/>
      <c r="AN58" s="341"/>
      <c r="AO58" s="341"/>
      <c r="AP58" s="341"/>
      <c r="AQ58" s="341"/>
      <c r="AR58" s="341"/>
      <c r="AS58" s="341"/>
    </row>
    <row r="59" spans="1:45" s="340" customFormat="1" ht="9" customHeight="1" x14ac:dyDescent="0.25">
      <c r="A59" s="368"/>
      <c r="B59" s="369"/>
      <c r="C59" s="369"/>
      <c r="D59" s="370"/>
      <c r="E59" s="347"/>
      <c r="F59" s="341"/>
      <c r="G59" s="347"/>
      <c r="H59" s="341"/>
      <c r="I59" s="348"/>
      <c r="J59" s="349" t="s">
        <v>8</v>
      </c>
      <c r="K59" s="350"/>
      <c r="L59" s="351"/>
      <c r="M59" s="350"/>
      <c r="N59" s="352"/>
      <c r="O59" s="356"/>
      <c r="P59" s="360"/>
      <c r="Q59" s="356"/>
      <c r="R59" s="36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J59" s="342"/>
      <c r="AK59" s="342"/>
      <c r="AL59" s="341"/>
      <c r="AM59" s="341"/>
      <c r="AN59" s="341"/>
      <c r="AO59" s="341"/>
      <c r="AP59" s="341"/>
      <c r="AQ59" s="341"/>
      <c r="AR59" s="341"/>
      <c r="AS59" s="341"/>
    </row>
    <row r="60" spans="1:45" s="340" customFormat="1" ht="9" customHeight="1" x14ac:dyDescent="0.25">
      <c r="A60" s="371"/>
      <c r="B60" s="372"/>
      <c r="C60" s="252"/>
      <c r="D60" s="367"/>
      <c r="E60" s="347"/>
      <c r="F60" s="341"/>
      <c r="G60" s="347"/>
      <c r="H60" s="341"/>
      <c r="I60" s="348"/>
      <c r="J60" s="349" t="s">
        <v>9</v>
      </c>
      <c r="K60" s="350"/>
      <c r="L60" s="351"/>
      <c r="M60" s="350"/>
      <c r="N60" s="352"/>
      <c r="O60" s="353" t="s">
        <v>28</v>
      </c>
      <c r="P60" s="354"/>
      <c r="Q60" s="354"/>
      <c r="R60" s="352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2"/>
      <c r="AJ60" s="342"/>
      <c r="AK60" s="342"/>
      <c r="AL60" s="341"/>
      <c r="AM60" s="341"/>
      <c r="AN60" s="341"/>
      <c r="AO60" s="341"/>
      <c r="AP60" s="341"/>
      <c r="AQ60" s="341"/>
      <c r="AR60" s="341"/>
      <c r="AS60" s="341"/>
    </row>
    <row r="61" spans="1:45" s="340" customFormat="1" ht="9" customHeight="1" x14ac:dyDescent="0.25">
      <c r="A61" s="371"/>
      <c r="B61" s="372"/>
      <c r="C61" s="373"/>
      <c r="D61" s="374"/>
      <c r="E61" s="347"/>
      <c r="F61" s="341"/>
      <c r="G61" s="347"/>
      <c r="H61" s="341"/>
      <c r="I61" s="348"/>
      <c r="J61" s="349" t="s">
        <v>10</v>
      </c>
      <c r="K61" s="350"/>
      <c r="L61" s="351"/>
      <c r="M61" s="350"/>
      <c r="N61" s="352"/>
      <c r="O61" s="350"/>
      <c r="P61" s="351"/>
      <c r="Q61" s="350"/>
      <c r="R61" s="352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2"/>
      <c r="AJ61" s="342"/>
      <c r="AK61" s="342"/>
      <c r="AL61" s="341"/>
      <c r="AM61" s="341"/>
      <c r="AN61" s="341"/>
      <c r="AO61" s="341"/>
      <c r="AP61" s="341"/>
      <c r="AQ61" s="341"/>
      <c r="AR61" s="341"/>
      <c r="AS61" s="341"/>
    </row>
    <row r="62" spans="1:45" s="340" customFormat="1" ht="9" customHeight="1" x14ac:dyDescent="0.25">
      <c r="A62" s="375"/>
      <c r="B62" s="376"/>
      <c r="C62" s="377"/>
      <c r="D62" s="378"/>
      <c r="E62" s="379"/>
      <c r="F62" s="359"/>
      <c r="G62" s="379"/>
      <c r="H62" s="359"/>
      <c r="I62" s="380"/>
      <c r="J62" s="381" t="s">
        <v>11</v>
      </c>
      <c r="K62" s="356"/>
      <c r="L62" s="360"/>
      <c r="M62" s="356"/>
      <c r="N62" s="361"/>
      <c r="O62" s="356">
        <f>R4</f>
        <v>0</v>
      </c>
      <c r="P62" s="360"/>
      <c r="Q62" s="356"/>
      <c r="R62" s="382">
        <f>MIN(4,'[1]1MD ELO'!Q5)</f>
        <v>4</v>
      </c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2"/>
      <c r="AJ62" s="342"/>
      <c r="AK62" s="342"/>
      <c r="AL62" s="341"/>
      <c r="AM62" s="341"/>
      <c r="AN62" s="341"/>
      <c r="AO62" s="341"/>
      <c r="AP62" s="341"/>
      <c r="AQ62" s="341"/>
      <c r="AR62" s="341"/>
      <c r="AS62" s="341"/>
    </row>
    <row r="63" spans="1:45" x14ac:dyDescent="0.25"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L63" s="385"/>
      <c r="AM63" s="385"/>
      <c r="AN63" s="385"/>
      <c r="AO63" s="385"/>
      <c r="AP63" s="385"/>
      <c r="AQ63" s="385"/>
      <c r="AR63" s="385"/>
      <c r="AS63" s="385"/>
    </row>
    <row r="64" spans="1:45" x14ac:dyDescent="0.25"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L64" s="385"/>
      <c r="AM64" s="385"/>
      <c r="AN64" s="385"/>
      <c r="AO64" s="385"/>
      <c r="AP64" s="385"/>
      <c r="AQ64" s="385"/>
      <c r="AR64" s="385"/>
      <c r="AS64" s="385"/>
    </row>
    <row r="65" spans="20:45" x14ac:dyDescent="0.25"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L65" s="385"/>
      <c r="AM65" s="385"/>
      <c r="AN65" s="385"/>
      <c r="AO65" s="385"/>
      <c r="AP65" s="385"/>
      <c r="AQ65" s="385"/>
      <c r="AR65" s="385"/>
      <c r="AS65" s="385"/>
    </row>
    <row r="66" spans="20:45" x14ac:dyDescent="0.25"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385"/>
      <c r="AH66" s="385"/>
      <c r="AL66" s="385"/>
      <c r="AM66" s="385"/>
      <c r="AN66" s="385"/>
      <c r="AO66" s="385"/>
      <c r="AP66" s="385"/>
      <c r="AQ66" s="385"/>
      <c r="AR66" s="385"/>
      <c r="AS66" s="385"/>
    </row>
    <row r="67" spans="20:45" x14ac:dyDescent="0.25"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385"/>
      <c r="AH67" s="385"/>
      <c r="AL67" s="385"/>
      <c r="AM67" s="385"/>
      <c r="AN67" s="385"/>
      <c r="AO67" s="385"/>
      <c r="AP67" s="385"/>
      <c r="AQ67" s="385"/>
      <c r="AR67" s="385"/>
      <c r="AS67" s="385"/>
    </row>
    <row r="68" spans="20:45" x14ac:dyDescent="0.25"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385"/>
      <c r="AH68" s="385"/>
      <c r="AL68" s="385"/>
      <c r="AM68" s="385"/>
      <c r="AN68" s="385"/>
      <c r="AO68" s="385"/>
      <c r="AP68" s="385"/>
      <c r="AQ68" s="385"/>
      <c r="AR68" s="385"/>
      <c r="AS68" s="385"/>
    </row>
    <row r="69" spans="20:45" x14ac:dyDescent="0.25">
      <c r="T69" s="385"/>
      <c r="U69" s="385"/>
      <c r="V69" s="385"/>
      <c r="W69" s="385"/>
      <c r="X69" s="385"/>
      <c r="Y69" s="385"/>
      <c r="Z69" s="385"/>
      <c r="AA69" s="385"/>
      <c r="AB69" s="385"/>
      <c r="AC69" s="385"/>
      <c r="AD69" s="385"/>
      <c r="AE69" s="385"/>
      <c r="AF69" s="385"/>
      <c r="AG69" s="385"/>
      <c r="AH69" s="385"/>
      <c r="AL69" s="385"/>
      <c r="AM69" s="385"/>
      <c r="AN69" s="385"/>
      <c r="AO69" s="385"/>
      <c r="AP69" s="385"/>
      <c r="AQ69" s="385"/>
      <c r="AR69" s="385"/>
      <c r="AS69" s="385"/>
    </row>
    <row r="70" spans="20:45" x14ac:dyDescent="0.25"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L70" s="385"/>
      <c r="AM70" s="385"/>
      <c r="AN70" s="385"/>
      <c r="AO70" s="385"/>
      <c r="AP70" s="385"/>
      <c r="AQ70" s="385"/>
      <c r="AR70" s="385"/>
      <c r="AS70" s="385"/>
    </row>
    <row r="71" spans="20:45" x14ac:dyDescent="0.25">
      <c r="T71" s="385"/>
      <c r="U71" s="385"/>
      <c r="V71" s="385"/>
      <c r="W71" s="385"/>
      <c r="X71" s="385"/>
      <c r="Y71" s="385"/>
      <c r="Z71" s="385"/>
      <c r="AA71" s="385"/>
      <c r="AB71" s="385"/>
      <c r="AC71" s="385"/>
      <c r="AD71" s="385"/>
      <c r="AE71" s="385"/>
      <c r="AF71" s="385"/>
      <c r="AG71" s="385"/>
      <c r="AH71" s="385"/>
      <c r="AL71" s="385"/>
      <c r="AM71" s="385"/>
      <c r="AN71" s="385"/>
      <c r="AO71" s="385"/>
      <c r="AP71" s="385"/>
      <c r="AQ71" s="385"/>
      <c r="AR71" s="385"/>
      <c r="AS71" s="385"/>
    </row>
    <row r="72" spans="20:45" x14ac:dyDescent="0.25">
      <c r="T72" s="385"/>
      <c r="U72" s="385"/>
      <c r="V72" s="385"/>
      <c r="W72" s="385"/>
      <c r="X72" s="385"/>
      <c r="Y72" s="385"/>
      <c r="Z72" s="385"/>
      <c r="AA72" s="385"/>
      <c r="AB72" s="385"/>
      <c r="AC72" s="385"/>
      <c r="AD72" s="385"/>
      <c r="AE72" s="385"/>
      <c r="AF72" s="385"/>
      <c r="AG72" s="385"/>
      <c r="AH72" s="385"/>
      <c r="AL72" s="385"/>
      <c r="AM72" s="385"/>
      <c r="AN72" s="385"/>
      <c r="AO72" s="385"/>
      <c r="AP72" s="385"/>
      <c r="AQ72" s="385"/>
      <c r="AR72" s="385"/>
      <c r="AS72" s="385"/>
    </row>
    <row r="73" spans="20:45" x14ac:dyDescent="0.25"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L73" s="385"/>
      <c r="AM73" s="385"/>
      <c r="AN73" s="385"/>
      <c r="AO73" s="385"/>
      <c r="AP73" s="385"/>
      <c r="AQ73" s="385"/>
      <c r="AR73" s="385"/>
      <c r="AS73" s="385"/>
    </row>
    <row r="74" spans="20:45" x14ac:dyDescent="0.25">
      <c r="T74" s="385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5"/>
      <c r="AL74" s="385"/>
      <c r="AM74" s="385"/>
      <c r="AN74" s="385"/>
      <c r="AO74" s="385"/>
      <c r="AP74" s="385"/>
      <c r="AQ74" s="385"/>
      <c r="AR74" s="385"/>
      <c r="AS74" s="385"/>
    </row>
    <row r="75" spans="20:45" x14ac:dyDescent="0.25">
      <c r="T75" s="385"/>
      <c r="U75" s="385"/>
      <c r="V75" s="385"/>
      <c r="W75" s="385"/>
      <c r="X75" s="385"/>
      <c r="Y75" s="385"/>
      <c r="Z75" s="385"/>
      <c r="AA75" s="385"/>
      <c r="AB75" s="385"/>
      <c r="AC75" s="385"/>
      <c r="AD75" s="385"/>
      <c r="AE75" s="385"/>
      <c r="AF75" s="385"/>
      <c r="AG75" s="385"/>
      <c r="AH75" s="385"/>
      <c r="AL75" s="385"/>
      <c r="AM75" s="385"/>
      <c r="AN75" s="385"/>
      <c r="AO75" s="385"/>
      <c r="AP75" s="385"/>
      <c r="AQ75" s="385"/>
      <c r="AR75" s="385"/>
      <c r="AS75" s="385"/>
    </row>
    <row r="76" spans="20:45" x14ac:dyDescent="0.25"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L76" s="385"/>
      <c r="AM76" s="385"/>
      <c r="AN76" s="385"/>
      <c r="AO76" s="385"/>
      <c r="AP76" s="385"/>
      <c r="AQ76" s="385"/>
      <c r="AR76" s="385"/>
      <c r="AS76" s="385"/>
    </row>
    <row r="77" spans="20:45" x14ac:dyDescent="0.25"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L77" s="385"/>
      <c r="AM77" s="385"/>
      <c r="AN77" s="385"/>
      <c r="AO77" s="385"/>
      <c r="AP77" s="385"/>
      <c r="AQ77" s="385"/>
      <c r="AR77" s="385"/>
      <c r="AS77" s="385"/>
    </row>
    <row r="78" spans="20:45" x14ac:dyDescent="0.25"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L78" s="385"/>
      <c r="AM78" s="385"/>
      <c r="AN78" s="385"/>
      <c r="AO78" s="385"/>
      <c r="AP78" s="385"/>
      <c r="AQ78" s="385"/>
      <c r="AR78" s="385"/>
      <c r="AS78" s="385"/>
    </row>
    <row r="79" spans="20:45" x14ac:dyDescent="0.25">
      <c r="T79" s="385"/>
      <c r="U79" s="385"/>
      <c r="V79" s="385"/>
      <c r="W79" s="385"/>
      <c r="X79" s="385"/>
      <c r="Y79" s="385"/>
      <c r="Z79" s="385"/>
      <c r="AA79" s="385"/>
      <c r="AB79" s="385"/>
      <c r="AC79" s="385"/>
      <c r="AD79" s="385"/>
      <c r="AE79" s="385"/>
      <c r="AF79" s="385"/>
      <c r="AG79" s="385"/>
      <c r="AH79" s="385"/>
      <c r="AL79" s="385"/>
      <c r="AM79" s="385"/>
      <c r="AN79" s="385"/>
      <c r="AO79" s="385"/>
      <c r="AP79" s="385"/>
      <c r="AQ79" s="385"/>
      <c r="AR79" s="385"/>
      <c r="AS79" s="385"/>
    </row>
    <row r="80" spans="20:45" x14ac:dyDescent="0.25">
      <c r="T80" s="385"/>
      <c r="U80" s="385"/>
      <c r="V80" s="385"/>
      <c r="W80" s="385"/>
      <c r="X80" s="385"/>
      <c r="Y80" s="385"/>
      <c r="Z80" s="385"/>
      <c r="AA80" s="385"/>
      <c r="AB80" s="385"/>
      <c r="AC80" s="385"/>
      <c r="AD80" s="385"/>
      <c r="AE80" s="385"/>
      <c r="AF80" s="385"/>
      <c r="AG80" s="385"/>
      <c r="AH80" s="385"/>
      <c r="AL80" s="385"/>
      <c r="AM80" s="385"/>
      <c r="AN80" s="385"/>
      <c r="AO80" s="385"/>
      <c r="AP80" s="385"/>
      <c r="AQ80" s="385"/>
      <c r="AR80" s="385"/>
      <c r="AS80" s="385"/>
    </row>
    <row r="81" spans="20:45" x14ac:dyDescent="0.25"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L81" s="385"/>
      <c r="AM81" s="385"/>
      <c r="AN81" s="385"/>
      <c r="AO81" s="385"/>
      <c r="AP81" s="385"/>
      <c r="AQ81" s="385"/>
      <c r="AR81" s="385"/>
      <c r="AS81" s="385"/>
    </row>
    <row r="82" spans="20:45" x14ac:dyDescent="0.25">
      <c r="T82" s="385"/>
      <c r="U82" s="385"/>
      <c r="V82" s="385"/>
      <c r="W82" s="385"/>
      <c r="X82" s="385"/>
      <c r="Y82" s="385"/>
      <c r="Z82" s="385"/>
      <c r="AA82" s="385"/>
      <c r="AB82" s="385"/>
      <c r="AC82" s="385"/>
      <c r="AD82" s="385"/>
      <c r="AE82" s="385"/>
      <c r="AF82" s="385"/>
      <c r="AG82" s="385"/>
      <c r="AH82" s="385"/>
      <c r="AL82" s="385"/>
      <c r="AM82" s="385"/>
      <c r="AN82" s="385"/>
      <c r="AO82" s="385"/>
      <c r="AP82" s="385"/>
      <c r="AQ82" s="385"/>
      <c r="AR82" s="385"/>
      <c r="AS82" s="385"/>
    </row>
    <row r="83" spans="20:45" x14ac:dyDescent="0.25">
      <c r="T83" s="385"/>
      <c r="U83" s="385"/>
      <c r="V83" s="385"/>
      <c r="W83" s="385"/>
      <c r="X83" s="385"/>
      <c r="Y83" s="385"/>
      <c r="Z83" s="385"/>
      <c r="AA83" s="385"/>
      <c r="AB83" s="385"/>
      <c r="AC83" s="385"/>
      <c r="AD83" s="385"/>
      <c r="AE83" s="385"/>
      <c r="AF83" s="385"/>
      <c r="AG83" s="385"/>
      <c r="AH83" s="385"/>
      <c r="AL83" s="385"/>
      <c r="AM83" s="385"/>
      <c r="AN83" s="385"/>
      <c r="AO83" s="385"/>
      <c r="AP83" s="385"/>
      <c r="AQ83" s="385"/>
      <c r="AR83" s="385"/>
      <c r="AS83" s="385"/>
    </row>
    <row r="84" spans="20:45" x14ac:dyDescent="0.25">
      <c r="T84" s="385"/>
      <c r="U84" s="385"/>
      <c r="V84" s="385"/>
      <c r="W84" s="385"/>
      <c r="X84" s="385"/>
      <c r="Y84" s="385"/>
      <c r="Z84" s="385"/>
      <c r="AA84" s="385"/>
      <c r="AB84" s="385"/>
      <c r="AC84" s="385"/>
      <c r="AD84" s="385"/>
      <c r="AE84" s="385"/>
      <c r="AF84" s="385"/>
      <c r="AG84" s="385"/>
      <c r="AH84" s="385"/>
      <c r="AL84" s="385"/>
      <c r="AM84" s="385"/>
      <c r="AN84" s="385"/>
      <c r="AO84" s="385"/>
      <c r="AP84" s="385"/>
      <c r="AQ84" s="385"/>
      <c r="AR84" s="385"/>
      <c r="AS84" s="385"/>
    </row>
    <row r="85" spans="20:45" x14ac:dyDescent="0.25"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L85" s="385"/>
      <c r="AM85" s="385"/>
      <c r="AN85" s="385"/>
      <c r="AO85" s="385"/>
      <c r="AP85" s="385"/>
      <c r="AQ85" s="385"/>
      <c r="AR85" s="385"/>
      <c r="AS85" s="385"/>
    </row>
    <row r="86" spans="20:45" x14ac:dyDescent="0.25"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5"/>
      <c r="AG86" s="385"/>
      <c r="AH86" s="385"/>
      <c r="AL86" s="385"/>
      <c r="AM86" s="385"/>
      <c r="AN86" s="385"/>
      <c r="AO86" s="385"/>
      <c r="AP86" s="385"/>
      <c r="AQ86" s="385"/>
      <c r="AR86" s="385"/>
      <c r="AS86" s="385"/>
    </row>
    <row r="87" spans="20:45" x14ac:dyDescent="0.25"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5"/>
      <c r="AG87" s="385"/>
      <c r="AH87" s="385"/>
      <c r="AL87" s="385"/>
      <c r="AM87" s="385"/>
      <c r="AN87" s="385"/>
      <c r="AO87" s="385"/>
      <c r="AP87" s="385"/>
      <c r="AQ87" s="385"/>
      <c r="AR87" s="385"/>
      <c r="AS87" s="385"/>
    </row>
    <row r="88" spans="20:45" x14ac:dyDescent="0.25"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L88" s="385"/>
      <c r="AM88" s="385"/>
      <c r="AN88" s="385"/>
      <c r="AO88" s="385"/>
      <c r="AP88" s="385"/>
      <c r="AQ88" s="385"/>
      <c r="AR88" s="385"/>
      <c r="AS88" s="385"/>
    </row>
    <row r="89" spans="20:45" x14ac:dyDescent="0.25"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5"/>
      <c r="AG89" s="385"/>
      <c r="AH89" s="385"/>
      <c r="AL89" s="385"/>
      <c r="AM89" s="385"/>
      <c r="AN89" s="385"/>
      <c r="AO89" s="385"/>
      <c r="AP89" s="385"/>
      <c r="AQ89" s="385"/>
      <c r="AR89" s="385"/>
      <c r="AS89" s="385"/>
    </row>
    <row r="90" spans="20:45" x14ac:dyDescent="0.25"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5"/>
      <c r="AG90" s="385"/>
      <c r="AH90" s="385"/>
      <c r="AL90" s="385"/>
      <c r="AM90" s="385"/>
      <c r="AN90" s="385"/>
      <c r="AO90" s="385"/>
      <c r="AP90" s="385"/>
      <c r="AQ90" s="385"/>
      <c r="AR90" s="385"/>
      <c r="AS90" s="385"/>
    </row>
    <row r="91" spans="20:45" x14ac:dyDescent="0.25"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5"/>
      <c r="AG91" s="385"/>
      <c r="AH91" s="385"/>
      <c r="AL91" s="385"/>
      <c r="AM91" s="385"/>
      <c r="AN91" s="385"/>
      <c r="AO91" s="385"/>
      <c r="AP91" s="385"/>
      <c r="AQ91" s="385"/>
      <c r="AR91" s="385"/>
      <c r="AS91" s="385"/>
    </row>
    <row r="92" spans="20:45" x14ac:dyDescent="0.25"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5"/>
      <c r="AG92" s="385"/>
      <c r="AH92" s="385"/>
      <c r="AL92" s="385"/>
      <c r="AM92" s="385"/>
      <c r="AN92" s="385"/>
      <c r="AO92" s="385"/>
      <c r="AP92" s="385"/>
      <c r="AQ92" s="385"/>
      <c r="AR92" s="385"/>
      <c r="AS92" s="385"/>
    </row>
    <row r="93" spans="20:45" x14ac:dyDescent="0.25"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5"/>
      <c r="AG93" s="385"/>
      <c r="AH93" s="385"/>
      <c r="AL93" s="385"/>
      <c r="AM93" s="385"/>
      <c r="AN93" s="385"/>
      <c r="AO93" s="385"/>
      <c r="AP93" s="385"/>
      <c r="AQ93" s="385"/>
      <c r="AR93" s="385"/>
      <c r="AS93" s="385"/>
    </row>
    <row r="94" spans="20:45" x14ac:dyDescent="0.25"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L94" s="385"/>
      <c r="AM94" s="385"/>
      <c r="AN94" s="385"/>
      <c r="AO94" s="385"/>
      <c r="AP94" s="385"/>
      <c r="AQ94" s="385"/>
      <c r="AR94" s="385"/>
      <c r="AS94" s="385"/>
    </row>
    <row r="95" spans="20:45" x14ac:dyDescent="0.25"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L95" s="385"/>
      <c r="AM95" s="385"/>
      <c r="AN95" s="385"/>
      <c r="AO95" s="385"/>
      <c r="AP95" s="385"/>
      <c r="AQ95" s="385"/>
      <c r="AR95" s="385"/>
      <c r="AS95" s="385"/>
    </row>
    <row r="96" spans="20:45" x14ac:dyDescent="0.25"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L96" s="385"/>
      <c r="AM96" s="385"/>
      <c r="AN96" s="385"/>
      <c r="AO96" s="385"/>
      <c r="AP96" s="385"/>
      <c r="AQ96" s="385"/>
      <c r="AR96" s="385"/>
      <c r="AS96" s="385"/>
    </row>
    <row r="97" spans="20:45" x14ac:dyDescent="0.25"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L97" s="385"/>
      <c r="AM97" s="385"/>
      <c r="AN97" s="385"/>
      <c r="AO97" s="385"/>
      <c r="AP97" s="385"/>
      <c r="AQ97" s="385"/>
      <c r="AR97" s="385"/>
      <c r="AS97" s="385"/>
    </row>
    <row r="98" spans="20:45" x14ac:dyDescent="0.25"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L98" s="385"/>
      <c r="AM98" s="385"/>
      <c r="AN98" s="385"/>
      <c r="AO98" s="385"/>
      <c r="AP98" s="385"/>
      <c r="AQ98" s="385"/>
      <c r="AR98" s="385"/>
      <c r="AS98" s="385"/>
    </row>
    <row r="99" spans="20:45" x14ac:dyDescent="0.25"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L99" s="385"/>
      <c r="AM99" s="385"/>
      <c r="AN99" s="385"/>
      <c r="AO99" s="385"/>
      <c r="AP99" s="385"/>
      <c r="AQ99" s="385"/>
      <c r="AR99" s="385"/>
      <c r="AS99" s="385"/>
    </row>
    <row r="100" spans="20:45" x14ac:dyDescent="0.25"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5"/>
      <c r="AG100" s="385"/>
      <c r="AH100" s="385"/>
      <c r="AL100" s="385"/>
      <c r="AM100" s="385"/>
      <c r="AN100" s="385"/>
      <c r="AO100" s="385"/>
      <c r="AP100" s="385"/>
      <c r="AQ100" s="385"/>
      <c r="AR100" s="385"/>
      <c r="AS100" s="385"/>
    </row>
    <row r="101" spans="20:45" x14ac:dyDescent="0.25"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5"/>
      <c r="AL101" s="385"/>
      <c r="AM101" s="385"/>
      <c r="AN101" s="385"/>
      <c r="AO101" s="385"/>
      <c r="AP101" s="385"/>
      <c r="AQ101" s="385"/>
      <c r="AR101" s="385"/>
      <c r="AS101" s="385"/>
    </row>
    <row r="102" spans="20:45" x14ac:dyDescent="0.25"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5"/>
      <c r="AG102" s="385"/>
      <c r="AH102" s="385"/>
      <c r="AL102" s="385"/>
      <c r="AM102" s="385"/>
      <c r="AN102" s="385"/>
      <c r="AO102" s="385"/>
      <c r="AP102" s="385"/>
      <c r="AQ102" s="385"/>
      <c r="AR102" s="385"/>
      <c r="AS102" s="385"/>
    </row>
    <row r="103" spans="20:45" x14ac:dyDescent="0.25"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L103" s="385"/>
      <c r="AM103" s="385"/>
      <c r="AN103" s="385"/>
      <c r="AO103" s="385"/>
      <c r="AP103" s="385"/>
      <c r="AQ103" s="385"/>
      <c r="AR103" s="385"/>
      <c r="AS103" s="385"/>
    </row>
    <row r="104" spans="20:45" x14ac:dyDescent="0.25"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5"/>
      <c r="AG104" s="385"/>
      <c r="AH104" s="385"/>
      <c r="AL104" s="385"/>
      <c r="AM104" s="385"/>
      <c r="AN104" s="385"/>
      <c r="AO104" s="385"/>
      <c r="AP104" s="385"/>
      <c r="AQ104" s="385"/>
      <c r="AR104" s="385"/>
      <c r="AS104" s="385"/>
    </row>
    <row r="105" spans="20:45" x14ac:dyDescent="0.25"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L105" s="385"/>
      <c r="AM105" s="385"/>
      <c r="AN105" s="385"/>
      <c r="AO105" s="385"/>
      <c r="AP105" s="385"/>
      <c r="AQ105" s="385"/>
      <c r="AR105" s="385"/>
      <c r="AS105" s="385"/>
    </row>
    <row r="106" spans="20:45" x14ac:dyDescent="0.25"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L106" s="385"/>
      <c r="AM106" s="385"/>
      <c r="AN106" s="385"/>
      <c r="AO106" s="385"/>
      <c r="AP106" s="385"/>
      <c r="AQ106" s="385"/>
      <c r="AR106" s="385"/>
      <c r="AS106" s="385"/>
    </row>
    <row r="107" spans="20:45" x14ac:dyDescent="0.25"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L107" s="385"/>
      <c r="AM107" s="385"/>
      <c r="AN107" s="385"/>
      <c r="AO107" s="385"/>
      <c r="AP107" s="385"/>
      <c r="AQ107" s="385"/>
      <c r="AR107" s="385"/>
      <c r="AS107" s="385"/>
    </row>
    <row r="108" spans="20:45" x14ac:dyDescent="0.25"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L108" s="385"/>
      <c r="AM108" s="385"/>
      <c r="AN108" s="385"/>
      <c r="AO108" s="385"/>
      <c r="AP108" s="385"/>
      <c r="AQ108" s="385"/>
      <c r="AR108" s="385"/>
      <c r="AS108" s="385"/>
    </row>
    <row r="109" spans="20:45" x14ac:dyDescent="0.25"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5"/>
      <c r="AG109" s="385"/>
      <c r="AH109" s="385"/>
      <c r="AL109" s="385"/>
      <c r="AM109" s="385"/>
      <c r="AN109" s="385"/>
      <c r="AO109" s="385"/>
      <c r="AP109" s="385"/>
      <c r="AQ109" s="385"/>
      <c r="AR109" s="385"/>
      <c r="AS109" s="385"/>
    </row>
    <row r="110" spans="20:45" x14ac:dyDescent="0.25"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5"/>
      <c r="AH110" s="385"/>
      <c r="AL110" s="385"/>
      <c r="AM110" s="385"/>
      <c r="AN110" s="385"/>
      <c r="AO110" s="385"/>
      <c r="AP110" s="385"/>
      <c r="AQ110" s="385"/>
      <c r="AR110" s="385"/>
      <c r="AS110" s="385"/>
    </row>
    <row r="111" spans="20:45" x14ac:dyDescent="0.25"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L111" s="385"/>
      <c r="AM111" s="385"/>
      <c r="AN111" s="385"/>
      <c r="AO111" s="385"/>
      <c r="AP111" s="385"/>
      <c r="AQ111" s="385"/>
      <c r="AR111" s="385"/>
      <c r="AS111" s="385"/>
    </row>
    <row r="112" spans="20:45" x14ac:dyDescent="0.25"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L112" s="385"/>
      <c r="AM112" s="385"/>
      <c r="AN112" s="385"/>
      <c r="AO112" s="385"/>
      <c r="AP112" s="385"/>
      <c r="AQ112" s="385"/>
      <c r="AR112" s="385"/>
      <c r="AS112" s="385"/>
    </row>
    <row r="113" spans="20:45" x14ac:dyDescent="0.25"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L113" s="385"/>
      <c r="AM113" s="385"/>
      <c r="AN113" s="385"/>
      <c r="AO113" s="385"/>
      <c r="AP113" s="385"/>
      <c r="AQ113" s="385"/>
      <c r="AR113" s="385"/>
      <c r="AS113" s="385"/>
    </row>
    <row r="114" spans="20:45" x14ac:dyDescent="0.25"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L114" s="385"/>
      <c r="AM114" s="385"/>
      <c r="AN114" s="385"/>
      <c r="AO114" s="385"/>
      <c r="AP114" s="385"/>
      <c r="AQ114" s="385"/>
      <c r="AR114" s="385"/>
      <c r="AS114" s="385"/>
    </row>
    <row r="115" spans="20:45" x14ac:dyDescent="0.25"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L115" s="385"/>
      <c r="AM115" s="385"/>
      <c r="AN115" s="385"/>
      <c r="AO115" s="385"/>
      <c r="AP115" s="385"/>
      <c r="AQ115" s="385"/>
      <c r="AR115" s="385"/>
      <c r="AS115" s="385"/>
    </row>
    <row r="116" spans="20:45" x14ac:dyDescent="0.25"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L116" s="385"/>
      <c r="AM116" s="385"/>
      <c r="AN116" s="385"/>
      <c r="AO116" s="385"/>
      <c r="AP116" s="385"/>
      <c r="AQ116" s="385"/>
      <c r="AR116" s="385"/>
      <c r="AS116" s="385"/>
    </row>
    <row r="117" spans="20:45" x14ac:dyDescent="0.25"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L117" s="385"/>
      <c r="AM117" s="385"/>
      <c r="AN117" s="385"/>
      <c r="AO117" s="385"/>
      <c r="AP117" s="385"/>
      <c r="AQ117" s="385"/>
      <c r="AR117" s="385"/>
      <c r="AS117" s="385"/>
    </row>
    <row r="118" spans="20:45" x14ac:dyDescent="0.25"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L118" s="385"/>
      <c r="AM118" s="385"/>
      <c r="AN118" s="385"/>
      <c r="AO118" s="385"/>
      <c r="AP118" s="385"/>
      <c r="AQ118" s="385"/>
      <c r="AR118" s="385"/>
      <c r="AS118" s="385"/>
    </row>
    <row r="119" spans="20:45" x14ac:dyDescent="0.25"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5"/>
      <c r="AG119" s="385"/>
      <c r="AH119" s="385"/>
      <c r="AL119" s="385"/>
      <c r="AM119" s="385"/>
      <c r="AN119" s="385"/>
      <c r="AO119" s="385"/>
      <c r="AP119" s="385"/>
      <c r="AQ119" s="385"/>
      <c r="AR119" s="385"/>
      <c r="AS119" s="385"/>
    </row>
    <row r="120" spans="20:45" x14ac:dyDescent="0.25"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  <c r="AG120" s="385"/>
      <c r="AH120" s="385"/>
      <c r="AL120" s="385"/>
      <c r="AM120" s="385"/>
      <c r="AN120" s="385"/>
      <c r="AO120" s="385"/>
      <c r="AP120" s="385"/>
      <c r="AQ120" s="385"/>
      <c r="AR120" s="385"/>
      <c r="AS120" s="385"/>
    </row>
    <row r="121" spans="20:45" x14ac:dyDescent="0.25"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L121" s="385"/>
      <c r="AM121" s="385"/>
      <c r="AN121" s="385"/>
      <c r="AO121" s="385"/>
      <c r="AP121" s="385"/>
      <c r="AQ121" s="385"/>
      <c r="AR121" s="385"/>
      <c r="AS121" s="385"/>
    </row>
    <row r="122" spans="20:45" x14ac:dyDescent="0.25"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L122" s="385"/>
      <c r="AM122" s="385"/>
      <c r="AN122" s="385"/>
      <c r="AO122" s="385"/>
      <c r="AP122" s="385"/>
      <c r="AQ122" s="385"/>
      <c r="AR122" s="385"/>
      <c r="AS122" s="385"/>
    </row>
    <row r="123" spans="20:45" x14ac:dyDescent="0.25"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L123" s="385"/>
      <c r="AM123" s="385"/>
      <c r="AN123" s="385"/>
      <c r="AO123" s="385"/>
      <c r="AP123" s="385"/>
      <c r="AQ123" s="385"/>
      <c r="AR123" s="385"/>
      <c r="AS123" s="385"/>
    </row>
    <row r="124" spans="20:45" x14ac:dyDescent="0.25"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L124" s="385"/>
      <c r="AM124" s="385"/>
      <c r="AN124" s="385"/>
      <c r="AO124" s="385"/>
      <c r="AP124" s="385"/>
      <c r="AQ124" s="385"/>
      <c r="AR124" s="385"/>
      <c r="AS124" s="385"/>
    </row>
    <row r="125" spans="20:45" x14ac:dyDescent="0.25"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L125" s="385"/>
      <c r="AM125" s="385"/>
      <c r="AN125" s="385"/>
      <c r="AO125" s="385"/>
      <c r="AP125" s="385"/>
      <c r="AQ125" s="385"/>
      <c r="AR125" s="385"/>
      <c r="AS125" s="385"/>
    </row>
    <row r="126" spans="20:45" x14ac:dyDescent="0.25"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L126" s="385"/>
      <c r="AM126" s="385"/>
      <c r="AN126" s="385"/>
      <c r="AO126" s="385"/>
      <c r="AP126" s="385"/>
      <c r="AQ126" s="385"/>
      <c r="AR126" s="385"/>
      <c r="AS126" s="385"/>
    </row>
    <row r="127" spans="20:45" x14ac:dyDescent="0.25"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L127" s="385"/>
      <c r="AM127" s="385"/>
      <c r="AN127" s="385"/>
      <c r="AO127" s="385"/>
      <c r="AP127" s="385"/>
      <c r="AQ127" s="385"/>
      <c r="AR127" s="385"/>
      <c r="AS127" s="385"/>
    </row>
    <row r="128" spans="20:45" x14ac:dyDescent="0.25"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L128" s="385"/>
      <c r="AM128" s="385"/>
      <c r="AN128" s="385"/>
      <c r="AO128" s="385"/>
      <c r="AP128" s="385"/>
      <c r="AQ128" s="385"/>
      <c r="AR128" s="385"/>
      <c r="AS128" s="385"/>
    </row>
    <row r="129" spans="20:45" x14ac:dyDescent="0.25"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L129" s="385"/>
      <c r="AM129" s="385"/>
      <c r="AN129" s="385"/>
      <c r="AO129" s="385"/>
      <c r="AP129" s="385"/>
      <c r="AQ129" s="385"/>
      <c r="AR129" s="385"/>
      <c r="AS129" s="385"/>
    </row>
    <row r="130" spans="20:45" x14ac:dyDescent="0.25"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L130" s="385"/>
      <c r="AM130" s="385"/>
      <c r="AN130" s="385"/>
      <c r="AO130" s="385"/>
      <c r="AP130" s="385"/>
      <c r="AQ130" s="385"/>
      <c r="AR130" s="385"/>
      <c r="AS130" s="385"/>
    </row>
    <row r="131" spans="20:45" x14ac:dyDescent="0.25"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L131" s="385"/>
      <c r="AM131" s="385"/>
      <c r="AN131" s="385"/>
      <c r="AO131" s="385"/>
      <c r="AP131" s="385"/>
      <c r="AQ131" s="385"/>
      <c r="AR131" s="385"/>
      <c r="AS131" s="385"/>
    </row>
    <row r="132" spans="20:45" x14ac:dyDescent="0.25"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L132" s="385"/>
      <c r="AM132" s="385"/>
      <c r="AN132" s="385"/>
      <c r="AO132" s="385"/>
      <c r="AP132" s="385"/>
      <c r="AQ132" s="385"/>
      <c r="AR132" s="385"/>
      <c r="AS132" s="385"/>
    </row>
    <row r="133" spans="20:45" x14ac:dyDescent="0.25"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5"/>
      <c r="AG133" s="385"/>
      <c r="AH133" s="385"/>
      <c r="AL133" s="385"/>
      <c r="AM133" s="385"/>
      <c r="AN133" s="385"/>
      <c r="AO133" s="385"/>
      <c r="AP133" s="385"/>
      <c r="AQ133" s="385"/>
      <c r="AR133" s="385"/>
      <c r="AS133" s="385"/>
    </row>
    <row r="134" spans="20:45" x14ac:dyDescent="0.25"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L134" s="385"/>
      <c r="AM134" s="385"/>
      <c r="AN134" s="385"/>
      <c r="AO134" s="385"/>
      <c r="AP134" s="385"/>
      <c r="AQ134" s="385"/>
      <c r="AR134" s="385"/>
      <c r="AS134" s="385"/>
    </row>
    <row r="135" spans="20:45" x14ac:dyDescent="0.25"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L135" s="385"/>
      <c r="AM135" s="385"/>
      <c r="AN135" s="385"/>
      <c r="AO135" s="385"/>
      <c r="AP135" s="385"/>
      <c r="AQ135" s="385"/>
      <c r="AR135" s="385"/>
      <c r="AS135" s="385"/>
    </row>
    <row r="136" spans="20:45" x14ac:dyDescent="0.25"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/>
      <c r="AG136" s="385"/>
      <c r="AH136" s="385"/>
      <c r="AL136" s="385"/>
      <c r="AM136" s="385"/>
      <c r="AN136" s="385"/>
      <c r="AO136" s="385"/>
      <c r="AP136" s="385"/>
      <c r="AQ136" s="385"/>
      <c r="AR136" s="385"/>
      <c r="AS136" s="385"/>
    </row>
    <row r="137" spans="20:45" x14ac:dyDescent="0.25"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5"/>
      <c r="AG137" s="385"/>
      <c r="AH137" s="385"/>
      <c r="AL137" s="385"/>
      <c r="AM137" s="385"/>
      <c r="AN137" s="385"/>
      <c r="AO137" s="385"/>
      <c r="AP137" s="385"/>
      <c r="AQ137" s="385"/>
      <c r="AR137" s="385"/>
      <c r="AS137" s="385"/>
    </row>
    <row r="138" spans="20:45" x14ac:dyDescent="0.25"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5"/>
      <c r="AG138" s="385"/>
      <c r="AH138" s="385"/>
      <c r="AL138" s="385"/>
      <c r="AM138" s="385"/>
      <c r="AN138" s="385"/>
      <c r="AO138" s="385"/>
      <c r="AP138" s="385"/>
      <c r="AQ138" s="385"/>
      <c r="AR138" s="385"/>
      <c r="AS138" s="385"/>
    </row>
    <row r="139" spans="20:45" x14ac:dyDescent="0.25"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L139" s="385"/>
      <c r="AM139" s="385"/>
      <c r="AN139" s="385"/>
      <c r="AO139" s="385"/>
      <c r="AP139" s="385"/>
      <c r="AQ139" s="385"/>
      <c r="AR139" s="385"/>
      <c r="AS139" s="385"/>
    </row>
    <row r="140" spans="20:45" x14ac:dyDescent="0.25"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L140" s="385"/>
      <c r="AM140" s="385"/>
      <c r="AN140" s="385"/>
      <c r="AO140" s="385"/>
      <c r="AP140" s="385"/>
      <c r="AQ140" s="385"/>
      <c r="AR140" s="385"/>
      <c r="AS140" s="385"/>
    </row>
  </sheetData>
  <mergeCells count="1">
    <mergeCell ref="A4:C4"/>
  </mergeCells>
  <conditionalFormatting sqref="B22 B24 B26 B28 B30 B32 B34 B36 B38 B40 B42 B44 B46 B48 B50 B52">
    <cfRule type="cellIs" dxfId="175" priority="13" stopIfTrue="1" operator="equal">
      <formula>"QA"</formula>
    </cfRule>
    <cfRule type="cellIs" dxfId="174" priority="14" stopIfTrue="1" operator="equal">
      <formula>"DA"</formula>
    </cfRule>
  </conditionalFormatting>
  <conditionalFormatting sqref="E7 E21">
    <cfRule type="expression" dxfId="173" priority="16" stopIfTrue="1">
      <formula>$E7&lt;5</formula>
    </cfRule>
  </conditionalFormatting>
  <conditionalFormatting sqref="E22 E24 E26 E28 E30 E32 E34 E36 E38 E40 E42 E44 E46 E48 E50 E52">
    <cfRule type="expression" dxfId="172" priority="8" stopIfTrue="1">
      <formula>AND($E22&lt;9,$C22&gt;0)</formula>
    </cfRule>
  </conditionalFormatting>
  <conditionalFormatting sqref="F7 F9 F11 F13 F15 F17 F19">
    <cfRule type="cellIs" dxfId="171" priority="17" stopIfTrue="1" operator="equal">
      <formula>"Bye"</formula>
    </cfRule>
  </conditionalFormatting>
  <conditionalFormatting sqref="F21:F22 F24 F26 F28 F30 F32 F34 F36 F38 F40 F42 F44 F46 F48 F50">
    <cfRule type="cellIs" dxfId="170" priority="9" stopIfTrue="1" operator="equal">
      <formula>"Bye"</formula>
    </cfRule>
  </conditionalFormatting>
  <conditionalFormatting sqref="F22 F24 F26 F28 F30 F32 F34 F36 F38 F40 F42 F44 F46 F48 F50">
    <cfRule type="expression" dxfId="169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68" priority="4" stopIfTrue="1">
      <formula>AND($E7&lt;9,$C7&gt;0)</formula>
    </cfRule>
  </conditionalFormatting>
  <conditionalFormatting sqref="I8 K10 I12 M14 I16 K18 I20 I23 K25 I27 M29 I31 K33 I35 I39 K41 I43 M45 I47 K49 I51">
    <cfRule type="expression" dxfId="167" priority="5" stopIfTrue="1">
      <formula>AND($O$1="CU",I8="Umpire")</formula>
    </cfRule>
    <cfRule type="expression" dxfId="166" priority="6" stopIfTrue="1">
      <formula>AND($O$1="CU",I8&lt;&gt;"Umpire",J8&lt;&gt;"")</formula>
    </cfRule>
    <cfRule type="expression" dxfId="165" priority="7" stopIfTrue="1">
      <formula>AND($O$1="CU",I8&lt;&gt;"Umpire")</formula>
    </cfRule>
  </conditionalFormatting>
  <conditionalFormatting sqref="J8 L10 J12 N14 J16 L18 J20 R62">
    <cfRule type="expression" dxfId="164" priority="15" stopIfTrue="1">
      <formula>$O$1="CU"</formula>
    </cfRule>
  </conditionalFormatting>
  <conditionalFormatting sqref="K8 M10 K12 O14 K16 M18 K20 K23 M25 K27 O29 K31 M33 K35 K39 M41 K43 O45 K47 M49 K51">
    <cfRule type="expression" dxfId="163" priority="11" stopIfTrue="1">
      <formula>J8="as"</formula>
    </cfRule>
    <cfRule type="expression" dxfId="162" priority="12" stopIfTrue="1">
      <formula>J8="bs"</formula>
    </cfRule>
  </conditionalFormatting>
  <conditionalFormatting sqref="O16">
    <cfRule type="expression" dxfId="161" priority="1" stopIfTrue="1">
      <formula>AND($O$1="CU",O16="Umpire")</formula>
    </cfRule>
    <cfRule type="expression" dxfId="160" priority="2" stopIfTrue="1">
      <formula>AND($O$1="CU",O16&lt;&gt;"Umpire",P16&lt;&gt;"")</formula>
    </cfRule>
    <cfRule type="expression" dxfId="159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EAAA6419-96EC-4F4D-BF65-EDC583B6C39F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390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90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4E55-2B97-4F28-819C-7D2FDA4699D7}">
  <sheetPr>
    <tabColor indexed="11"/>
    <pageSetUpPr fitToPage="1"/>
  </sheetPr>
  <dimension ref="A1:AK57"/>
  <sheetViews>
    <sheetView showGridLines="0" showZeros="0" topLeftCell="A4" workbookViewId="0">
      <selection activeCell="K21" sqref="K21"/>
    </sheetView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44140625" style="303" customWidth="1"/>
    <col min="5" max="5" width="4.33203125" style="303" customWidth="1"/>
    <col min="6" max="6" width="18.6640625" style="303" customWidth="1"/>
    <col min="7" max="7" width="2.6640625" style="303" customWidth="1"/>
    <col min="8" max="8" width="18.6640625" style="303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34" width="9.109375" style="303" hidden="1" customWidth="1"/>
    <col min="35" max="37" width="9.109375" style="303" customWidth="1"/>
    <col min="38" max="16384" width="8.77734375" style="303"/>
  </cols>
  <sheetData>
    <row r="1" spans="1:37" s="224" customFormat="1" ht="21.75" customHeight="1" x14ac:dyDescent="0.25">
      <c r="A1" s="386" t="str">
        <f>[2]Altalanos!$A$6</f>
        <v>OB</v>
      </c>
      <c r="B1" s="386"/>
      <c r="C1" s="387"/>
      <c r="D1" s="387"/>
      <c r="E1" s="387"/>
      <c r="F1" s="387"/>
      <c r="G1" s="387"/>
      <c r="H1" s="386"/>
      <c r="I1" s="388"/>
      <c r="J1" s="389"/>
      <c r="K1" s="390" t="s">
        <v>39</v>
      </c>
      <c r="L1" s="391"/>
      <c r="M1" s="392"/>
      <c r="N1" s="389"/>
      <c r="O1" s="389" t="s">
        <v>1</v>
      </c>
      <c r="P1" s="389"/>
      <c r="Q1" s="387"/>
      <c r="R1" s="389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</row>
    <row r="2" spans="1:37" s="233" customFormat="1" x14ac:dyDescent="0.25">
      <c r="A2" s="393" t="s">
        <v>38</v>
      </c>
      <c r="B2" s="394"/>
      <c r="C2" s="394"/>
      <c r="D2" s="394"/>
      <c r="E2" s="394">
        <f>[2]Altalanos!$A$8</f>
        <v>0</v>
      </c>
      <c r="F2" s="394"/>
      <c r="G2" s="395"/>
      <c r="H2" s="396"/>
      <c r="I2" s="396"/>
      <c r="J2" s="397"/>
      <c r="K2" s="391"/>
      <c r="L2" s="391"/>
      <c r="M2" s="391"/>
      <c r="N2" s="397"/>
      <c r="O2" s="396"/>
      <c r="P2" s="397"/>
      <c r="Q2" s="396"/>
      <c r="R2" s="397"/>
      <c r="Y2" s="235"/>
      <c r="Z2" s="236"/>
      <c r="AA2" s="398" t="s">
        <v>52</v>
      </c>
      <c r="AB2" s="399">
        <v>300</v>
      </c>
      <c r="AC2" s="399">
        <v>250</v>
      </c>
      <c r="AD2" s="399">
        <v>200</v>
      </c>
      <c r="AE2" s="399">
        <v>150</v>
      </c>
      <c r="AF2" s="399">
        <v>120</v>
      </c>
      <c r="AG2" s="399">
        <v>90</v>
      </c>
      <c r="AH2" s="399">
        <v>40</v>
      </c>
      <c r="AI2" s="303"/>
      <c r="AJ2" s="303"/>
      <c r="AK2" s="303"/>
    </row>
    <row r="3" spans="1:37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Y3" s="236" t="str">
        <f>IF(K4="OB","A",IF(K4="IX","W",IF(K4="","",K4)))</f>
        <v/>
      </c>
      <c r="Z3" s="236"/>
      <c r="AA3" s="398" t="s">
        <v>53</v>
      </c>
      <c r="AB3" s="399">
        <v>280</v>
      </c>
      <c r="AC3" s="399">
        <v>230</v>
      </c>
      <c r="AD3" s="399">
        <v>180</v>
      </c>
      <c r="AE3" s="399">
        <v>140</v>
      </c>
      <c r="AF3" s="399">
        <v>80</v>
      </c>
      <c r="AG3" s="399">
        <v>0</v>
      </c>
      <c r="AH3" s="399">
        <v>0</v>
      </c>
      <c r="AI3" s="303"/>
      <c r="AJ3" s="303"/>
      <c r="AK3" s="303"/>
    </row>
    <row r="4" spans="1:37" s="250" customFormat="1" ht="11.25" customHeight="1" thickBot="1" x14ac:dyDescent="0.3">
      <c r="A4" s="400">
        <f>[2]Altalanos!$A$10</f>
        <v>0</v>
      </c>
      <c r="B4" s="400"/>
      <c r="C4" s="400"/>
      <c r="D4" s="401"/>
      <c r="E4" s="402"/>
      <c r="F4" s="402"/>
      <c r="G4" s="402">
        <f>[2]Altalanos!$C$10</f>
        <v>0</v>
      </c>
      <c r="H4" s="403"/>
      <c r="I4" s="402"/>
      <c r="J4" s="404"/>
      <c r="K4" s="86"/>
      <c r="L4" s="404"/>
      <c r="M4" s="405"/>
      <c r="N4" s="404"/>
      <c r="O4" s="402"/>
      <c r="P4" s="404"/>
      <c r="Q4" s="402"/>
      <c r="R4" s="406">
        <f>[2]Altalanos!$E$10</f>
        <v>0</v>
      </c>
      <c r="Y4" s="236"/>
      <c r="Z4" s="236"/>
      <c r="AA4" s="398" t="s">
        <v>82</v>
      </c>
      <c r="AB4" s="399">
        <v>250</v>
      </c>
      <c r="AC4" s="399">
        <v>200</v>
      </c>
      <c r="AD4" s="399">
        <v>150</v>
      </c>
      <c r="AE4" s="399">
        <v>120</v>
      </c>
      <c r="AF4" s="399">
        <v>90</v>
      </c>
      <c r="AG4" s="399">
        <v>60</v>
      </c>
      <c r="AH4" s="399">
        <v>25</v>
      </c>
      <c r="AI4" s="303"/>
      <c r="AJ4" s="303"/>
      <c r="AK4" s="303"/>
    </row>
    <row r="5" spans="1:37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46</v>
      </c>
      <c r="N5" s="256"/>
      <c r="O5" s="253" t="s">
        <v>45</v>
      </c>
      <c r="P5" s="256"/>
      <c r="Q5" s="253" t="s">
        <v>44</v>
      </c>
      <c r="R5" s="257"/>
      <c r="Y5" s="236">
        <f>IF(OR([2]Altalanos!$A$8="F1",[2]Altalanos!$A$8="F2",[2]Altalanos!$A$8="N1",[2]Altalanos!$A$8="N2"),1,2)</f>
        <v>2</v>
      </c>
      <c r="Z5" s="236"/>
      <c r="AA5" s="398" t="s">
        <v>83</v>
      </c>
      <c r="AB5" s="399">
        <v>200</v>
      </c>
      <c r="AC5" s="399">
        <v>150</v>
      </c>
      <c r="AD5" s="399">
        <v>120</v>
      </c>
      <c r="AE5" s="399">
        <v>90</v>
      </c>
      <c r="AF5" s="399">
        <v>60</v>
      </c>
      <c r="AG5" s="399">
        <v>40</v>
      </c>
      <c r="AH5" s="399">
        <v>15</v>
      </c>
      <c r="AI5" s="303"/>
      <c r="AJ5" s="303"/>
      <c r="AK5" s="303"/>
    </row>
    <row r="6" spans="1:37" s="264" customFormat="1" ht="10.95" customHeight="1" thickBot="1" x14ac:dyDescent="0.3">
      <c r="A6" s="407"/>
      <c r="B6" s="259"/>
      <c r="C6" s="259"/>
      <c r="D6" s="259"/>
      <c r="E6" s="259"/>
      <c r="F6" s="258" t="str">
        <f>IF(Y3="","",CONCATENATE(AH1," / ",VLOOKUP(Y3,AB1:AH1,5)," pont"))</f>
        <v/>
      </c>
      <c r="G6" s="260"/>
      <c r="H6" s="261"/>
      <c r="I6" s="260"/>
      <c r="J6" s="262"/>
      <c r="K6" s="259" t="str">
        <f>IF(Y3="","",CONCATENATE(VLOOKUP(Y3,AB1:AH1,4)," pont"))</f>
        <v/>
      </c>
      <c r="L6" s="262"/>
      <c r="M6" s="259" t="str">
        <f>IF(Y3="","",CONCATENATE(VLOOKUP(Y3,AB1:AH1,3)," pont"))</f>
        <v/>
      </c>
      <c r="N6" s="262"/>
      <c r="O6" s="259" t="str">
        <f>IF(Y3="","",CONCATENATE(VLOOKUP(Y3,AB1:AH1,2)," pont"))</f>
        <v/>
      </c>
      <c r="P6" s="262"/>
      <c r="Q6" s="259" t="str">
        <f>IF(Y3="","",CONCATENATE(VLOOKUP(Y3,AB1:AH1,1)," pont"))</f>
        <v/>
      </c>
      <c r="R6" s="263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408"/>
      <c r="AJ6" s="408"/>
      <c r="AK6" s="408"/>
    </row>
    <row r="7" spans="1:37" s="282" customFormat="1" ht="13.05" customHeight="1" x14ac:dyDescent="0.25">
      <c r="A7" s="269">
        <v>1</v>
      </c>
      <c r="B7" s="409" t="str">
        <f>IF($E7="","",VLOOKUP($E7,'[2]1MD ELO'!$A$7:$O$22,14))</f>
        <v/>
      </c>
      <c r="C7" s="410" t="str">
        <f>IF($E7="","",VLOOKUP($E7,'[2]1MD ELO'!$A$7:$O$22,15))</f>
        <v/>
      </c>
      <c r="D7" s="410" t="str">
        <f>IF($E7="","",VLOOKUP($E7,'[2]1MD ELO'!$A$7:$O$22,5))</f>
        <v/>
      </c>
      <c r="E7" s="411"/>
      <c r="F7" s="412" t="s">
        <v>131</v>
      </c>
      <c r="G7" s="413" t="str">
        <f>IF($E7="","",VLOOKUP($E7,'[2]1MD ELO'!$A$7:$O$22,3))</f>
        <v/>
      </c>
      <c r="H7" s="414" t="s">
        <v>132</v>
      </c>
      <c r="I7" s="413" t="str">
        <f>IF($E7="","",VLOOKUP($E7,'[2]1MD ELO'!$A$7:$O$22,4))</f>
        <v/>
      </c>
      <c r="J7" s="415"/>
      <c r="K7" s="416"/>
      <c r="L7" s="416"/>
      <c r="M7" s="416"/>
      <c r="N7" s="416"/>
      <c r="O7" s="276"/>
      <c r="P7" s="277"/>
      <c r="Q7" s="278"/>
      <c r="R7" s="279"/>
      <c r="S7" s="280"/>
      <c r="U7" s="417" t="str">
        <f>[2]Birók!P21</f>
        <v>Bíró</v>
      </c>
      <c r="Y7" s="236"/>
      <c r="Z7" s="236"/>
      <c r="AA7" s="398" t="s">
        <v>85</v>
      </c>
      <c r="AB7" s="399">
        <v>120</v>
      </c>
      <c r="AC7" s="399">
        <v>90</v>
      </c>
      <c r="AD7" s="399">
        <v>60</v>
      </c>
      <c r="AE7" s="399">
        <v>40</v>
      </c>
      <c r="AF7" s="399">
        <v>25</v>
      </c>
      <c r="AG7" s="399">
        <v>10</v>
      </c>
      <c r="AH7" s="399">
        <v>5</v>
      </c>
      <c r="AI7" s="303"/>
      <c r="AJ7" s="303"/>
      <c r="AK7" s="303"/>
    </row>
    <row r="8" spans="1:37" s="282" customFormat="1" ht="13.05" customHeight="1" x14ac:dyDescent="0.25">
      <c r="A8" s="283"/>
      <c r="B8" s="418"/>
      <c r="C8" s="419"/>
      <c r="D8" s="419"/>
      <c r="E8" s="420"/>
      <c r="F8" s="421"/>
      <c r="G8" s="421"/>
      <c r="H8" s="422"/>
      <c r="I8" s="423" t="s">
        <v>0</v>
      </c>
      <c r="J8" s="290"/>
      <c r="K8" s="424" t="s">
        <v>133</v>
      </c>
      <c r="L8" s="424"/>
      <c r="M8" s="416"/>
      <c r="N8" s="416"/>
      <c r="O8" s="276"/>
      <c r="P8" s="277"/>
      <c r="Q8" s="278"/>
      <c r="R8" s="279"/>
      <c r="S8" s="280"/>
      <c r="U8" s="425" t="str">
        <f>[2]Birók!P22</f>
        <v xml:space="preserve"> </v>
      </c>
      <c r="Y8" s="236"/>
      <c r="Z8" s="236"/>
      <c r="AA8" s="398" t="s">
        <v>86</v>
      </c>
      <c r="AB8" s="399">
        <v>90</v>
      </c>
      <c r="AC8" s="399">
        <v>60</v>
      </c>
      <c r="AD8" s="399">
        <v>40</v>
      </c>
      <c r="AE8" s="399">
        <v>25</v>
      </c>
      <c r="AF8" s="399">
        <v>10</v>
      </c>
      <c r="AG8" s="399">
        <v>5</v>
      </c>
      <c r="AH8" s="399">
        <v>2</v>
      </c>
      <c r="AI8" s="303"/>
      <c r="AJ8" s="303"/>
      <c r="AK8" s="303"/>
    </row>
    <row r="9" spans="1:37" s="282" customFormat="1" ht="13.05" customHeight="1" x14ac:dyDescent="0.25">
      <c r="A9" s="283">
        <v>2</v>
      </c>
      <c r="B9" s="409" t="str">
        <f>IF($E9="","",VLOOKUP($E9,'[2]1MD ELO'!$A$7:$O$22,14))</f>
        <v/>
      </c>
      <c r="C9" s="410" t="str">
        <f>IF($E9="","",VLOOKUP($E9,'[2]1MD ELO'!$A$7:$O$22,15))</f>
        <v/>
      </c>
      <c r="D9" s="410" t="str">
        <f>IF($E9="","",VLOOKUP($E9,'[2]1MD ELO'!$A$7:$O$22,5))</f>
        <v/>
      </c>
      <c r="E9" s="411"/>
      <c r="F9" s="426" t="str">
        <f>UPPER(IF($E9="","",VLOOKUP($E9,'[2]1MD ELO'!$A$7:$O$22,2)))</f>
        <v/>
      </c>
      <c r="G9" s="426" t="str">
        <f>IF($E9="","",VLOOKUP($E9,'[2]1MD ELO'!$A$7:$O$22,3))</f>
        <v/>
      </c>
      <c r="H9" s="426"/>
      <c r="I9" s="413" t="str">
        <f>IF($E9="","",VLOOKUP($E9,'[2]1MD ELO'!$A$7:$O$22,4))</f>
        <v/>
      </c>
      <c r="J9" s="427"/>
      <c r="K9" s="416" t="s">
        <v>134</v>
      </c>
      <c r="L9" s="428"/>
      <c r="M9" s="416"/>
      <c r="N9" s="416"/>
      <c r="O9" s="276"/>
      <c r="P9" s="277"/>
      <c r="Q9" s="278"/>
      <c r="R9" s="279"/>
      <c r="S9" s="280"/>
      <c r="U9" s="425" t="str">
        <f>[2]Birók!P23</f>
        <v xml:space="preserve"> </v>
      </c>
      <c r="Y9" s="236"/>
      <c r="Z9" s="236"/>
      <c r="AA9" s="398" t="s">
        <v>87</v>
      </c>
      <c r="AB9" s="399">
        <v>60</v>
      </c>
      <c r="AC9" s="399">
        <v>40</v>
      </c>
      <c r="AD9" s="399">
        <v>25</v>
      </c>
      <c r="AE9" s="399">
        <v>10</v>
      </c>
      <c r="AF9" s="399">
        <v>5</v>
      </c>
      <c r="AG9" s="399">
        <v>2</v>
      </c>
      <c r="AH9" s="399">
        <v>1</v>
      </c>
      <c r="AI9" s="303"/>
      <c r="AJ9" s="303"/>
      <c r="AK9" s="303"/>
    </row>
    <row r="10" spans="1:37" s="282" customFormat="1" ht="13.05" customHeight="1" x14ac:dyDescent="0.25">
      <c r="A10" s="283"/>
      <c r="B10" s="418"/>
      <c r="C10" s="419"/>
      <c r="D10" s="419"/>
      <c r="E10" s="429"/>
      <c r="F10" s="421"/>
      <c r="G10" s="421"/>
      <c r="H10" s="422"/>
      <c r="I10" s="416"/>
      <c r="J10" s="430"/>
      <c r="K10" s="431" t="s">
        <v>0</v>
      </c>
      <c r="L10" s="299"/>
      <c r="M10" s="424" t="s">
        <v>133</v>
      </c>
      <c r="N10" s="432"/>
      <c r="O10" s="433"/>
      <c r="P10" s="433"/>
      <c r="Q10" s="278"/>
      <c r="R10" s="279"/>
      <c r="S10" s="280"/>
      <c r="U10" s="425" t="str">
        <f>[2]Birók!P24</f>
        <v xml:space="preserve"> </v>
      </c>
      <c r="Y10" s="236"/>
      <c r="Z10" s="236"/>
      <c r="AA10" s="398" t="s">
        <v>88</v>
      </c>
      <c r="AB10" s="399">
        <v>40</v>
      </c>
      <c r="AC10" s="399">
        <v>25</v>
      </c>
      <c r="AD10" s="399">
        <v>15</v>
      </c>
      <c r="AE10" s="399">
        <v>7</v>
      </c>
      <c r="AF10" s="399">
        <v>4</v>
      </c>
      <c r="AG10" s="399">
        <v>1</v>
      </c>
      <c r="AH10" s="399">
        <v>0</v>
      </c>
      <c r="AI10" s="303"/>
      <c r="AJ10" s="303"/>
      <c r="AK10" s="303"/>
    </row>
    <row r="11" spans="1:37" s="282" customFormat="1" ht="13.05" customHeight="1" x14ac:dyDescent="0.25">
      <c r="A11" s="283">
        <v>3</v>
      </c>
      <c r="B11" s="409" t="str">
        <f>IF($E11="","",VLOOKUP($E11,'[2]1MD ELO'!$A$7:$O$22,14))</f>
        <v/>
      </c>
      <c r="C11" s="410" t="str">
        <f>IF($E11="","",VLOOKUP($E11,'[2]1MD ELO'!$A$7:$O$22,15))</f>
        <v/>
      </c>
      <c r="D11" s="410" t="str">
        <f>IF($E11="","",VLOOKUP($E11,'[2]1MD ELO'!$A$7:$O$22,5))</f>
        <v/>
      </c>
      <c r="E11" s="411"/>
      <c r="F11" s="434" t="s">
        <v>135</v>
      </c>
      <c r="G11" s="434" t="str">
        <f>IF($E11="","",VLOOKUP($E11,'[3]1Q ELO'!$A$7:$M$32,3))</f>
        <v/>
      </c>
      <c r="H11" s="414" t="s">
        <v>136</v>
      </c>
      <c r="I11" s="426" t="str">
        <f>IF($E11="","",VLOOKUP($E11,'[2]1MD ELO'!$A$7:$O$22,4))</f>
        <v/>
      </c>
      <c r="J11" s="415"/>
      <c r="K11" s="416"/>
      <c r="L11" s="435"/>
      <c r="M11" s="416" t="s">
        <v>137</v>
      </c>
      <c r="N11" s="436"/>
      <c r="O11" s="433"/>
      <c r="P11" s="433"/>
      <c r="Q11" s="278"/>
      <c r="R11" s="279"/>
      <c r="S11" s="280"/>
      <c r="U11" s="425" t="str">
        <f>[2]Birók!P25</f>
        <v xml:space="preserve"> </v>
      </c>
      <c r="Y11" s="236"/>
      <c r="Z11" s="236"/>
      <c r="AA11" s="398" t="s">
        <v>89</v>
      </c>
      <c r="AB11" s="399">
        <v>25</v>
      </c>
      <c r="AC11" s="399">
        <v>15</v>
      </c>
      <c r="AD11" s="399">
        <v>10</v>
      </c>
      <c r="AE11" s="399">
        <v>6</v>
      </c>
      <c r="AF11" s="399">
        <v>3</v>
      </c>
      <c r="AG11" s="399">
        <v>1</v>
      </c>
      <c r="AH11" s="399">
        <v>0</v>
      </c>
      <c r="AI11" s="303"/>
      <c r="AJ11" s="303"/>
      <c r="AK11" s="303"/>
    </row>
    <row r="12" spans="1:37" s="282" customFormat="1" ht="13.05" customHeight="1" x14ac:dyDescent="0.25">
      <c r="A12" s="283"/>
      <c r="B12" s="418"/>
      <c r="C12" s="419"/>
      <c r="D12" s="419"/>
      <c r="E12" s="429"/>
      <c r="F12" s="421"/>
      <c r="G12" s="421"/>
      <c r="H12" s="437"/>
      <c r="I12" s="423" t="s">
        <v>0</v>
      </c>
      <c r="J12" s="290"/>
      <c r="K12" s="424" t="s">
        <v>138</v>
      </c>
      <c r="L12" s="438"/>
      <c r="M12" s="416"/>
      <c r="N12" s="436"/>
      <c r="O12" s="433"/>
      <c r="P12" s="433"/>
      <c r="Q12" s="278"/>
      <c r="R12" s="279"/>
      <c r="S12" s="280"/>
      <c r="U12" s="425" t="str">
        <f>[2]Birók!P26</f>
        <v xml:space="preserve"> </v>
      </c>
      <c r="Y12" s="236"/>
      <c r="Z12" s="236"/>
      <c r="AA12" s="398" t="s">
        <v>94</v>
      </c>
      <c r="AB12" s="399">
        <v>15</v>
      </c>
      <c r="AC12" s="399">
        <v>10</v>
      </c>
      <c r="AD12" s="399">
        <v>6</v>
      </c>
      <c r="AE12" s="399">
        <v>3</v>
      </c>
      <c r="AF12" s="399">
        <v>1</v>
      </c>
      <c r="AG12" s="399">
        <v>0</v>
      </c>
      <c r="AH12" s="399">
        <v>0</v>
      </c>
      <c r="AI12" s="303"/>
      <c r="AJ12" s="303"/>
      <c r="AK12" s="303"/>
    </row>
    <row r="13" spans="1:37" s="282" customFormat="1" ht="13.05" customHeight="1" x14ac:dyDescent="0.25">
      <c r="A13" s="283">
        <v>4</v>
      </c>
      <c r="B13" s="409" t="str">
        <f>IF($E13="","",VLOOKUP($E13,'[2]1MD ELO'!$A$7:$O$22,14))</f>
        <v/>
      </c>
      <c r="C13" s="410" t="str">
        <f>IF($E13="","",VLOOKUP($E13,'[2]1MD ELO'!$A$7:$O$22,15))</f>
        <v/>
      </c>
      <c r="D13" s="410" t="str">
        <f>IF($E13="","",VLOOKUP($E13,'[2]1MD ELO'!$A$7:$O$22,5))</f>
        <v/>
      </c>
      <c r="E13" s="411"/>
      <c r="F13" s="434" t="s">
        <v>139</v>
      </c>
      <c r="G13" s="434" t="str">
        <f>IF($E13="","",VLOOKUP($E13,'[3]1Q ELO'!$A$7:$M$32,3))</f>
        <v/>
      </c>
      <c r="H13" s="414" t="s">
        <v>112</v>
      </c>
      <c r="I13" s="426" t="str">
        <f>IF($E13="","",VLOOKUP($E13,'[2]1MD ELO'!$A$7:$O$22,4))</f>
        <v/>
      </c>
      <c r="J13" s="439"/>
      <c r="K13" s="416" t="s">
        <v>114</v>
      </c>
      <c r="L13" s="416"/>
      <c r="M13" s="416"/>
      <c r="N13" s="436"/>
      <c r="O13" s="433"/>
      <c r="P13" s="433"/>
      <c r="Q13" s="278"/>
      <c r="R13" s="279"/>
      <c r="S13" s="280"/>
      <c r="U13" s="425" t="str">
        <f>[2]Birók!P27</f>
        <v xml:space="preserve"> </v>
      </c>
      <c r="Y13" s="236"/>
      <c r="Z13" s="236"/>
      <c r="AA13" s="398" t="s">
        <v>90</v>
      </c>
      <c r="AB13" s="399">
        <v>10</v>
      </c>
      <c r="AC13" s="399">
        <v>6</v>
      </c>
      <c r="AD13" s="399">
        <v>3</v>
      </c>
      <c r="AE13" s="399">
        <v>1</v>
      </c>
      <c r="AF13" s="399">
        <v>0</v>
      </c>
      <c r="AG13" s="399">
        <v>0</v>
      </c>
      <c r="AH13" s="399">
        <v>0</v>
      </c>
      <c r="AI13" s="303"/>
      <c r="AJ13" s="303"/>
      <c r="AK13" s="303"/>
    </row>
    <row r="14" spans="1:37" s="282" customFormat="1" ht="13.05" customHeight="1" x14ac:dyDescent="0.25">
      <c r="A14" s="283"/>
      <c r="B14" s="418"/>
      <c r="C14" s="419"/>
      <c r="D14" s="419"/>
      <c r="E14" s="429"/>
      <c r="F14" s="421"/>
      <c r="G14" s="421"/>
      <c r="H14" s="437"/>
      <c r="I14" s="440"/>
      <c r="J14" s="430"/>
      <c r="K14" s="416"/>
      <c r="L14" s="416"/>
      <c r="M14" s="431" t="s">
        <v>0</v>
      </c>
      <c r="N14" s="299"/>
      <c r="O14" s="424" t="s">
        <v>133</v>
      </c>
      <c r="P14" s="432"/>
      <c r="Q14" s="278"/>
      <c r="R14" s="279"/>
      <c r="S14" s="280"/>
      <c r="U14" s="425" t="str">
        <f>[2]Birók!P28</f>
        <v xml:space="preserve"> </v>
      </c>
      <c r="Y14" s="236"/>
      <c r="Z14" s="236"/>
      <c r="AA14" s="398" t="s">
        <v>91</v>
      </c>
      <c r="AB14" s="399">
        <v>3</v>
      </c>
      <c r="AC14" s="399">
        <v>2</v>
      </c>
      <c r="AD14" s="399">
        <v>1</v>
      </c>
      <c r="AE14" s="399">
        <v>0</v>
      </c>
      <c r="AF14" s="399">
        <v>0</v>
      </c>
      <c r="AG14" s="399">
        <v>0</v>
      </c>
      <c r="AH14" s="399">
        <v>0</v>
      </c>
      <c r="AI14" s="303"/>
      <c r="AJ14" s="303"/>
      <c r="AK14" s="303"/>
    </row>
    <row r="15" spans="1:37" s="282" customFormat="1" ht="13.05" customHeight="1" x14ac:dyDescent="0.25">
      <c r="A15" s="269">
        <v>5</v>
      </c>
      <c r="B15" s="409" t="str">
        <f>IF($E15="","",VLOOKUP($E15,'[2]1MD ELO'!$A$7:$O$22,14))</f>
        <v/>
      </c>
      <c r="C15" s="410" t="str">
        <f>IF($E15="","",VLOOKUP($E15,'[2]1MD ELO'!$A$7:$O$22,15))</f>
        <v/>
      </c>
      <c r="D15" s="410" t="str">
        <f>IF($E15="","",VLOOKUP($E15,'[2]1MD ELO'!$A$7:$O$22,5))</f>
        <v/>
      </c>
      <c r="E15" s="411"/>
      <c r="F15" s="412" t="s">
        <v>140</v>
      </c>
      <c r="G15" s="412" t="str">
        <f>IF($E15="","",VLOOKUP($E15,'[3]1Q ELO'!$A$7:$M$32,3))</f>
        <v/>
      </c>
      <c r="H15" s="414" t="s">
        <v>112</v>
      </c>
      <c r="I15" s="413" t="str">
        <f>IF($E15="","",VLOOKUP($E15,'[2]1MD ELO'!$A$7:$O$22,4))</f>
        <v/>
      </c>
      <c r="J15" s="441"/>
      <c r="K15" s="416"/>
      <c r="L15" s="416"/>
      <c r="M15" s="416"/>
      <c r="N15" s="436"/>
      <c r="O15" s="416" t="s">
        <v>141</v>
      </c>
      <c r="P15" s="436"/>
      <c r="Q15" s="278"/>
      <c r="R15" s="279"/>
      <c r="S15" s="280"/>
      <c r="U15" s="425" t="str">
        <f>[2]Birók!P29</f>
        <v xml:space="preserve"> </v>
      </c>
      <c r="Y15" s="236"/>
      <c r="Z15" s="236"/>
      <c r="AA15" s="398"/>
      <c r="AB15" s="398"/>
      <c r="AC15" s="398"/>
      <c r="AD15" s="398"/>
      <c r="AE15" s="398"/>
      <c r="AF15" s="398"/>
      <c r="AG15" s="398"/>
      <c r="AH15" s="398"/>
      <c r="AI15" s="303"/>
      <c r="AJ15" s="303"/>
      <c r="AK15" s="303"/>
    </row>
    <row r="16" spans="1:37" s="282" customFormat="1" ht="13.05" customHeight="1" thickBot="1" x14ac:dyDescent="0.3">
      <c r="A16" s="283"/>
      <c r="B16" s="418"/>
      <c r="C16" s="419"/>
      <c r="D16" s="419"/>
      <c r="E16" s="429"/>
      <c r="F16" s="421"/>
      <c r="G16" s="421"/>
      <c r="H16" s="437"/>
      <c r="I16" s="423" t="s">
        <v>0</v>
      </c>
      <c r="J16" s="290"/>
      <c r="K16" s="424" t="s">
        <v>142</v>
      </c>
      <c r="L16" s="424"/>
      <c r="M16" s="416"/>
      <c r="N16" s="436"/>
      <c r="O16" s="433"/>
      <c r="P16" s="436"/>
      <c r="Q16" s="278"/>
      <c r="R16" s="279"/>
      <c r="S16" s="280"/>
      <c r="U16" s="442" t="str">
        <f>[2]Birók!P30</f>
        <v>Egyik sem</v>
      </c>
      <c r="Y16" s="236"/>
      <c r="Z16" s="236"/>
      <c r="AA16" s="398" t="s">
        <v>52</v>
      </c>
      <c r="AB16" s="399">
        <v>150</v>
      </c>
      <c r="AC16" s="399">
        <v>120</v>
      </c>
      <c r="AD16" s="399">
        <v>90</v>
      </c>
      <c r="AE16" s="399">
        <v>60</v>
      </c>
      <c r="AF16" s="399">
        <v>40</v>
      </c>
      <c r="AG16" s="399">
        <v>25</v>
      </c>
      <c r="AH16" s="399">
        <v>15</v>
      </c>
      <c r="AI16" s="303"/>
      <c r="AJ16" s="303"/>
      <c r="AK16" s="303"/>
    </row>
    <row r="17" spans="1:37" s="282" customFormat="1" ht="13.05" customHeight="1" x14ac:dyDescent="0.25">
      <c r="A17" s="283">
        <v>6</v>
      </c>
      <c r="B17" s="409" t="str">
        <f>IF($E17="","",VLOOKUP($E17,'[2]1MD ELO'!$A$7:$O$22,14))</f>
        <v/>
      </c>
      <c r="C17" s="410" t="str">
        <f>IF($E17="","",VLOOKUP($E17,'[2]1MD ELO'!$A$7:$O$22,15))</f>
        <v/>
      </c>
      <c r="D17" s="410" t="str">
        <f>IF($E17="","",VLOOKUP($E17,'[2]1MD ELO'!$A$7:$O$22,5))</f>
        <v/>
      </c>
      <c r="E17" s="411"/>
      <c r="F17" s="434" t="s">
        <v>143</v>
      </c>
      <c r="G17" s="434" t="str">
        <f>IF($E17="","",VLOOKUP($E17,'[3]1Q ELO'!$A$7:$M$32,3))</f>
        <v/>
      </c>
      <c r="H17" s="414" t="s">
        <v>144</v>
      </c>
      <c r="I17" s="426" t="str">
        <f>IF($E17="","",VLOOKUP($E17,'[2]1MD ELO'!$A$7:$O$22,4))</f>
        <v/>
      </c>
      <c r="J17" s="427"/>
      <c r="K17" s="416" t="s">
        <v>145</v>
      </c>
      <c r="L17" s="428"/>
      <c r="M17" s="416"/>
      <c r="N17" s="436"/>
      <c r="O17" s="433"/>
      <c r="P17" s="436"/>
      <c r="Q17" s="278"/>
      <c r="R17" s="279"/>
      <c r="S17" s="280"/>
      <c r="Y17" s="236"/>
      <c r="Z17" s="236"/>
      <c r="AA17" s="398" t="s">
        <v>82</v>
      </c>
      <c r="AB17" s="399">
        <v>120</v>
      </c>
      <c r="AC17" s="399">
        <v>90</v>
      </c>
      <c r="AD17" s="399">
        <v>60</v>
      </c>
      <c r="AE17" s="399">
        <v>40</v>
      </c>
      <c r="AF17" s="399">
        <v>25</v>
      </c>
      <c r="AG17" s="399">
        <v>15</v>
      </c>
      <c r="AH17" s="399">
        <v>8</v>
      </c>
      <c r="AI17" s="303"/>
      <c r="AJ17" s="303"/>
      <c r="AK17" s="303"/>
    </row>
    <row r="18" spans="1:37" s="282" customFormat="1" ht="13.05" customHeight="1" x14ac:dyDescent="0.25">
      <c r="A18" s="283"/>
      <c r="B18" s="418"/>
      <c r="C18" s="419"/>
      <c r="D18" s="419"/>
      <c r="E18" s="429"/>
      <c r="F18" s="421"/>
      <c r="G18" s="421"/>
      <c r="H18" s="437"/>
      <c r="I18" s="416"/>
      <c r="J18" s="430"/>
      <c r="K18" s="431" t="s">
        <v>0</v>
      </c>
      <c r="L18" s="299"/>
      <c r="M18" s="424" t="s">
        <v>142</v>
      </c>
      <c r="N18" s="443"/>
      <c r="O18" s="433"/>
      <c r="P18" s="436"/>
      <c r="Q18" s="278"/>
      <c r="R18" s="279"/>
      <c r="S18" s="280"/>
      <c r="Y18" s="236"/>
      <c r="Z18" s="236"/>
      <c r="AA18" s="398" t="s">
        <v>83</v>
      </c>
      <c r="AB18" s="399">
        <v>90</v>
      </c>
      <c r="AC18" s="399">
        <v>60</v>
      </c>
      <c r="AD18" s="399">
        <v>40</v>
      </c>
      <c r="AE18" s="399">
        <v>25</v>
      </c>
      <c r="AF18" s="399">
        <v>15</v>
      </c>
      <c r="AG18" s="399">
        <v>8</v>
      </c>
      <c r="AH18" s="399">
        <v>4</v>
      </c>
      <c r="AI18" s="303"/>
      <c r="AJ18" s="303"/>
      <c r="AK18" s="303"/>
    </row>
    <row r="19" spans="1:37" s="282" customFormat="1" ht="13.05" customHeight="1" x14ac:dyDescent="0.25">
      <c r="A19" s="283">
        <v>7</v>
      </c>
      <c r="B19" s="409" t="str">
        <f>IF($E19="","",VLOOKUP($E19,'[2]1MD ELO'!$A$7:$O$22,14))</f>
        <v/>
      </c>
      <c r="C19" s="410" t="str">
        <f>IF($E19="","",VLOOKUP($E19,'[2]1MD ELO'!$A$7:$O$22,15))</f>
        <v/>
      </c>
      <c r="D19" s="410" t="str">
        <f>IF($E19="","",VLOOKUP($E19,'[2]1MD ELO'!$A$7:$O$22,5))</f>
        <v/>
      </c>
      <c r="E19" s="411"/>
      <c r="F19" s="434" t="s">
        <v>146</v>
      </c>
      <c r="G19" s="434" t="str">
        <f>IF($E19="","",VLOOKUP($E19,'[3]1Q ELO'!$A$7:$M$32,3))</f>
        <v/>
      </c>
      <c r="H19" s="414" t="s">
        <v>147</v>
      </c>
      <c r="I19" s="426" t="str">
        <f>IF($E19="","",VLOOKUP($E19,'[2]1MD ELO'!$A$7:$O$22,4))</f>
        <v/>
      </c>
      <c r="J19" s="415"/>
      <c r="K19" s="416"/>
      <c r="L19" s="435"/>
      <c r="M19" s="416" t="s">
        <v>148</v>
      </c>
      <c r="N19" s="433"/>
      <c r="O19" s="433"/>
      <c r="P19" s="436"/>
      <c r="Q19" s="278"/>
      <c r="R19" s="279"/>
      <c r="S19" s="280"/>
      <c r="Y19" s="236"/>
      <c r="Z19" s="236"/>
      <c r="AA19" s="398" t="s">
        <v>84</v>
      </c>
      <c r="AB19" s="399">
        <v>60</v>
      </c>
      <c r="AC19" s="399">
        <v>40</v>
      </c>
      <c r="AD19" s="399">
        <v>25</v>
      </c>
      <c r="AE19" s="399">
        <v>15</v>
      </c>
      <c r="AF19" s="399">
        <v>8</v>
      </c>
      <c r="AG19" s="399">
        <v>4</v>
      </c>
      <c r="AH19" s="399">
        <v>2</v>
      </c>
      <c r="AI19" s="303"/>
      <c r="AJ19" s="303"/>
      <c r="AK19" s="303"/>
    </row>
    <row r="20" spans="1:37" s="282" customFormat="1" ht="13.05" customHeight="1" x14ac:dyDescent="0.25">
      <c r="A20" s="283"/>
      <c r="B20" s="418"/>
      <c r="C20" s="419"/>
      <c r="D20" s="419"/>
      <c r="E20" s="420"/>
      <c r="F20" s="421"/>
      <c r="G20" s="421"/>
      <c r="H20" s="437"/>
      <c r="I20" s="423" t="s">
        <v>0</v>
      </c>
      <c r="J20" s="290"/>
      <c r="K20" s="424" t="s">
        <v>149</v>
      </c>
      <c r="L20" s="438"/>
      <c r="M20" s="416"/>
      <c r="N20" s="433"/>
      <c r="O20" s="433"/>
      <c r="P20" s="436"/>
      <c r="Q20" s="278"/>
      <c r="R20" s="279"/>
      <c r="S20" s="280"/>
      <c r="Y20" s="236"/>
      <c r="Z20" s="236"/>
      <c r="AA20" s="398" t="s">
        <v>85</v>
      </c>
      <c r="AB20" s="399">
        <v>40</v>
      </c>
      <c r="AC20" s="399">
        <v>25</v>
      </c>
      <c r="AD20" s="399">
        <v>15</v>
      </c>
      <c r="AE20" s="399">
        <v>8</v>
      </c>
      <c r="AF20" s="399">
        <v>4</v>
      </c>
      <c r="AG20" s="399">
        <v>2</v>
      </c>
      <c r="AH20" s="399">
        <v>1</v>
      </c>
      <c r="AI20" s="303"/>
      <c r="AJ20" s="303"/>
      <c r="AK20" s="303"/>
    </row>
    <row r="21" spans="1:37" s="282" customFormat="1" ht="13.05" customHeight="1" x14ac:dyDescent="0.25">
      <c r="A21" s="283">
        <v>8</v>
      </c>
      <c r="B21" s="409" t="str">
        <f>IF($E21="","",VLOOKUP($E21,'[2]1MD ELO'!$A$7:$O$22,14))</f>
        <v/>
      </c>
      <c r="C21" s="410" t="str">
        <f>IF($E21="","",VLOOKUP($E21,'[2]1MD ELO'!$A$7:$O$22,15))</f>
        <v/>
      </c>
      <c r="D21" s="410" t="str">
        <f>IF($E21="","",VLOOKUP($E21,'[2]1MD ELO'!$A$7:$O$22,5))</f>
        <v/>
      </c>
      <c r="E21" s="411"/>
      <c r="F21" s="434" t="s">
        <v>150</v>
      </c>
      <c r="G21" s="434" t="str">
        <f>IF($E21="","",VLOOKUP($E21,'[3]1Q ELO'!$A$7:$M$32,3))</f>
        <v/>
      </c>
      <c r="H21" s="414" t="s">
        <v>130</v>
      </c>
      <c r="I21" s="426" t="str">
        <f>IF($E21="","",VLOOKUP($E21,'[2]1MD ELO'!$A$7:$O$22,4))</f>
        <v/>
      </c>
      <c r="J21" s="439"/>
      <c r="K21" s="416" t="s">
        <v>151</v>
      </c>
      <c r="L21" s="416"/>
      <c r="M21" s="416"/>
      <c r="N21" s="433"/>
      <c r="O21" s="433"/>
      <c r="P21" s="436"/>
      <c r="Q21" s="278"/>
      <c r="R21" s="279"/>
      <c r="S21" s="280"/>
      <c r="Y21" s="236"/>
      <c r="Z21" s="236"/>
      <c r="AA21" s="398" t="s">
        <v>86</v>
      </c>
      <c r="AB21" s="399">
        <v>25</v>
      </c>
      <c r="AC21" s="399">
        <v>15</v>
      </c>
      <c r="AD21" s="399">
        <v>10</v>
      </c>
      <c r="AE21" s="399">
        <v>6</v>
      </c>
      <c r="AF21" s="399">
        <v>3</v>
      </c>
      <c r="AG21" s="399">
        <v>1</v>
      </c>
      <c r="AH21" s="399">
        <v>0</v>
      </c>
      <c r="AI21" s="303"/>
      <c r="AJ21" s="303"/>
      <c r="AK21" s="303"/>
    </row>
    <row r="22" spans="1:37" s="282" customFormat="1" ht="13.05" customHeight="1" x14ac:dyDescent="0.25">
      <c r="A22" s="283"/>
      <c r="B22" s="418"/>
      <c r="C22" s="419"/>
      <c r="D22" s="419"/>
      <c r="E22" s="420"/>
      <c r="F22" s="440"/>
      <c r="G22" s="440"/>
      <c r="H22" s="437"/>
      <c r="I22" s="440"/>
      <c r="J22" s="430"/>
      <c r="K22" s="416"/>
      <c r="L22" s="416"/>
      <c r="M22" s="416"/>
      <c r="N22" s="433"/>
      <c r="O22" s="431" t="s">
        <v>0</v>
      </c>
      <c r="P22" s="299"/>
      <c r="Q22" s="424" t="s">
        <v>152</v>
      </c>
      <c r="R22" s="432"/>
      <c r="S22" s="280"/>
      <c r="Y22" s="236"/>
      <c r="Z22" s="236"/>
      <c r="AA22" s="398" t="s">
        <v>87</v>
      </c>
      <c r="AB22" s="399">
        <v>15</v>
      </c>
      <c r="AC22" s="399">
        <v>10</v>
      </c>
      <c r="AD22" s="399">
        <v>6</v>
      </c>
      <c r="AE22" s="399">
        <v>3</v>
      </c>
      <c r="AF22" s="399">
        <v>1</v>
      </c>
      <c r="AG22" s="399">
        <v>0</v>
      </c>
      <c r="AH22" s="399">
        <v>0</v>
      </c>
      <c r="AI22" s="303"/>
      <c r="AJ22" s="303"/>
      <c r="AK22" s="303"/>
    </row>
    <row r="23" spans="1:37" s="282" customFormat="1" ht="13.05" customHeight="1" x14ac:dyDescent="0.25">
      <c r="A23" s="283">
        <v>9</v>
      </c>
      <c r="B23" s="409" t="str">
        <f>IF($E23="","",VLOOKUP($E23,'[2]1MD ELO'!$A$7:$O$22,14))</f>
        <v/>
      </c>
      <c r="C23" s="410" t="str">
        <f>IF($E23="","",VLOOKUP($E23,'[2]1MD ELO'!$A$7:$O$22,15))</f>
        <v/>
      </c>
      <c r="D23" s="410" t="str">
        <f>IF($E23="","",VLOOKUP($E23,'[2]1MD ELO'!$A$7:$O$22,5))</f>
        <v/>
      </c>
      <c r="E23" s="411"/>
      <c r="F23" s="412" t="s">
        <v>153</v>
      </c>
      <c r="G23" s="412" t="str">
        <f>IF($E23="","",VLOOKUP($E23,'[3]1Q ELO'!$A$7:$M$32,3))</f>
        <v/>
      </c>
      <c r="H23" s="414" t="s">
        <v>147</v>
      </c>
      <c r="I23" s="426" t="str">
        <f>IF($E23="","",VLOOKUP($E23,'[2]1MD ELO'!$A$7:$O$22,4))</f>
        <v/>
      </c>
      <c r="J23" s="415"/>
      <c r="K23" s="416"/>
      <c r="L23" s="416"/>
      <c r="M23" s="416"/>
      <c r="N23" s="433"/>
      <c r="O23" s="416"/>
      <c r="P23" s="436"/>
      <c r="Q23" s="416" t="s">
        <v>114</v>
      </c>
      <c r="R23" s="433"/>
      <c r="S23" s="280"/>
      <c r="Y23" s="236"/>
      <c r="Z23" s="236"/>
      <c r="AA23" s="398" t="s">
        <v>88</v>
      </c>
      <c r="AB23" s="399">
        <v>10</v>
      </c>
      <c r="AC23" s="399">
        <v>6</v>
      </c>
      <c r="AD23" s="399">
        <v>3</v>
      </c>
      <c r="AE23" s="399">
        <v>1</v>
      </c>
      <c r="AF23" s="399">
        <v>0</v>
      </c>
      <c r="AG23" s="399">
        <v>0</v>
      </c>
      <c r="AH23" s="399">
        <v>0</v>
      </c>
      <c r="AI23" s="303"/>
      <c r="AJ23" s="303"/>
      <c r="AK23" s="303"/>
    </row>
    <row r="24" spans="1:37" s="282" customFormat="1" ht="13.05" customHeight="1" x14ac:dyDescent="0.25">
      <c r="A24" s="283"/>
      <c r="B24" s="418"/>
      <c r="C24" s="419"/>
      <c r="D24" s="419"/>
      <c r="E24" s="420"/>
      <c r="F24" s="421"/>
      <c r="G24" s="421"/>
      <c r="H24" s="437"/>
      <c r="I24" s="423" t="s">
        <v>0</v>
      </c>
      <c r="J24" s="290"/>
      <c r="K24" s="424" t="s">
        <v>154</v>
      </c>
      <c r="L24" s="424"/>
      <c r="M24" s="416"/>
      <c r="N24" s="433"/>
      <c r="O24" s="433"/>
      <c r="P24" s="436"/>
      <c r="Q24" s="278"/>
      <c r="R24" s="279"/>
      <c r="S24" s="280"/>
      <c r="Y24" s="236"/>
      <c r="Z24" s="236"/>
      <c r="AA24" s="398" t="s">
        <v>89</v>
      </c>
      <c r="AB24" s="399">
        <v>6</v>
      </c>
      <c r="AC24" s="399">
        <v>3</v>
      </c>
      <c r="AD24" s="399">
        <v>1</v>
      </c>
      <c r="AE24" s="399">
        <v>0</v>
      </c>
      <c r="AF24" s="399">
        <v>0</v>
      </c>
      <c r="AG24" s="399">
        <v>0</v>
      </c>
      <c r="AH24" s="399">
        <v>0</v>
      </c>
      <c r="AI24" s="303"/>
      <c r="AJ24" s="303"/>
      <c r="AK24" s="303"/>
    </row>
    <row r="25" spans="1:37" s="282" customFormat="1" ht="13.05" customHeight="1" x14ac:dyDescent="0.25">
      <c r="A25" s="283">
        <v>10</v>
      </c>
      <c r="B25" s="409" t="str">
        <f>IF($E25="","",VLOOKUP($E25,'[2]1MD ELO'!$A$7:$O$22,14))</f>
        <v/>
      </c>
      <c r="C25" s="410" t="str">
        <f>IF($E25="","",VLOOKUP($E25,'[2]1MD ELO'!$A$7:$O$22,15))</f>
        <v/>
      </c>
      <c r="D25" s="410" t="str">
        <f>IF($E25="","",VLOOKUP($E25,'[2]1MD ELO'!$A$7:$O$22,5))</f>
        <v/>
      </c>
      <c r="E25" s="411"/>
      <c r="F25" s="434" t="s">
        <v>155</v>
      </c>
      <c r="G25" s="434" t="str">
        <f>IF($E25="","",VLOOKUP($E25,'[3]1Q ELO'!$A$7:$M$32,3))</f>
        <v/>
      </c>
      <c r="H25" s="414" t="s">
        <v>112</v>
      </c>
      <c r="I25" s="426" t="str">
        <f>IF($E25="","",VLOOKUP($E25,'[2]1MD ELO'!$A$7:$O$22,4))</f>
        <v/>
      </c>
      <c r="J25" s="427"/>
      <c r="K25" s="416" t="s">
        <v>145</v>
      </c>
      <c r="L25" s="428"/>
      <c r="M25" s="416"/>
      <c r="N25" s="433"/>
      <c r="O25" s="433"/>
      <c r="P25" s="436"/>
      <c r="Q25" s="278"/>
      <c r="R25" s="279"/>
      <c r="S25" s="280"/>
      <c r="Y25" s="236"/>
      <c r="Z25" s="236"/>
      <c r="AA25" s="398" t="s">
        <v>94</v>
      </c>
      <c r="AB25" s="399">
        <v>3</v>
      </c>
      <c r="AC25" s="399">
        <v>2</v>
      </c>
      <c r="AD25" s="399">
        <v>1</v>
      </c>
      <c r="AE25" s="399">
        <v>0</v>
      </c>
      <c r="AF25" s="399">
        <v>0</v>
      </c>
      <c r="AG25" s="399">
        <v>0</v>
      </c>
      <c r="AH25" s="399">
        <v>0</v>
      </c>
      <c r="AI25" s="303"/>
      <c r="AJ25" s="303"/>
      <c r="AK25" s="303"/>
    </row>
    <row r="26" spans="1:37" s="282" customFormat="1" ht="13.05" customHeight="1" x14ac:dyDescent="0.25">
      <c r="A26" s="283"/>
      <c r="B26" s="418"/>
      <c r="C26" s="419"/>
      <c r="D26" s="419"/>
      <c r="E26" s="429"/>
      <c r="F26" s="421"/>
      <c r="G26" s="421"/>
      <c r="H26" s="437"/>
      <c r="I26" s="416"/>
      <c r="J26" s="430"/>
      <c r="K26" s="431" t="s">
        <v>0</v>
      </c>
      <c r="L26" s="299"/>
      <c r="M26" s="424" t="s">
        <v>152</v>
      </c>
      <c r="N26" s="432"/>
      <c r="O26" s="433"/>
      <c r="P26" s="436"/>
      <c r="Q26" s="278"/>
      <c r="R26" s="279"/>
      <c r="S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</row>
    <row r="27" spans="1:37" s="282" customFormat="1" ht="13.05" customHeight="1" x14ac:dyDescent="0.25">
      <c r="A27" s="283">
        <v>11</v>
      </c>
      <c r="B27" s="409" t="str">
        <f>IF($E27="","",VLOOKUP($E27,'[2]1MD ELO'!$A$7:$O$22,14))</f>
        <v/>
      </c>
      <c r="C27" s="410" t="str">
        <f>IF($E27="","",VLOOKUP($E27,'[2]1MD ELO'!$A$7:$O$22,15))</f>
        <v/>
      </c>
      <c r="D27" s="410" t="str">
        <f>IF($E27="","",VLOOKUP($E27,'[2]1MD ELO'!$A$7:$O$22,5))</f>
        <v/>
      </c>
      <c r="E27" s="411"/>
      <c r="F27" s="434" t="s">
        <v>156</v>
      </c>
      <c r="G27" s="434" t="str">
        <f>IF($E27="","",VLOOKUP($E27,'[3]1Q ELO'!$A$7:$M$32,3))</f>
        <v/>
      </c>
      <c r="H27" s="414" t="s">
        <v>112</v>
      </c>
      <c r="I27" s="426" t="str">
        <f>IF($E27="","",VLOOKUP($E27,'[2]1MD ELO'!$A$7:$O$22,4))</f>
        <v/>
      </c>
      <c r="J27" s="415"/>
      <c r="K27" s="416"/>
      <c r="L27" s="435"/>
      <c r="M27" s="416" t="s">
        <v>114</v>
      </c>
      <c r="N27" s="436"/>
      <c r="O27" s="433"/>
      <c r="P27" s="436"/>
      <c r="Q27" s="278"/>
      <c r="R27" s="279"/>
      <c r="S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</row>
    <row r="28" spans="1:37" s="282" customFormat="1" ht="13.05" customHeight="1" x14ac:dyDescent="0.25">
      <c r="A28" s="311"/>
      <c r="B28" s="418"/>
      <c r="C28" s="419"/>
      <c r="D28" s="419"/>
      <c r="E28" s="429"/>
      <c r="F28" s="421"/>
      <c r="G28" s="421"/>
      <c r="H28" s="437"/>
      <c r="I28" s="423" t="s">
        <v>0</v>
      </c>
      <c r="J28" s="290"/>
      <c r="K28" s="424" t="s">
        <v>157</v>
      </c>
      <c r="L28" s="438"/>
      <c r="M28" s="416"/>
      <c r="N28" s="436"/>
      <c r="O28" s="433"/>
      <c r="P28" s="436"/>
      <c r="Q28" s="278"/>
      <c r="R28" s="279"/>
      <c r="S28" s="280"/>
    </row>
    <row r="29" spans="1:37" s="282" customFormat="1" ht="13.05" customHeight="1" x14ac:dyDescent="0.2">
      <c r="A29" s="269">
        <v>12</v>
      </c>
      <c r="B29" s="409" t="str">
        <f>IF($E29="","",VLOOKUP($E29,'[2]1MD ELO'!$A$7:$O$22,14))</f>
        <v/>
      </c>
      <c r="C29" s="410" t="str">
        <f>IF($E29="","",VLOOKUP($E29,'[2]1MD ELO'!$A$7:$O$22,15))</f>
        <v/>
      </c>
      <c r="D29" s="410" t="str">
        <f>IF($E29="","",VLOOKUP($E29,'[2]1MD ELO'!$A$7:$O$22,5))</f>
        <v/>
      </c>
      <c r="E29" s="411"/>
      <c r="F29" s="434" t="s">
        <v>158</v>
      </c>
      <c r="G29" s="434" t="str">
        <f>IF($E29="","",VLOOKUP($E29,'[3]1Q ELO'!$A$7:$M$32,3))</f>
        <v/>
      </c>
      <c r="H29" s="414" t="s">
        <v>136</v>
      </c>
      <c r="I29" s="413" t="str">
        <f>IF($E29="","",VLOOKUP($E29,'[2]1MD ELO'!$A$7:$O$22,4))</f>
        <v/>
      </c>
      <c r="J29" s="439"/>
      <c r="K29" s="416"/>
      <c r="L29" s="416"/>
      <c r="M29" s="416"/>
      <c r="N29" s="436"/>
      <c r="O29" s="433"/>
      <c r="P29" s="436"/>
      <c r="Q29" s="278"/>
      <c r="R29" s="279"/>
      <c r="S29" s="280"/>
    </row>
    <row r="30" spans="1:37" s="282" customFormat="1" ht="13.05" customHeight="1" x14ac:dyDescent="0.25">
      <c r="A30" s="283"/>
      <c r="B30" s="418"/>
      <c r="C30" s="419"/>
      <c r="D30" s="419"/>
      <c r="E30" s="429"/>
      <c r="F30" s="421"/>
      <c r="G30" s="421"/>
      <c r="H30" s="437"/>
      <c r="I30" s="440"/>
      <c r="J30" s="430"/>
      <c r="K30" s="416"/>
      <c r="L30" s="416"/>
      <c r="M30" s="431" t="s">
        <v>0</v>
      </c>
      <c r="N30" s="299"/>
      <c r="O30" s="424" t="s">
        <v>152</v>
      </c>
      <c r="P30" s="443"/>
      <c r="Q30" s="278"/>
      <c r="R30" s="279"/>
      <c r="S30" s="280"/>
    </row>
    <row r="31" spans="1:37" s="282" customFormat="1" ht="13.05" customHeight="1" x14ac:dyDescent="0.2">
      <c r="A31" s="283">
        <v>13</v>
      </c>
      <c r="B31" s="409" t="str">
        <f>IF($E31="","",VLOOKUP($E31,'[2]1MD ELO'!$A$7:$O$22,14))</f>
        <v/>
      </c>
      <c r="C31" s="410" t="str">
        <f>IF($E31="","",VLOOKUP($E31,'[2]1MD ELO'!$A$7:$O$22,15))</f>
        <v/>
      </c>
      <c r="D31" s="410" t="str">
        <f>IF($E31="","",VLOOKUP($E31,'[2]1MD ELO'!$A$7:$O$22,5))</f>
        <v/>
      </c>
      <c r="E31" s="411"/>
      <c r="F31" s="412" t="s">
        <v>159</v>
      </c>
      <c r="G31" s="412" t="str">
        <f>IF($E31="","",VLOOKUP($E31,'[3]1Q ELO'!$A$7:$M$32,3))</f>
        <v/>
      </c>
      <c r="H31" s="414" t="s">
        <v>112</v>
      </c>
      <c r="I31" s="426" t="str">
        <f>IF($E31="","",VLOOKUP($E31,'[2]1MD ELO'!$A$7:$O$22,4))</f>
        <v/>
      </c>
      <c r="J31" s="441"/>
      <c r="K31" s="416"/>
      <c r="L31" s="416"/>
      <c r="M31" s="416"/>
      <c r="N31" s="436"/>
      <c r="O31" s="416" t="s">
        <v>114</v>
      </c>
      <c r="P31" s="433"/>
      <c r="Q31" s="278"/>
      <c r="R31" s="279"/>
      <c r="S31" s="280"/>
    </row>
    <row r="32" spans="1:37" s="282" customFormat="1" ht="13.05" customHeight="1" x14ac:dyDescent="0.25">
      <c r="A32" s="283"/>
      <c r="B32" s="418"/>
      <c r="C32" s="419"/>
      <c r="D32" s="419"/>
      <c r="E32" s="429"/>
      <c r="F32" s="421"/>
      <c r="G32" s="421"/>
      <c r="H32" s="437"/>
      <c r="I32" s="431" t="s">
        <v>0</v>
      </c>
      <c r="J32" s="290"/>
      <c r="K32" s="424" t="s">
        <v>160</v>
      </c>
      <c r="L32" s="424"/>
      <c r="M32" s="416"/>
      <c r="N32" s="436"/>
      <c r="O32" s="433"/>
      <c r="P32" s="433"/>
      <c r="Q32" s="278"/>
      <c r="R32" s="279"/>
      <c r="S32" s="280"/>
    </row>
    <row r="33" spans="1:19" s="282" customFormat="1" ht="13.05" customHeight="1" x14ac:dyDescent="0.2">
      <c r="A33" s="283">
        <v>14</v>
      </c>
      <c r="B33" s="409" t="str">
        <f>IF($E33="","",VLOOKUP($E33,'[2]1MD ELO'!$A$7:$O$22,14))</f>
        <v/>
      </c>
      <c r="C33" s="410" t="str">
        <f>IF($E33="","",VLOOKUP($E33,'[2]1MD ELO'!$A$7:$O$22,15))</f>
        <v/>
      </c>
      <c r="D33" s="410" t="str">
        <f>IF($E33="","",VLOOKUP($E33,'[2]1MD ELO'!$A$7:$O$22,5))</f>
        <v/>
      </c>
      <c r="E33" s="411"/>
      <c r="F33" s="434" t="s">
        <v>161</v>
      </c>
      <c r="G33" s="434" t="str">
        <f>IF($E33="","",VLOOKUP($E33,'[3]1Q ELO'!$A$7:$M$32,3))</f>
        <v/>
      </c>
      <c r="H33" s="414" t="s">
        <v>162</v>
      </c>
      <c r="I33" s="426" t="str">
        <f>IF($E33="","",VLOOKUP($E33,'[2]1MD ELO'!$A$7:$O$22,4))</f>
        <v/>
      </c>
      <c r="J33" s="427"/>
      <c r="K33" s="416"/>
      <c r="L33" s="428"/>
      <c r="M33" s="416"/>
      <c r="N33" s="436"/>
      <c r="O33" s="433"/>
      <c r="P33" s="433"/>
      <c r="Q33" s="278"/>
      <c r="R33" s="279"/>
      <c r="S33" s="280"/>
    </row>
    <row r="34" spans="1:19" s="282" customFormat="1" ht="13.05" customHeight="1" x14ac:dyDescent="0.25">
      <c r="A34" s="283"/>
      <c r="B34" s="418"/>
      <c r="C34" s="419"/>
      <c r="D34" s="419"/>
      <c r="E34" s="429"/>
      <c r="F34" s="421"/>
      <c r="G34" s="421"/>
      <c r="H34" s="422"/>
      <c r="I34" s="416"/>
      <c r="J34" s="430"/>
      <c r="K34" s="431" t="s">
        <v>0</v>
      </c>
      <c r="L34" s="299"/>
      <c r="M34" s="444" t="s">
        <v>163</v>
      </c>
      <c r="N34" s="445"/>
      <c r="O34" s="433"/>
      <c r="P34" s="433"/>
      <c r="Q34" s="278"/>
      <c r="R34" s="279"/>
      <c r="S34" s="280"/>
    </row>
    <row r="35" spans="1:19" s="282" customFormat="1" ht="13.05" customHeight="1" x14ac:dyDescent="0.25">
      <c r="A35" s="283">
        <v>15</v>
      </c>
      <c r="B35" s="409" t="str">
        <f>IF($E35="","",VLOOKUP($E35,'[2]1MD ELO'!$A$7:$O$22,14))</f>
        <v/>
      </c>
      <c r="C35" s="410" t="str">
        <f>IF($E35="","",VLOOKUP($E35,'[2]1MD ELO'!$A$7:$O$22,15))</f>
        <v/>
      </c>
      <c r="D35" s="410" t="str">
        <f>IF($E35="","",VLOOKUP($E35,'[2]1MD ELO'!$A$7:$O$22,5))</f>
        <v/>
      </c>
      <c r="E35" s="411"/>
      <c r="F35" s="426" t="str">
        <f>UPPER(IF($E35="","",VLOOKUP($E35,'[2]1MD ELO'!$A$7:$O$22,2)))</f>
        <v/>
      </c>
      <c r="G35" s="426" t="str">
        <f>IF($E35="","",VLOOKUP($E35,'[2]1MD ELO'!$A$7:$O$22,3))</f>
        <v/>
      </c>
      <c r="H35" s="426"/>
      <c r="I35" s="426" t="str">
        <f>IF($E35="","",VLOOKUP($E35,'[2]1MD ELO'!$A$7:$O$22,4))</f>
        <v/>
      </c>
      <c r="J35" s="415"/>
      <c r="K35" s="416"/>
      <c r="L35" s="435"/>
      <c r="M35" s="416" t="s">
        <v>145</v>
      </c>
      <c r="N35" s="433"/>
      <c r="O35" s="433"/>
      <c r="P35" s="433"/>
      <c r="Q35" s="278"/>
      <c r="R35" s="279"/>
      <c r="S35" s="280"/>
    </row>
    <row r="36" spans="1:19" s="282" customFormat="1" ht="13.05" customHeight="1" x14ac:dyDescent="0.25">
      <c r="A36" s="283"/>
      <c r="B36" s="418"/>
      <c r="C36" s="419"/>
      <c r="D36" s="419"/>
      <c r="E36" s="420"/>
      <c r="F36" s="421"/>
      <c r="G36" s="421"/>
      <c r="H36" s="422"/>
      <c r="I36" s="431" t="s">
        <v>0</v>
      </c>
      <c r="J36" s="290"/>
      <c r="K36" s="424" t="s">
        <v>163</v>
      </c>
      <c r="L36" s="438"/>
      <c r="M36" s="416"/>
      <c r="N36" s="433"/>
      <c r="O36" s="433"/>
      <c r="P36" s="433"/>
      <c r="Q36" s="278"/>
      <c r="R36" s="279"/>
      <c r="S36" s="280"/>
    </row>
    <row r="37" spans="1:19" s="282" customFormat="1" ht="13.05" customHeight="1" x14ac:dyDescent="0.2">
      <c r="A37" s="269">
        <v>16</v>
      </c>
      <c r="B37" s="409" t="str">
        <f>IF($E37="","",VLOOKUP($E37,'[2]1MD ELO'!$A$7:$O$22,14))</f>
        <v/>
      </c>
      <c r="C37" s="410" t="str">
        <f>IF($E37="","",VLOOKUP($E37,'[2]1MD ELO'!$A$7:$O$22,15))</f>
        <v/>
      </c>
      <c r="D37" s="410" t="str">
        <f>IF($E37="","",VLOOKUP($E37,'[2]1MD ELO'!$A$7:$O$22,5))</f>
        <v/>
      </c>
      <c r="E37" s="411"/>
      <c r="F37" s="434" t="s">
        <v>164</v>
      </c>
      <c r="G37" s="434" t="str">
        <f>IF($E37="","",VLOOKUP($E37,'[3]1Q ELO'!$A$7:$M$32,3))</f>
        <v/>
      </c>
      <c r="H37" s="414" t="s">
        <v>112</v>
      </c>
      <c r="I37" s="413" t="str">
        <f>IF($E37="","",VLOOKUP($E37,'[2]1MD ELO'!$A$7:$O$22,4))</f>
        <v/>
      </c>
      <c r="J37" s="439"/>
      <c r="K37" s="416" t="s">
        <v>165</v>
      </c>
      <c r="L37" s="416"/>
      <c r="M37" s="416"/>
      <c r="N37" s="433"/>
      <c r="O37" s="433"/>
      <c r="P37" s="433"/>
      <c r="Q37" s="278"/>
      <c r="R37" s="279"/>
      <c r="S37" s="280"/>
    </row>
    <row r="38" spans="1:19" s="282" customFormat="1" ht="9.4499999999999993" customHeight="1" x14ac:dyDescent="0.25">
      <c r="A38" s="446"/>
      <c r="B38" s="420"/>
      <c r="C38" s="420"/>
      <c r="D38" s="420"/>
      <c r="E38" s="420"/>
      <c r="F38" s="440"/>
      <c r="G38" s="440"/>
      <c r="H38" s="447"/>
      <c r="I38" s="416"/>
      <c r="J38" s="430"/>
      <c r="K38" s="416"/>
      <c r="L38" s="416"/>
      <c r="M38" s="416"/>
      <c r="N38" s="433"/>
      <c r="O38" s="433"/>
      <c r="P38" s="433"/>
      <c r="Q38" s="278"/>
      <c r="R38" s="279"/>
      <c r="S38" s="280"/>
    </row>
    <row r="39" spans="1:19" s="282" customFormat="1" ht="9.4499999999999993" customHeight="1" x14ac:dyDescent="0.25">
      <c r="A39" s="448"/>
      <c r="B39" s="449"/>
      <c r="C39" s="449"/>
      <c r="D39" s="449"/>
      <c r="E39" s="420"/>
      <c r="F39" s="449"/>
      <c r="G39" s="449"/>
      <c r="H39" s="449"/>
      <c r="I39" s="449"/>
      <c r="J39" s="420"/>
      <c r="K39" s="449"/>
      <c r="L39" s="449"/>
      <c r="M39" s="449"/>
      <c r="N39" s="450"/>
      <c r="O39" s="450"/>
      <c r="P39" s="450"/>
      <c r="Q39" s="278"/>
      <c r="R39" s="279"/>
      <c r="S39" s="280"/>
    </row>
    <row r="40" spans="1:19" s="282" customFormat="1" ht="9.4499999999999993" customHeight="1" x14ac:dyDescent="0.25">
      <c r="A40" s="446"/>
      <c r="B40" s="420"/>
      <c r="C40" s="420"/>
      <c r="D40" s="420"/>
      <c r="E40" s="420"/>
      <c r="F40" s="449"/>
      <c r="G40" s="449"/>
      <c r="I40" s="449"/>
      <c r="J40" s="420"/>
      <c r="K40" s="449"/>
      <c r="L40" s="449"/>
      <c r="M40" s="451"/>
      <c r="N40" s="420"/>
      <c r="O40" s="449"/>
      <c r="P40" s="450"/>
      <c r="Q40" s="278"/>
      <c r="R40" s="279"/>
      <c r="S40" s="280"/>
    </row>
    <row r="41" spans="1:19" s="282" customFormat="1" ht="9.4499999999999993" customHeight="1" x14ac:dyDescent="0.25">
      <c r="A41" s="446"/>
      <c r="B41" s="449"/>
      <c r="C41" s="449"/>
      <c r="D41" s="449"/>
      <c r="E41" s="420"/>
      <c r="F41" s="449"/>
      <c r="G41" s="449"/>
      <c r="H41" s="449"/>
      <c r="I41" s="449"/>
      <c r="J41" s="420"/>
      <c r="K41" s="449"/>
      <c r="L41" s="449"/>
      <c r="M41" s="449"/>
      <c r="N41" s="450"/>
      <c r="O41" s="449"/>
      <c r="P41" s="450"/>
      <c r="Q41" s="278"/>
      <c r="R41" s="279"/>
      <c r="S41" s="280"/>
    </row>
    <row r="42" spans="1:19" s="282" customFormat="1" ht="9.4499999999999993" customHeight="1" x14ac:dyDescent="0.25">
      <c r="A42" s="446"/>
      <c r="B42" s="420"/>
      <c r="C42" s="420"/>
      <c r="D42" s="420"/>
      <c r="E42" s="420"/>
      <c r="F42" s="449"/>
      <c r="G42" s="449"/>
      <c r="I42" s="451"/>
      <c r="J42" s="420"/>
      <c r="K42" s="449"/>
      <c r="L42" s="449"/>
      <c r="M42" s="449"/>
      <c r="N42" s="450"/>
      <c r="O42" s="450"/>
      <c r="P42" s="450"/>
      <c r="Q42" s="278"/>
      <c r="R42" s="279"/>
      <c r="S42" s="280"/>
    </row>
    <row r="43" spans="1:19" s="282" customFormat="1" ht="9.4499999999999993" customHeight="1" x14ac:dyDescent="0.25">
      <c r="A43" s="446"/>
      <c r="B43" s="449"/>
      <c r="C43" s="449"/>
      <c r="D43" s="449"/>
      <c r="E43" s="420"/>
      <c r="F43" s="449"/>
      <c r="G43" s="449"/>
      <c r="H43" s="449"/>
      <c r="I43" s="449"/>
      <c r="J43" s="420"/>
      <c r="K43" s="449"/>
      <c r="L43" s="452"/>
      <c r="M43" s="449"/>
      <c r="N43" s="450"/>
      <c r="O43" s="450"/>
      <c r="P43" s="450"/>
      <c r="Q43" s="278"/>
      <c r="R43" s="279"/>
      <c r="S43" s="280"/>
    </row>
    <row r="44" spans="1:19" s="282" customFormat="1" ht="9.4499999999999993" customHeight="1" x14ac:dyDescent="0.25">
      <c r="A44" s="446"/>
      <c r="B44" s="420"/>
      <c r="C44" s="420"/>
      <c r="D44" s="420"/>
      <c r="E44" s="420"/>
      <c r="F44" s="449"/>
      <c r="G44" s="449"/>
      <c r="I44" s="449"/>
      <c r="J44" s="420"/>
      <c r="K44" s="451"/>
      <c r="L44" s="420"/>
      <c r="M44" s="449"/>
      <c r="N44" s="450"/>
      <c r="O44" s="450"/>
      <c r="P44" s="450"/>
      <c r="Q44" s="278"/>
      <c r="R44" s="279"/>
      <c r="S44" s="280"/>
    </row>
    <row r="45" spans="1:19" s="282" customFormat="1" ht="9.4499999999999993" customHeight="1" x14ac:dyDescent="0.25">
      <c r="A45" s="446"/>
      <c r="B45" s="449"/>
      <c r="C45" s="449"/>
      <c r="D45" s="449"/>
      <c r="E45" s="420"/>
      <c r="F45" s="449"/>
      <c r="G45" s="449"/>
      <c r="H45" s="449"/>
      <c r="I45" s="449"/>
      <c r="J45" s="420"/>
      <c r="K45" s="449"/>
      <c r="L45" s="449"/>
      <c r="M45" s="449"/>
      <c r="N45" s="450"/>
      <c r="O45" s="450"/>
      <c r="P45" s="450"/>
      <c r="Q45" s="278"/>
      <c r="R45" s="279"/>
      <c r="S45" s="280"/>
    </row>
    <row r="46" spans="1:19" s="282" customFormat="1" ht="9.4499999999999993" customHeight="1" x14ac:dyDescent="0.25">
      <c r="A46" s="446"/>
      <c r="B46" s="420"/>
      <c r="C46" s="420"/>
      <c r="D46" s="420"/>
      <c r="E46" s="420"/>
      <c r="F46" s="449"/>
      <c r="G46" s="449"/>
      <c r="I46" s="451"/>
      <c r="J46" s="420"/>
      <c r="K46" s="449"/>
      <c r="L46" s="449"/>
      <c r="M46" s="449"/>
      <c r="N46" s="450"/>
      <c r="O46" s="450"/>
      <c r="P46" s="450"/>
      <c r="Q46" s="278"/>
      <c r="R46" s="279"/>
      <c r="S46" s="280"/>
    </row>
    <row r="47" spans="1:19" s="282" customFormat="1" ht="9.4499999999999993" customHeight="1" x14ac:dyDescent="0.25">
      <c r="A47" s="448"/>
      <c r="B47" s="449"/>
      <c r="C47" s="449"/>
      <c r="D47" s="449"/>
      <c r="E47" s="420"/>
      <c r="F47" s="449"/>
      <c r="G47" s="449"/>
      <c r="H47" s="449"/>
      <c r="I47" s="449"/>
      <c r="J47" s="420"/>
      <c r="K47" s="449"/>
      <c r="L47" s="449"/>
      <c r="M47" s="449"/>
      <c r="N47" s="449"/>
      <c r="O47" s="276"/>
      <c r="P47" s="276"/>
      <c r="Q47" s="278"/>
      <c r="R47" s="279"/>
      <c r="S47" s="280"/>
    </row>
    <row r="48" spans="1:19" s="327" customFormat="1" ht="6.75" customHeight="1" x14ac:dyDescent="0.25">
      <c r="A48" s="321"/>
      <c r="B48" s="321"/>
      <c r="C48" s="321"/>
      <c r="D48" s="321"/>
      <c r="E48" s="321"/>
      <c r="F48" s="453"/>
      <c r="G48" s="453"/>
      <c r="H48" s="453"/>
      <c r="I48" s="453"/>
      <c r="J48" s="323"/>
      <c r="K48" s="324"/>
      <c r="L48" s="325"/>
      <c r="M48" s="324"/>
      <c r="N48" s="325"/>
      <c r="O48" s="324"/>
      <c r="P48" s="325"/>
      <c r="Q48" s="324"/>
      <c r="R48" s="325"/>
      <c r="S48" s="326"/>
    </row>
    <row r="49" spans="1:18" s="340" customFormat="1" ht="10.5" customHeight="1" x14ac:dyDescent="0.25">
      <c r="A49" s="328" t="s">
        <v>32</v>
      </c>
      <c r="B49" s="329"/>
      <c r="C49" s="329"/>
      <c r="D49" s="330"/>
      <c r="E49" s="331" t="s">
        <v>3</v>
      </c>
      <c r="F49" s="332" t="s">
        <v>34</v>
      </c>
      <c r="G49" s="331"/>
      <c r="H49" s="333"/>
      <c r="I49" s="334"/>
      <c r="J49" s="331" t="s">
        <v>3</v>
      </c>
      <c r="K49" s="332" t="s">
        <v>41</v>
      </c>
      <c r="L49" s="335"/>
      <c r="M49" s="332" t="s">
        <v>42</v>
      </c>
      <c r="N49" s="336"/>
      <c r="O49" s="337" t="s">
        <v>43</v>
      </c>
      <c r="P49" s="337"/>
      <c r="Q49" s="338"/>
      <c r="R49" s="339"/>
    </row>
    <row r="50" spans="1:18" s="340" customFormat="1" ht="9" customHeight="1" x14ac:dyDescent="0.25">
      <c r="A50" s="454" t="s">
        <v>33</v>
      </c>
      <c r="B50" s="455"/>
      <c r="C50" s="456"/>
      <c r="D50" s="457"/>
      <c r="E50" s="458">
        <v>1</v>
      </c>
      <c r="F50" s="341" t="str">
        <f>IF(E50&gt;$R$57,,UPPER(VLOOKUP(E50,'[2]1MD ELO'!$A$7:$Q$134,2)))</f>
        <v/>
      </c>
      <c r="G50" s="347"/>
      <c r="H50" s="341"/>
      <c r="I50" s="348"/>
      <c r="J50" s="459" t="s">
        <v>4</v>
      </c>
      <c r="K50" s="460"/>
      <c r="L50" s="461"/>
      <c r="M50" s="460"/>
      <c r="N50" s="462"/>
      <c r="O50" s="463" t="s">
        <v>35</v>
      </c>
      <c r="P50" s="464"/>
      <c r="Q50" s="464"/>
      <c r="R50" s="465"/>
    </row>
    <row r="51" spans="1:18" s="340" customFormat="1" ht="9" customHeight="1" x14ac:dyDescent="0.25">
      <c r="A51" s="466" t="s">
        <v>40</v>
      </c>
      <c r="B51" s="467"/>
      <c r="C51" s="468"/>
      <c r="D51" s="469"/>
      <c r="E51" s="458">
        <v>2</v>
      </c>
      <c r="F51" s="341" t="str">
        <f>IF(E51&gt;$R$57,,UPPER(VLOOKUP(E51,'[2]1MD ELO'!$A$7:$Q$134,2)))</f>
        <v/>
      </c>
      <c r="G51" s="347"/>
      <c r="H51" s="341"/>
      <c r="I51" s="348"/>
      <c r="J51" s="459" t="s">
        <v>5</v>
      </c>
      <c r="K51" s="460"/>
      <c r="L51" s="461"/>
      <c r="M51" s="460"/>
      <c r="N51" s="462"/>
      <c r="O51" s="470"/>
      <c r="P51" s="471"/>
      <c r="Q51" s="467"/>
      <c r="R51" s="472"/>
    </row>
    <row r="52" spans="1:18" s="340" customFormat="1" ht="9" customHeight="1" x14ac:dyDescent="0.25">
      <c r="A52" s="362"/>
      <c r="B52" s="363"/>
      <c r="C52" s="364"/>
      <c r="D52" s="365"/>
      <c r="E52" s="458">
        <v>3</v>
      </c>
      <c r="F52" s="341" t="str">
        <f>IF(E52&gt;$R$57,,UPPER(VLOOKUP(E52,'[2]1MD ELO'!$A$7:$Q$134,2)))</f>
        <v/>
      </c>
      <c r="G52" s="347"/>
      <c r="H52" s="341"/>
      <c r="I52" s="348"/>
      <c r="J52" s="459" t="s">
        <v>6</v>
      </c>
      <c r="K52" s="460"/>
      <c r="L52" s="461"/>
      <c r="M52" s="460"/>
      <c r="N52" s="462"/>
      <c r="O52" s="463" t="s">
        <v>36</v>
      </c>
      <c r="P52" s="464"/>
      <c r="Q52" s="464"/>
      <c r="R52" s="465"/>
    </row>
    <row r="53" spans="1:18" s="340" customFormat="1" ht="9" customHeight="1" x14ac:dyDescent="0.25">
      <c r="A53" s="366"/>
      <c r="B53" s="252"/>
      <c r="C53" s="252"/>
      <c r="D53" s="367"/>
      <c r="E53" s="458">
        <v>4</v>
      </c>
      <c r="F53" s="341" t="str">
        <f>IF(E53&gt;$R$57,,UPPER(VLOOKUP(E53,'[2]1MD ELO'!$A$7:$Q$134,2)))</f>
        <v/>
      </c>
      <c r="G53" s="347"/>
      <c r="H53" s="341"/>
      <c r="I53" s="348"/>
      <c r="J53" s="459" t="s">
        <v>7</v>
      </c>
      <c r="K53" s="460"/>
      <c r="L53" s="461"/>
      <c r="M53" s="460"/>
      <c r="N53" s="462"/>
      <c r="O53" s="460"/>
      <c r="P53" s="461"/>
      <c r="Q53" s="460"/>
      <c r="R53" s="462"/>
    </row>
    <row r="54" spans="1:18" s="340" customFormat="1" ht="9" customHeight="1" x14ac:dyDescent="0.25">
      <c r="A54" s="368"/>
      <c r="B54" s="369"/>
      <c r="C54" s="369"/>
      <c r="D54" s="370"/>
      <c r="E54" s="458"/>
      <c r="F54" s="341"/>
      <c r="G54" s="347"/>
      <c r="H54" s="341"/>
      <c r="I54" s="348"/>
      <c r="J54" s="459" t="s">
        <v>8</v>
      </c>
      <c r="K54" s="460"/>
      <c r="L54" s="461"/>
      <c r="M54" s="460"/>
      <c r="N54" s="462"/>
      <c r="O54" s="467"/>
      <c r="P54" s="471"/>
      <c r="Q54" s="467"/>
      <c r="R54" s="472"/>
    </row>
    <row r="55" spans="1:18" s="340" customFormat="1" ht="9" customHeight="1" x14ac:dyDescent="0.25">
      <c r="A55" s="371"/>
      <c r="B55" s="372"/>
      <c r="C55" s="252"/>
      <c r="D55" s="367"/>
      <c r="E55" s="458"/>
      <c r="F55" s="341"/>
      <c r="G55" s="347"/>
      <c r="H55" s="341"/>
      <c r="I55" s="348"/>
      <c r="J55" s="459" t="s">
        <v>9</v>
      </c>
      <c r="K55" s="460"/>
      <c r="L55" s="461"/>
      <c r="M55" s="460"/>
      <c r="N55" s="462"/>
      <c r="O55" s="463" t="s">
        <v>28</v>
      </c>
      <c r="P55" s="464"/>
      <c r="Q55" s="464"/>
      <c r="R55" s="465"/>
    </row>
    <row r="56" spans="1:18" s="340" customFormat="1" ht="9" customHeight="1" x14ac:dyDescent="0.25">
      <c r="A56" s="371"/>
      <c r="B56" s="372"/>
      <c r="C56" s="373"/>
      <c r="D56" s="374"/>
      <c r="E56" s="458"/>
      <c r="F56" s="341"/>
      <c r="G56" s="347"/>
      <c r="H56" s="341"/>
      <c r="I56" s="348"/>
      <c r="J56" s="459" t="s">
        <v>10</v>
      </c>
      <c r="K56" s="460"/>
      <c r="L56" s="461"/>
      <c r="M56" s="460"/>
      <c r="N56" s="462"/>
      <c r="O56" s="460"/>
      <c r="P56" s="461"/>
      <c r="Q56" s="460"/>
      <c r="R56" s="462"/>
    </row>
    <row r="57" spans="1:18" s="340" customFormat="1" ht="9" customHeight="1" x14ac:dyDescent="0.25">
      <c r="A57" s="375"/>
      <c r="B57" s="376"/>
      <c r="C57" s="377"/>
      <c r="D57" s="378"/>
      <c r="E57" s="473"/>
      <c r="F57" s="359"/>
      <c r="G57" s="379"/>
      <c r="H57" s="359"/>
      <c r="I57" s="380"/>
      <c r="J57" s="474" t="s">
        <v>11</v>
      </c>
      <c r="K57" s="467"/>
      <c r="L57" s="471"/>
      <c r="M57" s="467"/>
      <c r="N57" s="472"/>
      <c r="O57" s="467">
        <f>R4</f>
        <v>0</v>
      </c>
      <c r="P57" s="471"/>
      <c r="Q57" s="467"/>
      <c r="R57" s="382">
        <f>MIN(4,'[2]1MD ELO'!Q5)</f>
        <v>4</v>
      </c>
    </row>
  </sheetData>
  <mergeCells count="2">
    <mergeCell ref="A4:C4"/>
    <mergeCell ref="M34:N34"/>
  </mergeCells>
  <conditionalFormatting sqref="B39 B41 B43 B45 B47">
    <cfRule type="cellIs" dxfId="158" priority="16" stopIfTrue="1" operator="equal">
      <formula>"QA"</formula>
    </cfRule>
    <cfRule type="cellIs" dxfId="157" priority="17" stopIfTrue="1" operator="equal">
      <formula>"DA"</formula>
    </cfRule>
  </conditionalFormatting>
  <conditionalFormatting sqref="E7 E9 E11 E13 E15 E17 E19 E21 E23 E25 E27 E29 E31 E33 E35 E37">
    <cfRule type="expression" dxfId="156" priority="19" stopIfTrue="1">
      <formula>$E7&lt;5</formula>
    </cfRule>
  </conditionalFormatting>
  <conditionalFormatting sqref="E39 E41 E43 E45 E47">
    <cfRule type="expression" dxfId="155" priority="11" stopIfTrue="1">
      <formula>AND($E39&lt;9,$C39&gt;0)</formula>
    </cfRule>
  </conditionalFormatting>
  <conditionalFormatting sqref="F7">
    <cfRule type="cellIs" dxfId="154" priority="6" stopIfTrue="1" operator="equal">
      <formula>"Bye"</formula>
    </cfRule>
  </conditionalFormatting>
  <conditionalFormatting sqref="F9 F35">
    <cfRule type="cellIs" dxfId="153" priority="20" stopIfTrue="1" operator="equal">
      <formula>"Bye"</formula>
    </cfRule>
  </conditionalFormatting>
  <conditionalFormatting sqref="F11 F13 F15 F17 F19 F21 F23 F25 F27 F29 F31 F33">
    <cfRule type="cellIs" dxfId="152" priority="4" stopIfTrue="1" operator="equal">
      <formula>"Bye"</formula>
    </cfRule>
  </conditionalFormatting>
  <conditionalFormatting sqref="F37">
    <cfRule type="cellIs" dxfId="151" priority="2" stopIfTrue="1" operator="equal">
      <formula>"Bye"</formula>
    </cfRule>
  </conditionalFormatting>
  <conditionalFormatting sqref="F39 F41 F43 F45 F47">
    <cfRule type="cellIs" dxfId="150" priority="12" stopIfTrue="1" operator="equal">
      <formula>"Bye"</formula>
    </cfRule>
    <cfRule type="expression" dxfId="149" priority="13" stopIfTrue="1">
      <formula>AND($E39&lt;9,$C39&gt;0)</formula>
    </cfRule>
  </conditionalFormatting>
  <conditionalFormatting sqref="H7">
    <cfRule type="expression" dxfId="148" priority="5" stopIfTrue="1">
      <formula>AND($E7&lt;9,$C7&gt;0)</formula>
    </cfRule>
  </conditionalFormatting>
  <conditionalFormatting sqref="H9 H35 G39:I39 G41:I41 G43:I43 G45:I45 G47:I47">
    <cfRule type="expression" dxfId="147" priority="7" stopIfTrue="1">
      <formula>AND($E9&lt;9,$C9&gt;0)</formula>
    </cfRule>
  </conditionalFormatting>
  <conditionalFormatting sqref="H11 H13 H15 H17 H19 H21 H23 H25 H27 H29 H31 H33">
    <cfRule type="expression" dxfId="146" priority="3" stopIfTrue="1">
      <formula>AND($E11&lt;9,$C11&gt;0)</formula>
    </cfRule>
  </conditionalFormatting>
  <conditionalFormatting sqref="H37">
    <cfRule type="expression" dxfId="145" priority="1" stopIfTrue="1">
      <formula>AND($E37&lt;9,$C37&gt;0)</formula>
    </cfRule>
  </conditionalFormatting>
  <conditionalFormatting sqref="I8 K10 I12 M14 I16 K18 I20 O22 I24 K26 I28 M30 I32 K34 I36 M40 I42 K44 I46">
    <cfRule type="expression" dxfId="144" priority="8" stopIfTrue="1">
      <formula>AND($O$1="CU",I8="Umpire")</formula>
    </cfRule>
    <cfRule type="expression" dxfId="143" priority="9" stopIfTrue="1">
      <formula>AND($O$1="CU",I8&lt;&gt;"Umpire",J8&lt;&gt;"")</formula>
    </cfRule>
    <cfRule type="expression" dxfId="142" priority="10" stopIfTrue="1">
      <formula>AND($O$1="CU",I8&lt;&gt;"Umpire")</formula>
    </cfRule>
  </conditionalFormatting>
  <conditionalFormatting sqref="J8 L10 J12 N14 J16 L18 J20 P22 J24 L26 J28 N30 J32 L34 J36 R57">
    <cfRule type="expression" dxfId="141" priority="18" stopIfTrue="1">
      <formula>$O$1="CU"</formula>
    </cfRule>
  </conditionalFormatting>
  <conditionalFormatting sqref="K8 M10 K12 O14 K16 M18 K20 Q22 K24 M26 K28 O30 K32 K36 O40 K42 M44 K46">
    <cfRule type="expression" dxfId="140" priority="14" stopIfTrue="1">
      <formula>J8="as"</formula>
    </cfRule>
    <cfRule type="expression" dxfId="139" priority="15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A0E94998-4894-453D-A26D-760BC4779529}">
      <formula1>$U$7:$U$16</formula1>
    </dataValidation>
  </dataValidations>
  <printOptions horizontalCentered="1"/>
  <pageMargins left="0.35" right="0.35" top="0.39" bottom="0.39" header="0" footer="0"/>
  <pageSetup paperSize="9" scale="81" orientation="landscape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492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3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D134D-1226-4323-B75D-612DA486938E}">
  <sheetPr>
    <tabColor indexed="11"/>
  </sheetPr>
  <dimension ref="A1:AS140"/>
  <sheetViews>
    <sheetView workbookViewId="0">
      <selection activeCell="O15" sqref="O15"/>
    </sheetView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33203125" style="303" customWidth="1"/>
    <col min="5" max="5" width="4.33203125" style="303" customWidth="1"/>
    <col min="6" max="6" width="17" style="303" customWidth="1"/>
    <col min="7" max="7" width="2.6640625" style="303" customWidth="1"/>
    <col min="8" max="8" width="24.77734375" style="303" bestFit="1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27" width="0" style="303" hidden="1" customWidth="1"/>
    <col min="28" max="28" width="10.33203125" style="303" hidden="1" customWidth="1"/>
    <col min="29" max="34" width="0" style="303" hidden="1" customWidth="1"/>
    <col min="35" max="37" width="9.109375" style="385" customWidth="1"/>
    <col min="38" max="16384" width="8.77734375" style="303"/>
  </cols>
  <sheetData>
    <row r="1" spans="1:45" s="224" customFormat="1" ht="21.75" customHeight="1" x14ac:dyDescent="0.25">
      <c r="A1" s="217" t="str">
        <f>[4]Altalanos!$A$6</f>
        <v>OB</v>
      </c>
      <c r="B1" s="217"/>
      <c r="C1" s="218"/>
      <c r="D1" s="218"/>
      <c r="E1" s="218"/>
      <c r="F1" s="218"/>
      <c r="G1" s="218"/>
      <c r="H1" s="217"/>
      <c r="I1" s="219"/>
      <c r="J1" s="220"/>
      <c r="K1" s="221" t="s">
        <v>39</v>
      </c>
      <c r="L1" s="222"/>
      <c r="M1" s="223"/>
      <c r="N1" s="220"/>
      <c r="O1" s="220" t="s">
        <v>12</v>
      </c>
      <c r="P1" s="220"/>
      <c r="Q1" s="218"/>
      <c r="R1" s="220"/>
      <c r="T1" s="225"/>
      <c r="U1" s="225"/>
      <c r="V1" s="225"/>
      <c r="W1" s="225"/>
      <c r="X1" s="225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  <c r="AI1" s="227"/>
      <c r="AJ1" s="227"/>
      <c r="AK1" s="227"/>
    </row>
    <row r="2" spans="1:45" s="233" customFormat="1" x14ac:dyDescent="0.25">
      <c r="A2" s="228" t="s">
        <v>38</v>
      </c>
      <c r="B2" s="229"/>
      <c r="C2" s="229"/>
      <c r="D2" s="229"/>
      <c r="E2" s="229">
        <f>[4]Altalanos!$A$8</f>
        <v>0</v>
      </c>
      <c r="F2" s="229"/>
      <c r="G2" s="230"/>
      <c r="H2" s="231"/>
      <c r="I2" s="231"/>
      <c r="J2" s="232"/>
      <c r="K2" s="222"/>
      <c r="L2" s="222"/>
      <c r="M2" s="222"/>
      <c r="N2" s="232"/>
      <c r="O2" s="231"/>
      <c r="P2" s="232"/>
      <c r="Q2" s="231"/>
      <c r="R2" s="232"/>
      <c r="T2" s="234"/>
      <c r="U2" s="234"/>
      <c r="V2" s="234"/>
      <c r="W2" s="234"/>
      <c r="X2" s="234"/>
      <c r="Y2" s="235"/>
      <c r="Z2" s="236"/>
      <c r="AA2" s="236" t="s">
        <v>52</v>
      </c>
      <c r="AB2" s="237">
        <v>300</v>
      </c>
      <c r="AC2" s="237">
        <v>250</v>
      </c>
      <c r="AD2" s="237">
        <v>200</v>
      </c>
      <c r="AE2" s="237">
        <v>150</v>
      </c>
      <c r="AF2" s="237">
        <v>120</v>
      </c>
      <c r="AG2" s="237">
        <v>90</v>
      </c>
      <c r="AH2" s="237">
        <v>40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</row>
    <row r="3" spans="1:45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T3" s="242"/>
      <c r="U3" s="242"/>
      <c r="V3" s="242"/>
      <c r="W3" s="242"/>
      <c r="X3" s="242"/>
      <c r="Y3" s="236" t="str">
        <f>IF(K4="OB","A",IF(K4="IX","W",IF(K4="","",K4)))</f>
        <v/>
      </c>
      <c r="Z3" s="236"/>
      <c r="AA3" s="236" t="s">
        <v>53</v>
      </c>
      <c r="AB3" s="237">
        <v>280</v>
      </c>
      <c r="AC3" s="237">
        <v>230</v>
      </c>
      <c r="AD3" s="237">
        <v>180</v>
      </c>
      <c r="AE3" s="237">
        <v>140</v>
      </c>
      <c r="AF3" s="237">
        <v>80</v>
      </c>
      <c r="AG3" s="237">
        <v>0</v>
      </c>
      <c r="AH3" s="237">
        <v>0</v>
      </c>
      <c r="AI3" s="234"/>
      <c r="AJ3" s="234"/>
      <c r="AK3" s="234"/>
      <c r="AL3" s="242"/>
      <c r="AM3" s="242"/>
      <c r="AN3" s="242"/>
      <c r="AO3" s="242"/>
      <c r="AP3" s="242"/>
      <c r="AQ3" s="242"/>
      <c r="AR3" s="242"/>
      <c r="AS3" s="242"/>
    </row>
    <row r="4" spans="1:45" s="250" customFormat="1" ht="11.25" customHeight="1" thickBot="1" x14ac:dyDescent="0.3">
      <c r="A4" s="243">
        <f>[4]Altalanos!$A$10</f>
        <v>0</v>
      </c>
      <c r="B4" s="243"/>
      <c r="C4" s="243"/>
      <c r="D4" s="244"/>
      <c r="E4" s="245"/>
      <c r="F4" s="245"/>
      <c r="G4" s="245">
        <f>[4]Altalanos!$C$10</f>
        <v>0</v>
      </c>
      <c r="H4" s="246"/>
      <c r="I4" s="245"/>
      <c r="J4" s="247"/>
      <c r="K4" s="137"/>
      <c r="L4" s="247"/>
      <c r="M4" s="248"/>
      <c r="N4" s="247"/>
      <c r="O4" s="245"/>
      <c r="P4" s="247"/>
      <c r="Q4" s="245"/>
      <c r="R4" s="249">
        <f>[4]Altalanos!$E$10</f>
        <v>0</v>
      </c>
      <c r="T4" s="251"/>
      <c r="U4" s="251"/>
      <c r="V4" s="251"/>
      <c r="W4" s="251"/>
      <c r="X4" s="251"/>
      <c r="Y4" s="236"/>
      <c r="Z4" s="236"/>
      <c r="AA4" s="236" t="s">
        <v>82</v>
      </c>
      <c r="AB4" s="237">
        <v>250</v>
      </c>
      <c r="AC4" s="237">
        <v>200</v>
      </c>
      <c r="AD4" s="237">
        <v>150</v>
      </c>
      <c r="AE4" s="237">
        <v>120</v>
      </c>
      <c r="AF4" s="237">
        <v>90</v>
      </c>
      <c r="AG4" s="237">
        <v>60</v>
      </c>
      <c r="AH4" s="237">
        <v>25</v>
      </c>
      <c r="AI4" s="234"/>
      <c r="AJ4" s="234"/>
      <c r="AK4" s="234"/>
      <c r="AL4" s="251"/>
      <c r="AM4" s="251"/>
      <c r="AN4" s="251"/>
      <c r="AO4" s="251"/>
      <c r="AP4" s="251"/>
      <c r="AQ4" s="251"/>
      <c r="AR4" s="251"/>
      <c r="AS4" s="251"/>
    </row>
    <row r="5" spans="1:45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45</v>
      </c>
      <c r="N5" s="256"/>
      <c r="O5" s="253" t="s">
        <v>44</v>
      </c>
      <c r="P5" s="256"/>
      <c r="Q5" s="253"/>
      <c r="R5" s="257"/>
      <c r="T5" s="242"/>
      <c r="U5" s="242"/>
      <c r="V5" s="242"/>
      <c r="W5" s="242"/>
      <c r="X5" s="242"/>
      <c r="Y5" s="236">
        <f>IF(OR([4]Altalanos!$A$8="F1",[4]Altalanos!$A$8="F2",[4]Altalanos!$A$8="N1",[4]Altalanos!$A$8="N2"),1,2)</f>
        <v>2</v>
      </c>
      <c r="Z5" s="236"/>
      <c r="AA5" s="236" t="s">
        <v>83</v>
      </c>
      <c r="AB5" s="237">
        <v>200</v>
      </c>
      <c r="AC5" s="237">
        <v>150</v>
      </c>
      <c r="AD5" s="237">
        <v>120</v>
      </c>
      <c r="AE5" s="237">
        <v>90</v>
      </c>
      <c r="AF5" s="237">
        <v>60</v>
      </c>
      <c r="AG5" s="237">
        <v>40</v>
      </c>
      <c r="AH5" s="237">
        <v>15</v>
      </c>
      <c r="AI5" s="234"/>
      <c r="AJ5" s="234"/>
      <c r="AK5" s="234"/>
      <c r="AL5" s="242"/>
      <c r="AM5" s="242"/>
      <c r="AN5" s="242"/>
      <c r="AO5" s="242"/>
      <c r="AP5" s="242"/>
      <c r="AQ5" s="242"/>
      <c r="AR5" s="242"/>
      <c r="AS5" s="242"/>
    </row>
    <row r="6" spans="1:45" s="264" customFormat="1" ht="10.95" customHeight="1" thickBot="1" x14ac:dyDescent="0.3">
      <c r="A6" s="258"/>
      <c r="B6" s="259"/>
      <c r="C6" s="259"/>
      <c r="D6" s="259"/>
      <c r="E6" s="259"/>
      <c r="F6" s="258" t="str">
        <f>IF(Y3="","",CONCATENATE(VLOOKUP(Y3,AB1:AH1,4)," pont"))</f>
        <v/>
      </c>
      <c r="G6" s="260"/>
      <c r="H6" s="261"/>
      <c r="I6" s="260"/>
      <c r="J6" s="262"/>
      <c r="K6" s="259" t="str">
        <f>IF(Y3="","",CONCATENATE(VLOOKUP(Y3,AB1:AH1,3)," pont"))</f>
        <v/>
      </c>
      <c r="L6" s="262"/>
      <c r="M6" s="259" t="str">
        <f>IF(Y3="","",CONCATENATE(VLOOKUP(Y3,AB1:AH1,2)," pont"))</f>
        <v/>
      </c>
      <c r="N6" s="262"/>
      <c r="O6" s="259" t="str">
        <f>IF(Y3="","",CONCATENATE(VLOOKUP(Y3,AB1:AH1,1)," pont"))</f>
        <v/>
      </c>
      <c r="P6" s="262"/>
      <c r="Q6" s="259"/>
      <c r="R6" s="263"/>
      <c r="T6" s="265"/>
      <c r="U6" s="265"/>
      <c r="V6" s="265"/>
      <c r="W6" s="265"/>
      <c r="X6" s="265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268"/>
      <c r="AJ6" s="268"/>
      <c r="AK6" s="268"/>
      <c r="AL6" s="265"/>
      <c r="AM6" s="265"/>
      <c r="AN6" s="265"/>
      <c r="AO6" s="265"/>
      <c r="AP6" s="265"/>
      <c r="AQ6" s="265"/>
      <c r="AR6" s="265"/>
      <c r="AS6" s="265"/>
    </row>
    <row r="7" spans="1:45" s="282" customFormat="1" ht="13.05" customHeight="1" x14ac:dyDescent="0.25">
      <c r="A7" s="269">
        <v>1</v>
      </c>
      <c r="B7" s="270" t="str">
        <f>IF($E7="","",VLOOKUP($E7,'[4]1MD ELO'!$A$7:$O$22,14))</f>
        <v/>
      </c>
      <c r="C7" s="271" t="str">
        <f>IF($E7="","",VLOOKUP($E7,'[4]1MD ELO'!$A$7:$O$22,15))</f>
        <v/>
      </c>
      <c r="D7" s="271" t="str">
        <f>IF($E7="","",VLOOKUP($E7,'[4]1MD ELO'!$A$7:$O$22,5))</f>
        <v/>
      </c>
      <c r="E7" s="272"/>
      <c r="F7" s="273" t="s">
        <v>166</v>
      </c>
      <c r="G7" s="273" t="str">
        <f>IF($E7="","",VLOOKUP($E7,'[4]1MD ELO'!$A$7:$O$22,3))</f>
        <v/>
      </c>
      <c r="H7" s="303" t="s">
        <v>136</v>
      </c>
      <c r="I7" s="273" t="str">
        <f>IF($E7="","",VLOOKUP($E7,'[4]1MD ELO'!$A$7:$O$22,4))</f>
        <v/>
      </c>
      <c r="J7" s="274"/>
      <c r="K7" s="275"/>
      <c r="L7" s="275"/>
      <c r="M7" s="275"/>
      <c r="N7" s="275"/>
      <c r="O7" s="276"/>
      <c r="P7" s="277"/>
      <c r="Q7" s="278"/>
      <c r="R7" s="279"/>
      <c r="S7" s="280"/>
      <c r="T7" s="280"/>
      <c r="U7" s="281" t="str">
        <f>[4]Birók!P21</f>
        <v>Bíró</v>
      </c>
      <c r="V7" s="280"/>
      <c r="W7" s="280"/>
      <c r="X7" s="280"/>
      <c r="Y7" s="236"/>
      <c r="Z7" s="236"/>
      <c r="AA7" s="236" t="s">
        <v>85</v>
      </c>
      <c r="AB7" s="237">
        <v>120</v>
      </c>
      <c r="AC7" s="237">
        <v>90</v>
      </c>
      <c r="AD7" s="237">
        <v>60</v>
      </c>
      <c r="AE7" s="237">
        <v>40</v>
      </c>
      <c r="AF7" s="237">
        <v>25</v>
      </c>
      <c r="AG7" s="237">
        <v>10</v>
      </c>
      <c r="AH7" s="237">
        <v>5</v>
      </c>
      <c r="AI7" s="234"/>
      <c r="AJ7" s="234"/>
      <c r="AK7" s="234"/>
      <c r="AL7" s="280"/>
      <c r="AM7" s="280"/>
      <c r="AN7" s="280"/>
      <c r="AO7" s="280"/>
      <c r="AP7" s="280"/>
      <c r="AQ7" s="280"/>
      <c r="AR7" s="280"/>
      <c r="AS7" s="280"/>
    </row>
    <row r="8" spans="1:45" s="282" customFormat="1" ht="13.05" customHeight="1" x14ac:dyDescent="0.25">
      <c r="A8" s="283"/>
      <c r="B8" s="284"/>
      <c r="C8" s="285"/>
      <c r="D8" s="285"/>
      <c r="E8" s="286"/>
      <c r="F8" s="287"/>
      <c r="G8" s="287"/>
      <c r="H8" s="288"/>
      <c r="I8" s="289" t="s">
        <v>0</v>
      </c>
      <c r="J8" s="290"/>
      <c r="K8" s="291" t="s">
        <v>167</v>
      </c>
      <c r="L8" s="291"/>
      <c r="M8" s="275"/>
      <c r="N8" s="275"/>
      <c r="O8" s="276"/>
      <c r="P8" s="277"/>
      <c r="Q8" s="278"/>
      <c r="R8" s="279"/>
      <c r="S8" s="280"/>
      <c r="T8" s="280"/>
      <c r="U8" s="292" t="str">
        <f>[4]Birók!P22</f>
        <v xml:space="preserve"> </v>
      </c>
      <c r="V8" s="280"/>
      <c r="W8" s="280"/>
      <c r="X8" s="280"/>
      <c r="Y8" s="236"/>
      <c r="Z8" s="236"/>
      <c r="AA8" s="236" t="s">
        <v>86</v>
      </c>
      <c r="AB8" s="237">
        <v>90</v>
      </c>
      <c r="AC8" s="237">
        <v>60</v>
      </c>
      <c r="AD8" s="237">
        <v>40</v>
      </c>
      <c r="AE8" s="237">
        <v>25</v>
      </c>
      <c r="AF8" s="237">
        <v>10</v>
      </c>
      <c r="AG8" s="237">
        <v>5</v>
      </c>
      <c r="AH8" s="237">
        <v>2</v>
      </c>
      <c r="AI8" s="234"/>
      <c r="AJ8" s="234"/>
      <c r="AK8" s="234"/>
      <c r="AL8" s="280"/>
      <c r="AM8" s="280"/>
      <c r="AN8" s="280"/>
      <c r="AO8" s="280"/>
      <c r="AP8" s="280"/>
      <c r="AQ8" s="280"/>
      <c r="AR8" s="280"/>
      <c r="AS8" s="280"/>
    </row>
    <row r="9" spans="1:45" s="282" customFormat="1" ht="13.05" customHeight="1" x14ac:dyDescent="0.25">
      <c r="A9" s="283">
        <v>2</v>
      </c>
      <c r="B9" s="270" t="str">
        <f>IF($E9="","",VLOOKUP($E9,'[4]1MD ELO'!$A$7:$O$22,14))</f>
        <v/>
      </c>
      <c r="C9" s="271" t="str">
        <f>IF($E9="","",VLOOKUP($E9,'[4]1MD ELO'!$A$7:$O$22,15))</f>
        <v/>
      </c>
      <c r="D9" s="271" t="str">
        <f>IF($E9="","",VLOOKUP($E9,'[4]1MD ELO'!$A$7:$O$22,5))</f>
        <v/>
      </c>
      <c r="E9" s="293"/>
      <c r="F9" s="294" t="s">
        <v>168</v>
      </c>
      <c r="G9" s="294" t="str">
        <f>IF($E9="","",VLOOKUP($E9,'[4]1MD ELO'!$A$7:$O$22,3))</f>
        <v/>
      </c>
      <c r="H9" s="303" t="s">
        <v>147</v>
      </c>
      <c r="I9" s="294" t="str">
        <f>IF($E9="","",VLOOKUP($E9,'[4]1MD ELO'!$A$7:$O$22,4))</f>
        <v/>
      </c>
      <c r="J9" s="295"/>
      <c r="K9" s="275" t="s">
        <v>114</v>
      </c>
      <c r="L9" s="296"/>
      <c r="M9" s="275"/>
      <c r="N9" s="275"/>
      <c r="O9" s="276"/>
      <c r="P9" s="277"/>
      <c r="Q9" s="278"/>
      <c r="R9" s="279"/>
      <c r="S9" s="280"/>
      <c r="T9" s="280"/>
      <c r="U9" s="292" t="str">
        <f>[4]Birók!P23</f>
        <v xml:space="preserve"> </v>
      </c>
      <c r="V9" s="280"/>
      <c r="W9" s="280"/>
      <c r="X9" s="280"/>
      <c r="Y9" s="236"/>
      <c r="Z9" s="236"/>
      <c r="AA9" s="236" t="s">
        <v>87</v>
      </c>
      <c r="AB9" s="237">
        <v>60</v>
      </c>
      <c r="AC9" s="237">
        <v>40</v>
      </c>
      <c r="AD9" s="237">
        <v>25</v>
      </c>
      <c r="AE9" s="237">
        <v>10</v>
      </c>
      <c r="AF9" s="237">
        <v>5</v>
      </c>
      <c r="AG9" s="237">
        <v>2</v>
      </c>
      <c r="AH9" s="237">
        <v>1</v>
      </c>
      <c r="AI9" s="234"/>
      <c r="AJ9" s="234"/>
      <c r="AK9" s="234"/>
      <c r="AL9" s="280"/>
      <c r="AM9" s="280"/>
      <c r="AN9" s="280"/>
      <c r="AO9" s="280"/>
      <c r="AP9" s="280"/>
      <c r="AQ9" s="280"/>
      <c r="AR9" s="280"/>
      <c r="AS9" s="280"/>
    </row>
    <row r="10" spans="1:45" s="282" customFormat="1" ht="13.05" customHeight="1" x14ac:dyDescent="0.25">
      <c r="A10" s="283"/>
      <c r="B10" s="284"/>
      <c r="C10" s="285"/>
      <c r="D10" s="285"/>
      <c r="E10" s="297"/>
      <c r="F10" s="287"/>
      <c r="G10" s="287"/>
      <c r="H10" s="288"/>
      <c r="I10" s="287"/>
      <c r="J10" s="298"/>
      <c r="K10" s="289" t="s">
        <v>0</v>
      </c>
      <c r="L10" s="299"/>
      <c r="M10" s="291" t="s">
        <v>167</v>
      </c>
      <c r="N10" s="300"/>
      <c r="O10" s="301"/>
      <c r="P10" s="301"/>
      <c r="Q10" s="278"/>
      <c r="R10" s="279"/>
      <c r="S10" s="280"/>
      <c r="T10" s="280"/>
      <c r="U10" s="292" t="str">
        <f>[4]Birók!P24</f>
        <v xml:space="preserve"> </v>
      </c>
      <c r="V10" s="280"/>
      <c r="W10" s="280"/>
      <c r="X10" s="280"/>
      <c r="Y10" s="236"/>
      <c r="Z10" s="236"/>
      <c r="AA10" s="236" t="s">
        <v>88</v>
      </c>
      <c r="AB10" s="237">
        <v>40</v>
      </c>
      <c r="AC10" s="237">
        <v>25</v>
      </c>
      <c r="AD10" s="237">
        <v>15</v>
      </c>
      <c r="AE10" s="237">
        <v>7</v>
      </c>
      <c r="AF10" s="237">
        <v>4</v>
      </c>
      <c r="AG10" s="237">
        <v>1</v>
      </c>
      <c r="AH10" s="237">
        <v>0</v>
      </c>
      <c r="AI10" s="234"/>
      <c r="AJ10" s="234"/>
      <c r="AK10" s="234"/>
      <c r="AL10" s="280"/>
      <c r="AM10" s="280"/>
      <c r="AN10" s="280"/>
      <c r="AO10" s="280"/>
      <c r="AP10" s="280"/>
      <c r="AQ10" s="280"/>
      <c r="AR10" s="280"/>
      <c r="AS10" s="280"/>
    </row>
    <row r="11" spans="1:45" s="282" customFormat="1" ht="13.05" customHeight="1" x14ac:dyDescent="0.25">
      <c r="A11" s="283">
        <v>3</v>
      </c>
      <c r="B11" s="270" t="str">
        <f>IF($E11="","",VLOOKUP($E11,'[4]1MD ELO'!$A$7:$O$22,14))</f>
        <v/>
      </c>
      <c r="C11" s="271" t="str">
        <f>IF($E11="","",VLOOKUP($E11,'[4]1MD ELO'!$A$7:$O$22,15))</f>
        <v/>
      </c>
      <c r="D11" s="271" t="str">
        <f>IF($E11="","",VLOOKUP($E11,'[4]1MD ELO'!$A$7:$O$22,5))</f>
        <v/>
      </c>
      <c r="E11" s="293"/>
      <c r="F11" s="294" t="s">
        <v>169</v>
      </c>
      <c r="G11" s="294" t="str">
        <f>IF($E11="","",VLOOKUP($E11,'[4]1MD ELO'!$A$7:$O$22,3))</f>
        <v/>
      </c>
      <c r="H11" s="303" t="s">
        <v>144</v>
      </c>
      <c r="I11" s="294" t="str">
        <f>IF($E11="","",VLOOKUP($E11,'[4]1MD ELO'!$A$7:$O$22,4))</f>
        <v/>
      </c>
      <c r="J11" s="274"/>
      <c r="K11" s="275"/>
      <c r="L11" s="302"/>
      <c r="M11" s="275" t="s">
        <v>114</v>
      </c>
      <c r="N11" s="304"/>
      <c r="O11" s="301"/>
      <c r="P11" s="301"/>
      <c r="Q11" s="278"/>
      <c r="R11" s="279"/>
      <c r="S11" s="280"/>
      <c r="T11" s="280"/>
      <c r="U11" s="292" t="str">
        <f>[4]Birók!P25</f>
        <v xml:space="preserve"> </v>
      </c>
      <c r="V11" s="280"/>
      <c r="W11" s="280"/>
      <c r="X11" s="280"/>
      <c r="Y11" s="236"/>
      <c r="Z11" s="236"/>
      <c r="AA11" s="236" t="s">
        <v>89</v>
      </c>
      <c r="AB11" s="237">
        <v>25</v>
      </c>
      <c r="AC11" s="237">
        <v>15</v>
      </c>
      <c r="AD11" s="237">
        <v>10</v>
      </c>
      <c r="AE11" s="237">
        <v>6</v>
      </c>
      <c r="AF11" s="237">
        <v>3</v>
      </c>
      <c r="AG11" s="237">
        <v>1</v>
      </c>
      <c r="AH11" s="237">
        <v>0</v>
      </c>
      <c r="AI11" s="234"/>
      <c r="AJ11" s="234"/>
      <c r="AK11" s="234"/>
      <c r="AL11" s="280"/>
      <c r="AM11" s="280"/>
      <c r="AN11" s="280"/>
      <c r="AO11" s="280"/>
      <c r="AP11" s="280"/>
      <c r="AQ11" s="280"/>
      <c r="AR11" s="280"/>
      <c r="AS11" s="280"/>
    </row>
    <row r="12" spans="1:45" s="282" customFormat="1" ht="13.05" customHeight="1" x14ac:dyDescent="0.25">
      <c r="A12" s="283"/>
      <c r="B12" s="284"/>
      <c r="C12" s="285"/>
      <c r="D12" s="285"/>
      <c r="E12" s="297"/>
      <c r="F12" s="287"/>
      <c r="G12" s="287"/>
      <c r="H12" s="288"/>
      <c r="I12" s="289" t="s">
        <v>0</v>
      </c>
      <c r="J12" s="290"/>
      <c r="K12" s="291" t="s">
        <v>170</v>
      </c>
      <c r="L12" s="305"/>
      <c r="M12" s="275"/>
      <c r="N12" s="304"/>
      <c r="O12" s="301"/>
      <c r="P12" s="301"/>
      <c r="Q12" s="278"/>
      <c r="R12" s="279"/>
      <c r="S12" s="280"/>
      <c r="T12" s="280"/>
      <c r="U12" s="292" t="str">
        <f>[4]Birók!P26</f>
        <v xml:space="preserve"> </v>
      </c>
      <c r="V12" s="280"/>
      <c r="W12" s="280"/>
      <c r="X12" s="280"/>
      <c r="Y12" s="236"/>
      <c r="Z12" s="236"/>
      <c r="AA12" s="236" t="s">
        <v>94</v>
      </c>
      <c r="AB12" s="237">
        <v>15</v>
      </c>
      <c r="AC12" s="237">
        <v>10</v>
      </c>
      <c r="AD12" s="237">
        <v>6</v>
      </c>
      <c r="AE12" s="237">
        <v>3</v>
      </c>
      <c r="AF12" s="237">
        <v>1</v>
      </c>
      <c r="AG12" s="237">
        <v>0</v>
      </c>
      <c r="AH12" s="237">
        <v>0</v>
      </c>
      <c r="AI12" s="234"/>
      <c r="AJ12" s="234"/>
      <c r="AK12" s="234"/>
      <c r="AL12" s="280"/>
      <c r="AM12" s="280"/>
      <c r="AN12" s="280"/>
      <c r="AO12" s="280"/>
      <c r="AP12" s="280"/>
      <c r="AQ12" s="280"/>
      <c r="AR12" s="280"/>
      <c r="AS12" s="280"/>
    </row>
    <row r="13" spans="1:45" s="282" customFormat="1" ht="13.05" customHeight="1" x14ac:dyDescent="0.25">
      <c r="A13" s="283">
        <v>4</v>
      </c>
      <c r="B13" s="270" t="str">
        <f>IF($E13="","",VLOOKUP($E13,'[4]1MD ELO'!$A$7:$O$22,14))</f>
        <v/>
      </c>
      <c r="C13" s="271" t="str">
        <f>IF($E13="","",VLOOKUP($E13,'[4]1MD ELO'!$A$7:$O$22,15))</f>
        <v/>
      </c>
      <c r="D13" s="271" t="str">
        <f>IF($E13="","",VLOOKUP($E13,'[4]1MD ELO'!$A$7:$O$22,5))</f>
        <v/>
      </c>
      <c r="E13" s="293"/>
      <c r="F13" s="294" t="s">
        <v>171</v>
      </c>
      <c r="G13" s="294" t="str">
        <f>IF($E13="","",VLOOKUP($E13,'[4]1MD ELO'!$A$7:$O$22,3))</f>
        <v/>
      </c>
      <c r="H13" s="303" t="s">
        <v>147</v>
      </c>
      <c r="I13" s="294" t="str">
        <f>IF($E13="","",VLOOKUP($E13,'[4]1MD ELO'!$A$7:$O$22,4))</f>
        <v/>
      </c>
      <c r="J13" s="306"/>
      <c r="K13" s="275" t="s">
        <v>172</v>
      </c>
      <c r="L13" s="275"/>
      <c r="M13" s="275"/>
      <c r="N13" s="304"/>
      <c r="O13" s="301"/>
      <c r="P13" s="301"/>
      <c r="Q13" s="278"/>
      <c r="R13" s="279"/>
      <c r="S13" s="280"/>
      <c r="T13" s="280"/>
      <c r="U13" s="292" t="str">
        <f>[4]Birók!P27</f>
        <v xml:space="preserve"> </v>
      </c>
      <c r="V13" s="280"/>
      <c r="W13" s="280"/>
      <c r="X13" s="280"/>
      <c r="Y13" s="236"/>
      <c r="Z13" s="236"/>
      <c r="AA13" s="236" t="s">
        <v>90</v>
      </c>
      <c r="AB13" s="237">
        <v>10</v>
      </c>
      <c r="AC13" s="237">
        <v>6</v>
      </c>
      <c r="AD13" s="237">
        <v>3</v>
      </c>
      <c r="AE13" s="237">
        <v>1</v>
      </c>
      <c r="AF13" s="237">
        <v>0</v>
      </c>
      <c r="AG13" s="237">
        <v>0</v>
      </c>
      <c r="AH13" s="237">
        <v>0</v>
      </c>
      <c r="AI13" s="234"/>
      <c r="AJ13" s="234"/>
      <c r="AK13" s="234"/>
      <c r="AL13" s="280"/>
      <c r="AM13" s="280"/>
      <c r="AN13" s="280"/>
      <c r="AO13" s="280"/>
      <c r="AP13" s="280"/>
      <c r="AQ13" s="280"/>
      <c r="AR13" s="280"/>
      <c r="AS13" s="280"/>
    </row>
    <row r="14" spans="1:45" s="282" customFormat="1" ht="13.05" customHeight="1" x14ac:dyDescent="0.25">
      <c r="A14" s="283"/>
      <c r="B14" s="284"/>
      <c r="C14" s="285"/>
      <c r="D14" s="285"/>
      <c r="E14" s="297"/>
      <c r="F14" s="287"/>
      <c r="G14" s="287"/>
      <c r="H14" s="288"/>
      <c r="I14" s="287"/>
      <c r="J14" s="298"/>
      <c r="K14" s="275"/>
      <c r="L14" s="275"/>
      <c r="M14" s="289" t="s">
        <v>0</v>
      </c>
      <c r="N14" s="299"/>
      <c r="O14" s="291" t="s">
        <v>167</v>
      </c>
      <c r="P14" s="300"/>
      <c r="Q14" s="278"/>
      <c r="R14" s="279"/>
      <c r="S14" s="280"/>
      <c r="T14" s="280"/>
      <c r="U14" s="292" t="str">
        <f>[4]Birók!P28</f>
        <v xml:space="preserve"> </v>
      </c>
      <c r="V14" s="280"/>
      <c r="W14" s="280"/>
      <c r="X14" s="280"/>
      <c r="Y14" s="236"/>
      <c r="Z14" s="236"/>
      <c r="AA14" s="236" t="s">
        <v>91</v>
      </c>
      <c r="AB14" s="237">
        <v>3</v>
      </c>
      <c r="AC14" s="237">
        <v>2</v>
      </c>
      <c r="AD14" s="237">
        <v>1</v>
      </c>
      <c r="AE14" s="237">
        <v>0</v>
      </c>
      <c r="AF14" s="237">
        <v>0</v>
      </c>
      <c r="AG14" s="237">
        <v>0</v>
      </c>
      <c r="AH14" s="237">
        <v>0</v>
      </c>
      <c r="AI14" s="234"/>
      <c r="AJ14" s="234"/>
      <c r="AK14" s="234"/>
      <c r="AL14" s="280"/>
      <c r="AM14" s="280"/>
      <c r="AN14" s="280"/>
      <c r="AO14" s="280"/>
      <c r="AP14" s="280"/>
      <c r="AQ14" s="280"/>
      <c r="AR14" s="280"/>
      <c r="AS14" s="280"/>
    </row>
    <row r="15" spans="1:45" s="282" customFormat="1" ht="13.05" customHeight="1" x14ac:dyDescent="0.25">
      <c r="A15" s="307">
        <v>5</v>
      </c>
      <c r="B15" s="270" t="str">
        <f>IF($E15="","",VLOOKUP($E15,'[4]1MD ELO'!$A$7:$O$22,14))</f>
        <v/>
      </c>
      <c r="C15" s="271" t="str">
        <f>IF($E15="","",VLOOKUP($E15,'[4]1MD ELO'!$A$7:$O$22,15))</f>
        <v/>
      </c>
      <c r="D15" s="271" t="str">
        <f>IF($E15="","",VLOOKUP($E15,'[4]1MD ELO'!$A$7:$O$22,5))</f>
        <v/>
      </c>
      <c r="E15" s="293"/>
      <c r="F15" s="294" t="s">
        <v>173</v>
      </c>
      <c r="G15" s="294" t="str">
        <f>IF($E15="","",VLOOKUP($E15,'[4]1MD ELO'!$A$7:$O$22,3))</f>
        <v/>
      </c>
      <c r="H15" s="303" t="s">
        <v>144</v>
      </c>
      <c r="I15" s="294" t="str">
        <f>IF($E15="","",VLOOKUP($E15,'[4]1MD ELO'!$A$7:$O$22,4))</f>
        <v/>
      </c>
      <c r="J15" s="308"/>
      <c r="K15" s="275"/>
      <c r="L15" s="275"/>
      <c r="M15" s="275"/>
      <c r="N15" s="304"/>
      <c r="O15" s="275" t="s">
        <v>115</v>
      </c>
      <c r="P15" s="301"/>
      <c r="Q15" s="278"/>
      <c r="R15" s="279"/>
      <c r="S15" s="280"/>
      <c r="T15" s="280"/>
      <c r="U15" s="292" t="str">
        <f>[4]Birók!P29</f>
        <v xml:space="preserve"> </v>
      </c>
      <c r="V15" s="280"/>
      <c r="W15" s="280"/>
      <c r="X15" s="280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4"/>
      <c r="AJ15" s="234"/>
      <c r="AK15" s="234"/>
      <c r="AL15" s="280"/>
      <c r="AM15" s="280"/>
      <c r="AN15" s="280"/>
      <c r="AO15" s="280"/>
      <c r="AP15" s="280"/>
      <c r="AQ15" s="280"/>
      <c r="AR15" s="280"/>
      <c r="AS15" s="280"/>
    </row>
    <row r="16" spans="1:45" s="282" customFormat="1" ht="13.05" customHeight="1" thickBot="1" x14ac:dyDescent="0.3">
      <c r="A16" s="283"/>
      <c r="B16" s="284"/>
      <c r="C16" s="285"/>
      <c r="D16" s="285"/>
      <c r="E16" s="297"/>
      <c r="F16" s="287"/>
      <c r="G16" s="287"/>
      <c r="H16" s="288"/>
      <c r="I16" s="289" t="s">
        <v>0</v>
      </c>
      <c r="J16" s="290"/>
      <c r="K16" s="291" t="s">
        <v>174</v>
      </c>
      <c r="L16" s="291"/>
      <c r="M16" s="275"/>
      <c r="N16" s="304"/>
      <c r="O16" s="289"/>
      <c r="P16" s="301"/>
      <c r="Q16" s="278"/>
      <c r="R16" s="279"/>
      <c r="S16" s="280"/>
      <c r="T16" s="280"/>
      <c r="U16" s="309" t="str">
        <f>[4]Birók!P30</f>
        <v>Egyik sem</v>
      </c>
      <c r="V16" s="280"/>
      <c r="W16" s="280"/>
      <c r="X16" s="280"/>
      <c r="Y16" s="236"/>
      <c r="Z16" s="236"/>
      <c r="AA16" s="236" t="s">
        <v>52</v>
      </c>
      <c r="AB16" s="237">
        <v>150</v>
      </c>
      <c r="AC16" s="237">
        <v>120</v>
      </c>
      <c r="AD16" s="237">
        <v>90</v>
      </c>
      <c r="AE16" s="237">
        <v>60</v>
      </c>
      <c r="AF16" s="237">
        <v>40</v>
      </c>
      <c r="AG16" s="237">
        <v>25</v>
      </c>
      <c r="AH16" s="237">
        <v>15</v>
      </c>
      <c r="AI16" s="234"/>
      <c r="AJ16" s="234"/>
      <c r="AK16" s="234"/>
      <c r="AL16" s="280"/>
      <c r="AM16" s="280"/>
      <c r="AN16" s="280"/>
      <c r="AO16" s="280"/>
      <c r="AP16" s="280"/>
      <c r="AQ16" s="280"/>
      <c r="AR16" s="280"/>
      <c r="AS16" s="280"/>
    </row>
    <row r="17" spans="1:45" s="282" customFormat="1" ht="13.05" customHeight="1" x14ac:dyDescent="0.25">
      <c r="A17" s="283">
        <v>6</v>
      </c>
      <c r="B17" s="270" t="str">
        <f>IF($E17="","",VLOOKUP($E17,'[4]1MD ELO'!$A$7:$O$22,14))</f>
        <v/>
      </c>
      <c r="C17" s="271" t="str">
        <f>IF($E17="","",VLOOKUP($E17,'[4]1MD ELO'!$A$7:$O$22,15))</f>
        <v/>
      </c>
      <c r="D17" s="271" t="str">
        <f>IF($E17="","",VLOOKUP($E17,'[4]1MD ELO'!$A$7:$O$22,5))</f>
        <v/>
      </c>
      <c r="E17" s="293"/>
      <c r="F17" s="294" t="s">
        <v>175</v>
      </c>
      <c r="G17" s="294" t="str">
        <f>IF($E17="","",VLOOKUP($E17,'[4]1MD ELO'!$A$7:$O$22,3))</f>
        <v/>
      </c>
      <c r="H17" s="303" t="s">
        <v>162</v>
      </c>
      <c r="I17" s="294" t="str">
        <f>IF($E17="","",VLOOKUP($E17,'[4]1MD ELO'!$A$7:$O$22,4))</f>
        <v/>
      </c>
      <c r="J17" s="295"/>
      <c r="K17" s="275" t="s">
        <v>145</v>
      </c>
      <c r="L17" s="296"/>
      <c r="M17" s="275"/>
      <c r="N17" s="304"/>
      <c r="O17" s="301"/>
      <c r="P17" s="301"/>
      <c r="Q17" s="278"/>
      <c r="R17" s="279"/>
      <c r="S17" s="280"/>
      <c r="T17" s="280"/>
      <c r="U17" s="280"/>
      <c r="V17" s="280"/>
      <c r="W17" s="280"/>
      <c r="X17" s="280"/>
      <c r="Y17" s="236"/>
      <c r="Z17" s="236"/>
      <c r="AA17" s="236" t="s">
        <v>82</v>
      </c>
      <c r="AB17" s="237">
        <v>120</v>
      </c>
      <c r="AC17" s="237">
        <v>90</v>
      </c>
      <c r="AD17" s="237">
        <v>60</v>
      </c>
      <c r="AE17" s="237">
        <v>40</v>
      </c>
      <c r="AF17" s="237">
        <v>25</v>
      </c>
      <c r="AG17" s="237">
        <v>15</v>
      </c>
      <c r="AH17" s="237">
        <v>8</v>
      </c>
      <c r="AI17" s="234"/>
      <c r="AJ17" s="234"/>
      <c r="AK17" s="234"/>
      <c r="AL17" s="280"/>
      <c r="AM17" s="280"/>
      <c r="AN17" s="280"/>
      <c r="AO17" s="280"/>
      <c r="AP17" s="280"/>
      <c r="AQ17" s="280"/>
      <c r="AR17" s="280"/>
      <c r="AS17" s="280"/>
    </row>
    <row r="18" spans="1:45" s="282" customFormat="1" ht="13.05" customHeight="1" x14ac:dyDescent="0.25">
      <c r="A18" s="283"/>
      <c r="B18" s="284"/>
      <c r="C18" s="285"/>
      <c r="D18" s="285"/>
      <c r="E18" s="297"/>
      <c r="F18" s="287"/>
      <c r="G18" s="287"/>
      <c r="H18" s="288"/>
      <c r="I18" s="287"/>
      <c r="J18" s="298"/>
      <c r="K18" s="289" t="s">
        <v>0</v>
      </c>
      <c r="L18" s="299"/>
      <c r="M18" s="291" t="s">
        <v>176</v>
      </c>
      <c r="N18" s="310"/>
      <c r="O18" s="301"/>
      <c r="P18" s="301"/>
      <c r="Q18" s="278"/>
      <c r="R18" s="279"/>
      <c r="S18" s="280"/>
      <c r="T18" s="280"/>
      <c r="U18" s="280"/>
      <c r="V18" s="280"/>
      <c r="W18" s="280"/>
      <c r="X18" s="280"/>
      <c r="Y18" s="236"/>
      <c r="Z18" s="236"/>
      <c r="AA18" s="236" t="s">
        <v>83</v>
      </c>
      <c r="AB18" s="237">
        <v>90</v>
      </c>
      <c r="AC18" s="237">
        <v>60</v>
      </c>
      <c r="AD18" s="237">
        <v>40</v>
      </c>
      <c r="AE18" s="237">
        <v>25</v>
      </c>
      <c r="AF18" s="237">
        <v>15</v>
      </c>
      <c r="AG18" s="237">
        <v>8</v>
      </c>
      <c r="AH18" s="237">
        <v>4</v>
      </c>
      <c r="AI18" s="234"/>
      <c r="AJ18" s="234"/>
      <c r="AK18" s="234"/>
      <c r="AL18" s="280"/>
      <c r="AM18" s="280"/>
      <c r="AN18" s="280"/>
      <c r="AO18" s="280"/>
      <c r="AP18" s="280"/>
      <c r="AQ18" s="280"/>
      <c r="AR18" s="280"/>
      <c r="AS18" s="280"/>
    </row>
    <row r="19" spans="1:45" s="282" customFormat="1" ht="13.05" customHeight="1" x14ac:dyDescent="0.25">
      <c r="A19" s="283">
        <v>7</v>
      </c>
      <c r="B19" s="270" t="str">
        <f>IF($E19="","",VLOOKUP($E19,'[4]1MD ELO'!$A$7:$O$22,14))</f>
        <v/>
      </c>
      <c r="C19" s="271" t="str">
        <f>IF($E19="","",VLOOKUP($E19,'[4]1MD ELO'!$A$7:$O$22,15))</f>
        <v/>
      </c>
      <c r="D19" s="271" t="str">
        <f>IF($E19="","",VLOOKUP($E19,'[4]1MD ELO'!$A$7:$O$22,5))</f>
        <v/>
      </c>
      <c r="E19" s="293"/>
      <c r="F19" s="294" t="s">
        <v>177</v>
      </c>
      <c r="G19" s="294" t="str">
        <f>IF($E19="","",VLOOKUP($E19,'[4]1MD ELO'!$A$7:$O$22,3))</f>
        <v/>
      </c>
      <c r="H19" s="303" t="s">
        <v>147</v>
      </c>
      <c r="I19" s="294" t="str">
        <f>IF($E19="","",VLOOKUP($E19,'[4]1MD ELO'!$A$7:$O$22,4))</f>
        <v/>
      </c>
      <c r="J19" s="274"/>
      <c r="K19" s="275"/>
      <c r="L19" s="302"/>
      <c r="M19" s="275" t="s">
        <v>178</v>
      </c>
      <c r="N19" s="301"/>
      <c r="O19" s="301"/>
      <c r="P19" s="301"/>
      <c r="Q19" s="278"/>
      <c r="R19" s="279"/>
      <c r="S19" s="280"/>
      <c r="T19" s="280"/>
      <c r="U19" s="280"/>
      <c r="V19" s="280"/>
      <c r="W19" s="280"/>
      <c r="X19" s="280"/>
      <c r="Y19" s="236"/>
      <c r="Z19" s="236"/>
      <c r="AA19" s="236" t="s">
        <v>84</v>
      </c>
      <c r="AB19" s="237">
        <v>60</v>
      </c>
      <c r="AC19" s="237">
        <v>40</v>
      </c>
      <c r="AD19" s="237">
        <v>25</v>
      </c>
      <c r="AE19" s="237">
        <v>15</v>
      </c>
      <c r="AF19" s="237">
        <v>8</v>
      </c>
      <c r="AG19" s="237">
        <v>4</v>
      </c>
      <c r="AH19" s="237">
        <v>2</v>
      </c>
      <c r="AI19" s="234"/>
      <c r="AJ19" s="234"/>
      <c r="AK19" s="234"/>
      <c r="AL19" s="280"/>
      <c r="AM19" s="280"/>
      <c r="AN19" s="280"/>
      <c r="AO19" s="280"/>
      <c r="AP19" s="280"/>
      <c r="AQ19" s="280"/>
      <c r="AR19" s="280"/>
      <c r="AS19" s="280"/>
    </row>
    <row r="20" spans="1:45" s="282" customFormat="1" ht="13.05" customHeight="1" x14ac:dyDescent="0.25">
      <c r="A20" s="283"/>
      <c r="B20" s="284"/>
      <c r="C20" s="285"/>
      <c r="D20" s="285"/>
      <c r="E20" s="286"/>
      <c r="F20" s="287"/>
      <c r="G20" s="287"/>
      <c r="H20" s="288"/>
      <c r="I20" s="289" t="s">
        <v>0</v>
      </c>
      <c r="J20" s="290"/>
      <c r="K20" s="291" t="s">
        <v>176</v>
      </c>
      <c r="L20" s="305"/>
      <c r="M20" s="275"/>
      <c r="N20" s="301"/>
      <c r="O20" s="301"/>
      <c r="P20" s="301"/>
      <c r="Q20" s="278"/>
      <c r="R20" s="279"/>
      <c r="S20" s="280"/>
      <c r="T20" s="280"/>
      <c r="U20" s="280"/>
      <c r="V20" s="280"/>
      <c r="W20" s="280"/>
      <c r="X20" s="280"/>
      <c r="Y20" s="236"/>
      <c r="Z20" s="236"/>
      <c r="AA20" s="236" t="s">
        <v>85</v>
      </c>
      <c r="AB20" s="237">
        <v>40</v>
      </c>
      <c r="AC20" s="237">
        <v>25</v>
      </c>
      <c r="AD20" s="237">
        <v>15</v>
      </c>
      <c r="AE20" s="237">
        <v>8</v>
      </c>
      <c r="AF20" s="237">
        <v>4</v>
      </c>
      <c r="AG20" s="237">
        <v>2</v>
      </c>
      <c r="AH20" s="237">
        <v>1</v>
      </c>
      <c r="AI20" s="234"/>
      <c r="AJ20" s="234"/>
      <c r="AK20" s="234"/>
      <c r="AL20" s="280"/>
      <c r="AM20" s="280"/>
      <c r="AN20" s="280"/>
      <c r="AO20" s="280"/>
      <c r="AP20" s="280"/>
      <c r="AQ20" s="280"/>
      <c r="AR20" s="280"/>
      <c r="AS20" s="280"/>
    </row>
    <row r="21" spans="1:45" s="282" customFormat="1" ht="13.05" customHeight="1" x14ac:dyDescent="0.25">
      <c r="A21" s="311">
        <v>8</v>
      </c>
      <c r="B21" s="270" t="str">
        <f>IF($E21="","",VLOOKUP($E21,'[4]1MD ELO'!$A$7:$O$22,14))</f>
        <v/>
      </c>
      <c r="C21" s="271" t="str">
        <f>IF($E21="","",VLOOKUP($E21,'[4]1MD ELO'!$A$7:$O$22,15))</f>
        <v/>
      </c>
      <c r="D21" s="271" t="str">
        <f>IF($E21="","",VLOOKUP($E21,'[4]1MD ELO'!$A$7:$O$22,5))</f>
        <v/>
      </c>
      <c r="E21" s="272"/>
      <c r="F21" s="312" t="s">
        <v>179</v>
      </c>
      <c r="G21" s="312" t="str">
        <f>IF($E21="","",VLOOKUP($E21,'[4]1MD ELO'!$A$7:$O$22,3))</f>
        <v/>
      </c>
      <c r="H21" s="303" t="s">
        <v>112</v>
      </c>
      <c r="I21" s="312" t="str">
        <f>IF($E21="","",VLOOKUP($E21,'[4]1MD ELO'!$A$7:$O$22,4))</f>
        <v/>
      </c>
      <c r="J21" s="306"/>
      <c r="K21" s="275" t="s">
        <v>178</v>
      </c>
      <c r="L21" s="275"/>
      <c r="M21" s="275"/>
      <c r="N21" s="301"/>
      <c r="O21" s="301"/>
      <c r="P21" s="301"/>
      <c r="Q21" s="278"/>
      <c r="R21" s="279"/>
      <c r="S21" s="280"/>
      <c r="T21" s="280"/>
      <c r="U21" s="280"/>
      <c r="V21" s="280"/>
      <c r="W21" s="280"/>
      <c r="X21" s="280"/>
      <c r="Y21" s="236"/>
      <c r="Z21" s="236"/>
      <c r="AA21" s="236" t="s">
        <v>86</v>
      </c>
      <c r="AB21" s="237">
        <v>25</v>
      </c>
      <c r="AC21" s="237">
        <v>15</v>
      </c>
      <c r="AD21" s="237">
        <v>10</v>
      </c>
      <c r="AE21" s="237">
        <v>6</v>
      </c>
      <c r="AF21" s="237">
        <v>3</v>
      </c>
      <c r="AG21" s="237">
        <v>1</v>
      </c>
      <c r="AH21" s="237">
        <v>0</v>
      </c>
      <c r="AI21" s="234"/>
      <c r="AJ21" s="234"/>
      <c r="AK21" s="234"/>
      <c r="AL21" s="280"/>
      <c r="AM21" s="280"/>
      <c r="AN21" s="280"/>
      <c r="AO21" s="280"/>
      <c r="AP21" s="280"/>
      <c r="AQ21" s="280"/>
      <c r="AR21" s="280"/>
      <c r="AS21" s="280"/>
    </row>
    <row r="22" spans="1:45" s="282" customFormat="1" ht="9.4499999999999993" customHeight="1" x14ac:dyDescent="0.25">
      <c r="A22" s="313"/>
      <c r="B22" s="276"/>
      <c r="C22" s="276"/>
      <c r="D22" s="276"/>
      <c r="E22" s="286"/>
      <c r="F22" s="276"/>
      <c r="G22" s="276"/>
      <c r="H22" s="276"/>
      <c r="I22" s="276"/>
      <c r="J22" s="286"/>
      <c r="K22" s="276"/>
      <c r="L22" s="276"/>
      <c r="M22" s="276"/>
      <c r="N22" s="278"/>
      <c r="O22" s="278"/>
      <c r="P22" s="278"/>
      <c r="Q22" s="278"/>
      <c r="R22" s="279"/>
      <c r="S22" s="280"/>
      <c r="T22" s="280"/>
      <c r="U22" s="280"/>
      <c r="V22" s="280"/>
      <c r="W22" s="280"/>
      <c r="X22" s="280"/>
      <c r="Y22" s="236"/>
      <c r="Z22" s="236"/>
      <c r="AA22" s="236" t="s">
        <v>87</v>
      </c>
      <c r="AB22" s="237">
        <v>15</v>
      </c>
      <c r="AC22" s="237">
        <v>10</v>
      </c>
      <c r="AD22" s="237">
        <v>6</v>
      </c>
      <c r="AE22" s="237">
        <v>3</v>
      </c>
      <c r="AF22" s="237">
        <v>1</v>
      </c>
      <c r="AG22" s="237">
        <v>0</v>
      </c>
      <c r="AH22" s="237">
        <v>0</v>
      </c>
      <c r="AI22" s="234"/>
      <c r="AJ22" s="234"/>
      <c r="AK22" s="234"/>
      <c r="AL22" s="280"/>
      <c r="AM22" s="280"/>
      <c r="AN22" s="280"/>
      <c r="AO22" s="280"/>
      <c r="AP22" s="280"/>
      <c r="AQ22" s="280"/>
      <c r="AR22" s="280"/>
      <c r="AS22" s="280"/>
    </row>
    <row r="23" spans="1:45" s="282" customFormat="1" ht="9.4499999999999993" customHeight="1" x14ac:dyDescent="0.25">
      <c r="A23" s="314"/>
      <c r="B23" s="286"/>
      <c r="C23" s="286"/>
      <c r="D23" s="286"/>
      <c r="E23" s="286"/>
      <c r="F23" s="276"/>
      <c r="G23" s="276"/>
      <c r="H23" s="280"/>
      <c r="I23" s="315"/>
      <c r="J23" s="286"/>
      <c r="K23" s="276"/>
      <c r="L23" s="276"/>
      <c r="M23" s="276"/>
      <c r="N23" s="278"/>
      <c r="O23" s="278"/>
      <c r="P23" s="278"/>
      <c r="Q23" s="278"/>
      <c r="R23" s="279"/>
      <c r="S23" s="280"/>
      <c r="T23" s="280"/>
      <c r="U23" s="280"/>
      <c r="V23" s="280"/>
      <c r="W23" s="280"/>
      <c r="X23" s="280"/>
      <c r="Y23" s="236"/>
      <c r="Z23" s="236"/>
      <c r="AA23" s="236" t="s">
        <v>88</v>
      </c>
      <c r="AB23" s="237">
        <v>10</v>
      </c>
      <c r="AC23" s="237">
        <v>6</v>
      </c>
      <c r="AD23" s="237">
        <v>3</v>
      </c>
      <c r="AE23" s="237">
        <v>1</v>
      </c>
      <c r="AF23" s="237">
        <v>0</v>
      </c>
      <c r="AG23" s="237">
        <v>0</v>
      </c>
      <c r="AH23" s="237">
        <v>0</v>
      </c>
      <c r="AI23" s="234"/>
      <c r="AJ23" s="234"/>
      <c r="AK23" s="234"/>
      <c r="AL23" s="280"/>
      <c r="AM23" s="280"/>
      <c r="AN23" s="280"/>
      <c r="AO23" s="280"/>
      <c r="AP23" s="280"/>
      <c r="AQ23" s="280"/>
      <c r="AR23" s="280"/>
      <c r="AS23" s="280"/>
    </row>
    <row r="24" spans="1:45" s="282" customFormat="1" ht="9.4499999999999993" customHeight="1" x14ac:dyDescent="0.25">
      <c r="A24" s="314"/>
      <c r="B24" s="276"/>
      <c r="C24" s="276"/>
      <c r="D24" s="276"/>
      <c r="E24" s="286"/>
      <c r="F24" s="276"/>
      <c r="G24" s="276"/>
      <c r="H24" s="276"/>
      <c r="I24" s="276"/>
      <c r="J24" s="286"/>
      <c r="K24" s="276"/>
      <c r="L24" s="316"/>
      <c r="M24" s="276"/>
      <c r="N24" s="278"/>
      <c r="O24" s="278"/>
      <c r="P24" s="278"/>
      <c r="Q24" s="278"/>
      <c r="R24" s="279"/>
      <c r="S24" s="280"/>
      <c r="T24" s="280"/>
      <c r="U24" s="280"/>
      <c r="V24" s="280"/>
      <c r="W24" s="280"/>
      <c r="X24" s="280"/>
      <c r="Y24" s="236"/>
      <c r="Z24" s="236"/>
      <c r="AA24" s="236" t="s">
        <v>89</v>
      </c>
      <c r="AB24" s="237">
        <v>6</v>
      </c>
      <c r="AC24" s="237">
        <v>3</v>
      </c>
      <c r="AD24" s="237">
        <v>1</v>
      </c>
      <c r="AE24" s="237">
        <v>0</v>
      </c>
      <c r="AF24" s="237">
        <v>0</v>
      </c>
      <c r="AG24" s="237">
        <v>0</v>
      </c>
      <c r="AH24" s="237">
        <v>0</v>
      </c>
      <c r="AI24" s="234"/>
      <c r="AJ24" s="234"/>
      <c r="AK24" s="234"/>
      <c r="AL24" s="280"/>
      <c r="AM24" s="280"/>
      <c r="AN24" s="280"/>
      <c r="AO24" s="280"/>
      <c r="AP24" s="280"/>
      <c r="AQ24" s="280"/>
      <c r="AR24" s="280"/>
      <c r="AS24" s="280"/>
    </row>
    <row r="25" spans="1:45" s="282" customFormat="1" ht="9.4499999999999993" customHeight="1" x14ac:dyDescent="0.25">
      <c r="A25" s="314"/>
      <c r="B25" s="286"/>
      <c r="C25" s="286"/>
      <c r="D25" s="286"/>
      <c r="E25" s="286"/>
      <c r="F25" s="276"/>
      <c r="G25" s="276"/>
      <c r="H25" s="280"/>
      <c r="I25" s="276"/>
      <c r="J25" s="286"/>
      <c r="K25" s="315"/>
      <c r="L25" s="286"/>
      <c r="M25" s="276"/>
      <c r="N25" s="278"/>
      <c r="O25" s="278"/>
      <c r="P25" s="278"/>
      <c r="Q25" s="278"/>
      <c r="R25" s="279"/>
      <c r="S25" s="280"/>
      <c r="T25" s="280"/>
      <c r="U25" s="280"/>
      <c r="V25" s="280"/>
      <c r="W25" s="280"/>
      <c r="X25" s="280"/>
      <c r="Y25" s="236"/>
      <c r="Z25" s="236"/>
      <c r="AA25" s="236" t="s">
        <v>94</v>
      </c>
      <c r="AB25" s="237">
        <v>3</v>
      </c>
      <c r="AC25" s="237">
        <v>2</v>
      </c>
      <c r="AD25" s="237">
        <v>1</v>
      </c>
      <c r="AE25" s="237">
        <v>0</v>
      </c>
      <c r="AF25" s="237">
        <v>0</v>
      </c>
      <c r="AG25" s="237">
        <v>0</v>
      </c>
      <c r="AH25" s="237">
        <v>0</v>
      </c>
      <c r="AI25" s="234"/>
      <c r="AJ25" s="234"/>
      <c r="AK25" s="234"/>
      <c r="AL25" s="280"/>
      <c r="AM25" s="280"/>
      <c r="AN25" s="280"/>
      <c r="AO25" s="280"/>
      <c r="AP25" s="280"/>
      <c r="AQ25" s="280"/>
      <c r="AR25" s="280"/>
      <c r="AS25" s="280"/>
    </row>
    <row r="26" spans="1:45" s="282" customFormat="1" ht="9.4499999999999993" customHeight="1" x14ac:dyDescent="0.25">
      <c r="A26" s="314"/>
      <c r="B26" s="276"/>
      <c r="C26" s="276"/>
      <c r="D26" s="276"/>
      <c r="E26" s="286"/>
      <c r="F26" s="276"/>
      <c r="G26" s="276"/>
      <c r="H26" s="276"/>
      <c r="I26" s="276"/>
      <c r="J26" s="286"/>
      <c r="K26" s="276"/>
      <c r="L26" s="276"/>
      <c r="M26" s="276"/>
      <c r="N26" s="278"/>
      <c r="O26" s="278"/>
      <c r="P26" s="278"/>
      <c r="Q26" s="278"/>
      <c r="R26" s="279"/>
      <c r="S26" s="317"/>
      <c r="T26" s="280"/>
      <c r="U26" s="280"/>
      <c r="V26" s="280"/>
      <c r="W26" s="280"/>
      <c r="X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234"/>
      <c r="AJ26" s="234"/>
      <c r="AK26" s="234"/>
      <c r="AL26" s="280"/>
      <c r="AM26" s="280"/>
      <c r="AN26" s="280"/>
      <c r="AO26" s="280"/>
      <c r="AP26" s="280"/>
      <c r="AQ26" s="280"/>
      <c r="AR26" s="280"/>
      <c r="AS26" s="280"/>
    </row>
    <row r="27" spans="1:45" s="282" customFormat="1" ht="9.4499999999999993" customHeight="1" x14ac:dyDescent="0.25">
      <c r="A27" s="314"/>
      <c r="B27" s="286"/>
      <c r="C27" s="286"/>
      <c r="D27" s="286"/>
      <c r="E27" s="286"/>
      <c r="F27" s="276"/>
      <c r="G27" s="276"/>
      <c r="H27" s="280"/>
      <c r="I27" s="315"/>
      <c r="J27" s="286"/>
      <c r="K27" s="276"/>
      <c r="L27" s="276"/>
      <c r="M27" s="276"/>
      <c r="N27" s="278"/>
      <c r="O27" s="278"/>
      <c r="P27" s="278"/>
      <c r="Q27" s="278"/>
      <c r="R27" s="279"/>
      <c r="S27" s="280"/>
      <c r="T27" s="280"/>
      <c r="U27" s="280"/>
      <c r="V27" s="280"/>
      <c r="W27" s="280"/>
      <c r="X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234"/>
      <c r="AJ27" s="234"/>
      <c r="AK27" s="234"/>
      <c r="AL27" s="280"/>
      <c r="AM27" s="280"/>
      <c r="AN27" s="280"/>
      <c r="AO27" s="280"/>
      <c r="AP27" s="280"/>
      <c r="AQ27" s="280"/>
      <c r="AR27" s="280"/>
      <c r="AS27" s="280"/>
    </row>
    <row r="28" spans="1:45" s="282" customFormat="1" ht="9.4499999999999993" customHeight="1" x14ac:dyDescent="0.25">
      <c r="A28" s="314"/>
      <c r="B28" s="276"/>
      <c r="C28" s="276"/>
      <c r="D28" s="276"/>
      <c r="E28" s="286"/>
      <c r="F28" s="276"/>
      <c r="G28" s="276"/>
      <c r="H28" s="276"/>
      <c r="I28" s="276"/>
      <c r="J28" s="286"/>
      <c r="K28" s="276"/>
      <c r="L28" s="276"/>
      <c r="M28" s="276"/>
      <c r="N28" s="278"/>
      <c r="O28" s="278"/>
      <c r="P28" s="278"/>
      <c r="Q28" s="278"/>
      <c r="R28" s="279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</row>
    <row r="29" spans="1:45" s="282" customFormat="1" ht="9.4499999999999993" customHeight="1" x14ac:dyDescent="0.25">
      <c r="A29" s="314"/>
      <c r="B29" s="286"/>
      <c r="C29" s="286"/>
      <c r="D29" s="286"/>
      <c r="E29" s="286"/>
      <c r="F29" s="276"/>
      <c r="G29" s="276"/>
      <c r="H29" s="280"/>
      <c r="I29" s="276"/>
      <c r="J29" s="286"/>
      <c r="K29" s="276"/>
      <c r="L29" s="276"/>
      <c r="M29" s="315"/>
      <c r="N29" s="286"/>
      <c r="O29" s="276"/>
      <c r="P29" s="278"/>
      <c r="Q29" s="278"/>
      <c r="R29" s="279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</row>
    <row r="30" spans="1:45" s="282" customFormat="1" ht="9.4499999999999993" customHeight="1" x14ac:dyDescent="0.25">
      <c r="A30" s="314"/>
      <c r="B30" s="276"/>
      <c r="C30" s="276"/>
      <c r="D30" s="276"/>
      <c r="E30" s="286"/>
      <c r="F30" s="276"/>
      <c r="G30" s="276"/>
      <c r="H30" s="276"/>
      <c r="I30" s="276"/>
      <c r="J30" s="286"/>
      <c r="K30" s="276"/>
      <c r="L30" s="276"/>
      <c r="M30" s="276"/>
      <c r="N30" s="278"/>
      <c r="O30" s="276"/>
      <c r="P30" s="278"/>
      <c r="Q30" s="278"/>
      <c r="R30" s="279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</row>
    <row r="31" spans="1:45" s="282" customFormat="1" ht="9.4499999999999993" customHeight="1" x14ac:dyDescent="0.25">
      <c r="A31" s="314"/>
      <c r="B31" s="286"/>
      <c r="C31" s="286"/>
      <c r="D31" s="286"/>
      <c r="E31" s="286"/>
      <c r="F31" s="276"/>
      <c r="G31" s="276"/>
      <c r="H31" s="280"/>
      <c r="I31" s="315"/>
      <c r="J31" s="286"/>
      <c r="K31" s="276"/>
      <c r="L31" s="276"/>
      <c r="M31" s="276"/>
      <c r="N31" s="278"/>
      <c r="O31" s="278"/>
      <c r="P31" s="278"/>
      <c r="Q31" s="278"/>
      <c r="R31" s="279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</row>
    <row r="32" spans="1:45" s="282" customFormat="1" ht="9.4499999999999993" customHeight="1" x14ac:dyDescent="0.25">
      <c r="A32" s="314"/>
      <c r="B32" s="276"/>
      <c r="C32" s="276"/>
      <c r="D32" s="276"/>
      <c r="E32" s="286"/>
      <c r="F32" s="276"/>
      <c r="G32" s="276"/>
      <c r="H32" s="276"/>
      <c r="I32" s="276"/>
      <c r="J32" s="286"/>
      <c r="K32" s="276"/>
      <c r="L32" s="316"/>
      <c r="M32" s="276"/>
      <c r="N32" s="278"/>
      <c r="O32" s="278"/>
      <c r="P32" s="278"/>
      <c r="Q32" s="278"/>
      <c r="R32" s="279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</row>
    <row r="33" spans="1:45" s="282" customFormat="1" ht="9.4499999999999993" customHeight="1" x14ac:dyDescent="0.25">
      <c r="A33" s="314"/>
      <c r="B33" s="286"/>
      <c r="C33" s="286"/>
      <c r="D33" s="286"/>
      <c r="E33" s="286"/>
      <c r="F33" s="276"/>
      <c r="G33" s="276"/>
      <c r="H33" s="280"/>
      <c r="I33" s="276"/>
      <c r="J33" s="286"/>
      <c r="K33" s="315"/>
      <c r="L33" s="286"/>
      <c r="M33" s="276"/>
      <c r="N33" s="278"/>
      <c r="O33" s="278"/>
      <c r="P33" s="278"/>
      <c r="Q33" s="278"/>
      <c r="R33" s="279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</row>
    <row r="34" spans="1:45" s="282" customFormat="1" ht="9.4499999999999993" customHeight="1" x14ac:dyDescent="0.25">
      <c r="A34" s="314"/>
      <c r="B34" s="276"/>
      <c r="C34" s="276"/>
      <c r="D34" s="276"/>
      <c r="E34" s="286"/>
      <c r="F34" s="276"/>
      <c r="G34" s="276"/>
      <c r="H34" s="276"/>
      <c r="I34" s="276"/>
      <c r="J34" s="286"/>
      <c r="K34" s="276"/>
      <c r="L34" s="276"/>
      <c r="M34" s="276"/>
      <c r="N34" s="278"/>
      <c r="O34" s="278"/>
      <c r="P34" s="278"/>
      <c r="Q34" s="278"/>
      <c r="R34" s="279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</row>
    <row r="35" spans="1:45" s="282" customFormat="1" ht="9.4499999999999993" customHeight="1" x14ac:dyDescent="0.25">
      <c r="A35" s="314"/>
      <c r="B35" s="286"/>
      <c r="C35" s="286"/>
      <c r="D35" s="286"/>
      <c r="E35" s="286"/>
      <c r="F35" s="276"/>
      <c r="G35" s="276"/>
      <c r="H35" s="280"/>
      <c r="I35" s="315"/>
      <c r="J35" s="286"/>
      <c r="K35" s="276"/>
      <c r="L35" s="276"/>
      <c r="M35" s="276"/>
      <c r="N35" s="278"/>
      <c r="O35" s="278"/>
      <c r="P35" s="278"/>
      <c r="Q35" s="278"/>
      <c r="R35" s="279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</row>
    <row r="36" spans="1:45" s="282" customFormat="1" ht="9.4499999999999993" customHeight="1" x14ac:dyDescent="0.25">
      <c r="A36" s="313"/>
      <c r="B36" s="276"/>
      <c r="C36" s="276"/>
      <c r="D36" s="276"/>
      <c r="E36" s="286"/>
      <c r="F36" s="276"/>
      <c r="G36" s="276"/>
      <c r="H36" s="276"/>
      <c r="I36" s="276"/>
      <c r="J36" s="286"/>
      <c r="K36" s="276"/>
      <c r="L36" s="276"/>
      <c r="M36" s="276"/>
      <c r="N36" s="276"/>
      <c r="O36" s="276"/>
      <c r="P36" s="276"/>
      <c r="Q36" s="278"/>
      <c r="R36" s="279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</row>
    <row r="37" spans="1:45" s="282" customFormat="1" ht="9.4499999999999993" customHeight="1" x14ac:dyDescent="0.25">
      <c r="A37" s="314"/>
      <c r="B37" s="286"/>
      <c r="C37" s="286"/>
      <c r="D37" s="286"/>
      <c r="E37" s="286"/>
      <c r="F37" s="318"/>
      <c r="G37" s="318"/>
      <c r="H37" s="319"/>
      <c r="I37" s="275"/>
      <c r="J37" s="298"/>
      <c r="K37" s="275"/>
      <c r="L37" s="275"/>
      <c r="M37" s="275"/>
      <c r="N37" s="301"/>
      <c r="O37" s="301"/>
      <c r="P37" s="301"/>
      <c r="Q37" s="278"/>
      <c r="R37" s="279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</row>
    <row r="38" spans="1:45" s="282" customFormat="1" ht="9.4499999999999993" customHeight="1" x14ac:dyDescent="0.25">
      <c r="A38" s="313"/>
      <c r="B38" s="276"/>
      <c r="C38" s="276"/>
      <c r="D38" s="276"/>
      <c r="E38" s="286"/>
      <c r="F38" s="276"/>
      <c r="G38" s="276"/>
      <c r="H38" s="276"/>
      <c r="I38" s="276"/>
      <c r="J38" s="286"/>
      <c r="K38" s="276"/>
      <c r="L38" s="276"/>
      <c r="M38" s="276"/>
      <c r="N38" s="278"/>
      <c r="O38" s="278"/>
      <c r="P38" s="278"/>
      <c r="Q38" s="278"/>
      <c r="R38" s="279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</row>
    <row r="39" spans="1:45" s="282" customFormat="1" ht="9.4499999999999993" customHeight="1" x14ac:dyDescent="0.25">
      <c r="A39" s="314"/>
      <c r="B39" s="286"/>
      <c r="C39" s="286"/>
      <c r="D39" s="286"/>
      <c r="E39" s="286"/>
      <c r="F39" s="276"/>
      <c r="G39" s="276"/>
      <c r="H39" s="280"/>
      <c r="I39" s="315"/>
      <c r="J39" s="286"/>
      <c r="K39" s="276"/>
      <c r="L39" s="276"/>
      <c r="M39" s="276"/>
      <c r="N39" s="278"/>
      <c r="O39" s="278"/>
      <c r="P39" s="278"/>
      <c r="Q39" s="278"/>
      <c r="R39" s="279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</row>
    <row r="40" spans="1:45" s="282" customFormat="1" ht="9.4499999999999993" customHeight="1" x14ac:dyDescent="0.25">
      <c r="A40" s="314"/>
      <c r="B40" s="276"/>
      <c r="C40" s="276"/>
      <c r="D40" s="276"/>
      <c r="E40" s="286"/>
      <c r="F40" s="276"/>
      <c r="G40" s="276"/>
      <c r="H40" s="276"/>
      <c r="I40" s="276"/>
      <c r="J40" s="286"/>
      <c r="K40" s="276"/>
      <c r="L40" s="316"/>
      <c r="M40" s="276"/>
      <c r="N40" s="278"/>
      <c r="O40" s="278"/>
      <c r="P40" s="278"/>
      <c r="Q40" s="278"/>
      <c r="R40" s="279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</row>
    <row r="41" spans="1:45" s="282" customFormat="1" ht="9.4499999999999993" customHeight="1" x14ac:dyDescent="0.25">
      <c r="A41" s="314"/>
      <c r="B41" s="286"/>
      <c r="C41" s="286"/>
      <c r="D41" s="286"/>
      <c r="E41" s="286"/>
      <c r="F41" s="276"/>
      <c r="G41" s="276"/>
      <c r="H41" s="280"/>
      <c r="I41" s="276"/>
      <c r="J41" s="286"/>
      <c r="K41" s="315"/>
      <c r="L41" s="286"/>
      <c r="M41" s="276"/>
      <c r="N41" s="278"/>
      <c r="O41" s="278"/>
      <c r="P41" s="278"/>
      <c r="Q41" s="278"/>
      <c r="R41" s="279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</row>
    <row r="42" spans="1:45" s="282" customFormat="1" ht="9.4499999999999993" customHeight="1" x14ac:dyDescent="0.25">
      <c r="A42" s="314"/>
      <c r="B42" s="276"/>
      <c r="C42" s="276"/>
      <c r="D42" s="276"/>
      <c r="E42" s="286"/>
      <c r="F42" s="276"/>
      <c r="G42" s="276"/>
      <c r="H42" s="276"/>
      <c r="I42" s="276"/>
      <c r="J42" s="286"/>
      <c r="K42" s="276"/>
      <c r="L42" s="276"/>
      <c r="M42" s="276"/>
      <c r="N42" s="278"/>
      <c r="O42" s="278"/>
      <c r="P42" s="278"/>
      <c r="Q42" s="278"/>
      <c r="R42" s="279"/>
      <c r="S42" s="317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</row>
    <row r="43" spans="1:45" s="282" customFormat="1" ht="9.4499999999999993" customHeight="1" x14ac:dyDescent="0.25">
      <c r="A43" s="314"/>
      <c r="B43" s="286"/>
      <c r="C43" s="286"/>
      <c r="D43" s="286"/>
      <c r="E43" s="286"/>
      <c r="F43" s="276"/>
      <c r="G43" s="276"/>
      <c r="H43" s="280"/>
      <c r="I43" s="315"/>
      <c r="J43" s="286"/>
      <c r="K43" s="276"/>
      <c r="L43" s="276"/>
      <c r="M43" s="276"/>
      <c r="N43" s="278"/>
      <c r="O43" s="278"/>
      <c r="P43" s="278"/>
      <c r="Q43" s="278"/>
      <c r="R43" s="279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</row>
    <row r="44" spans="1:45" s="282" customFormat="1" ht="9.4499999999999993" customHeight="1" x14ac:dyDescent="0.25">
      <c r="A44" s="314"/>
      <c r="B44" s="276"/>
      <c r="C44" s="276"/>
      <c r="D44" s="276"/>
      <c r="E44" s="286"/>
      <c r="F44" s="276"/>
      <c r="G44" s="276"/>
      <c r="H44" s="276"/>
      <c r="I44" s="276"/>
      <c r="J44" s="286"/>
      <c r="K44" s="276"/>
      <c r="L44" s="276"/>
      <c r="M44" s="276"/>
      <c r="N44" s="278"/>
      <c r="O44" s="278"/>
      <c r="P44" s="278"/>
      <c r="Q44" s="278"/>
      <c r="R44" s="279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</row>
    <row r="45" spans="1:45" s="282" customFormat="1" ht="9.4499999999999993" customHeight="1" x14ac:dyDescent="0.25">
      <c r="A45" s="314"/>
      <c r="B45" s="286"/>
      <c r="C45" s="286"/>
      <c r="D45" s="286"/>
      <c r="E45" s="286"/>
      <c r="F45" s="276"/>
      <c r="G45" s="276"/>
      <c r="H45" s="280"/>
      <c r="I45" s="276"/>
      <c r="J45" s="286"/>
      <c r="K45" s="276"/>
      <c r="L45" s="276"/>
      <c r="M45" s="315"/>
      <c r="N45" s="286"/>
      <c r="O45" s="276"/>
      <c r="P45" s="278"/>
      <c r="Q45" s="278"/>
      <c r="R45" s="279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</row>
    <row r="46" spans="1:45" s="282" customFormat="1" ht="9.4499999999999993" customHeight="1" x14ac:dyDescent="0.25">
      <c r="A46" s="314"/>
      <c r="B46" s="276"/>
      <c r="C46" s="276"/>
      <c r="D46" s="276"/>
      <c r="E46" s="286"/>
      <c r="F46" s="276"/>
      <c r="G46" s="276"/>
      <c r="H46" s="276"/>
      <c r="I46" s="276"/>
      <c r="J46" s="286"/>
      <c r="K46" s="276"/>
      <c r="L46" s="276"/>
      <c r="M46" s="276"/>
      <c r="N46" s="278"/>
      <c r="O46" s="276"/>
      <c r="P46" s="278"/>
      <c r="Q46" s="278"/>
      <c r="R46" s="279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</row>
    <row r="47" spans="1:45" s="282" customFormat="1" ht="9.4499999999999993" customHeight="1" x14ac:dyDescent="0.25">
      <c r="A47" s="314"/>
      <c r="B47" s="286"/>
      <c r="C47" s="286"/>
      <c r="D47" s="286"/>
      <c r="E47" s="286"/>
      <c r="F47" s="276"/>
      <c r="G47" s="276"/>
      <c r="H47" s="280"/>
      <c r="I47" s="315"/>
      <c r="J47" s="286"/>
      <c r="K47" s="276"/>
      <c r="L47" s="276"/>
      <c r="M47" s="276"/>
      <c r="N47" s="278"/>
      <c r="O47" s="278"/>
      <c r="P47" s="278"/>
      <c r="Q47" s="278"/>
      <c r="R47" s="279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</row>
    <row r="48" spans="1:45" s="282" customFormat="1" ht="9.4499999999999993" customHeight="1" x14ac:dyDescent="0.25">
      <c r="A48" s="314"/>
      <c r="B48" s="276"/>
      <c r="C48" s="276"/>
      <c r="D48" s="276"/>
      <c r="E48" s="286"/>
      <c r="F48" s="276"/>
      <c r="G48" s="276"/>
      <c r="H48" s="276"/>
      <c r="I48" s="276"/>
      <c r="J48" s="286"/>
      <c r="K48" s="276"/>
      <c r="L48" s="316"/>
      <c r="M48" s="276"/>
      <c r="N48" s="278"/>
      <c r="O48" s="278"/>
      <c r="P48" s="278"/>
      <c r="Q48" s="278"/>
      <c r="R48" s="279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</row>
    <row r="49" spans="1:45" s="282" customFormat="1" ht="9.4499999999999993" customHeight="1" x14ac:dyDescent="0.25">
      <c r="A49" s="314"/>
      <c r="B49" s="286"/>
      <c r="C49" s="286"/>
      <c r="D49" s="286"/>
      <c r="E49" s="286"/>
      <c r="F49" s="276"/>
      <c r="G49" s="276"/>
      <c r="H49" s="280"/>
      <c r="I49" s="276"/>
      <c r="J49" s="286"/>
      <c r="K49" s="315"/>
      <c r="L49" s="286"/>
      <c r="M49" s="276"/>
      <c r="N49" s="278"/>
      <c r="O49" s="278"/>
      <c r="P49" s="278"/>
      <c r="Q49" s="278"/>
      <c r="R49" s="279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</row>
    <row r="50" spans="1:45" s="282" customFormat="1" ht="9.4499999999999993" customHeight="1" x14ac:dyDescent="0.25">
      <c r="A50" s="314"/>
      <c r="B50" s="276"/>
      <c r="C50" s="276"/>
      <c r="D50" s="276"/>
      <c r="E50" s="286"/>
      <c r="F50" s="276"/>
      <c r="G50" s="276"/>
      <c r="H50" s="276"/>
      <c r="I50" s="276"/>
      <c r="J50" s="286"/>
      <c r="K50" s="276"/>
      <c r="L50" s="276"/>
      <c r="M50" s="276"/>
      <c r="N50" s="278"/>
      <c r="O50" s="278"/>
      <c r="P50" s="278"/>
      <c r="Q50" s="278"/>
      <c r="R50" s="279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</row>
    <row r="51" spans="1:45" s="282" customFormat="1" ht="9.4499999999999993" customHeight="1" x14ac:dyDescent="0.25">
      <c r="A51" s="314"/>
      <c r="B51" s="286"/>
      <c r="C51" s="286"/>
      <c r="D51" s="286"/>
      <c r="E51" s="286"/>
      <c r="F51" s="276"/>
      <c r="G51" s="276"/>
      <c r="H51" s="280"/>
      <c r="I51" s="315"/>
      <c r="J51" s="286"/>
      <c r="K51" s="276"/>
      <c r="L51" s="276"/>
      <c r="M51" s="276"/>
      <c r="N51" s="278"/>
      <c r="O51" s="278"/>
      <c r="P51" s="278"/>
      <c r="Q51" s="278"/>
      <c r="R51" s="279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</row>
    <row r="52" spans="1:45" s="282" customFormat="1" ht="9.4499999999999993" customHeight="1" x14ac:dyDescent="0.25">
      <c r="A52" s="313"/>
      <c r="B52" s="276"/>
      <c r="C52" s="276"/>
      <c r="D52" s="276"/>
      <c r="E52" s="286"/>
      <c r="F52" s="320"/>
      <c r="G52" s="320"/>
      <c r="H52" s="320"/>
      <c r="I52" s="320"/>
      <c r="J52" s="286"/>
      <c r="K52" s="276"/>
      <c r="L52" s="276"/>
      <c r="M52" s="276"/>
      <c r="N52" s="276"/>
      <c r="O52" s="276"/>
      <c r="P52" s="276"/>
      <c r="Q52" s="278"/>
      <c r="R52" s="279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</row>
    <row r="53" spans="1:45" s="327" customFormat="1" ht="6.75" customHeight="1" x14ac:dyDescent="0.25">
      <c r="A53" s="321"/>
      <c r="B53" s="321"/>
      <c r="C53" s="321"/>
      <c r="D53" s="321"/>
      <c r="E53" s="321"/>
      <c r="F53" s="322"/>
      <c r="G53" s="322"/>
      <c r="H53" s="322"/>
      <c r="I53" s="322"/>
      <c r="J53" s="323"/>
      <c r="K53" s="324"/>
      <c r="L53" s="325"/>
      <c r="M53" s="324"/>
      <c r="N53" s="325"/>
      <c r="O53" s="324"/>
      <c r="P53" s="325"/>
      <c r="Q53" s="324"/>
      <c r="R53" s="325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280"/>
      <c r="AJ53" s="280"/>
      <c r="AK53" s="280"/>
      <c r="AL53" s="326"/>
      <c r="AM53" s="326"/>
      <c r="AN53" s="326"/>
      <c r="AO53" s="326"/>
      <c r="AP53" s="326"/>
      <c r="AQ53" s="326"/>
      <c r="AR53" s="326"/>
      <c r="AS53" s="326"/>
    </row>
    <row r="54" spans="1:45" s="340" customFormat="1" ht="10.5" customHeight="1" x14ac:dyDescent="0.25">
      <c r="A54" s="328" t="s">
        <v>32</v>
      </c>
      <c r="B54" s="329"/>
      <c r="C54" s="329"/>
      <c r="D54" s="330"/>
      <c r="E54" s="331" t="s">
        <v>3</v>
      </c>
      <c r="F54" s="332" t="s">
        <v>34</v>
      </c>
      <c r="G54" s="331"/>
      <c r="H54" s="333"/>
      <c r="I54" s="334"/>
      <c r="J54" s="331" t="s">
        <v>3</v>
      </c>
      <c r="K54" s="332" t="s">
        <v>41</v>
      </c>
      <c r="L54" s="335"/>
      <c r="M54" s="332" t="s">
        <v>42</v>
      </c>
      <c r="N54" s="336"/>
      <c r="O54" s="337" t="s">
        <v>43</v>
      </c>
      <c r="P54" s="337"/>
      <c r="Q54" s="338"/>
      <c r="R54" s="339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2"/>
      <c r="AJ54" s="342"/>
      <c r="AK54" s="342"/>
      <c r="AL54" s="341"/>
      <c r="AM54" s="341"/>
      <c r="AN54" s="341"/>
      <c r="AO54" s="341"/>
      <c r="AP54" s="341"/>
      <c r="AQ54" s="341"/>
      <c r="AR54" s="341"/>
      <c r="AS54" s="341"/>
    </row>
    <row r="55" spans="1:45" s="340" customFormat="1" ht="9" customHeight="1" x14ac:dyDescent="0.25">
      <c r="A55" s="343" t="s">
        <v>33</v>
      </c>
      <c r="B55" s="344"/>
      <c r="C55" s="345"/>
      <c r="D55" s="346"/>
      <c r="E55" s="347">
        <v>1</v>
      </c>
      <c r="F55" s="341" t="str">
        <f>IF(E55&gt;$R$62,,UPPER(VLOOKUP(E55,'[4]1MD ELO'!$A$7:$Q$134,2)))</f>
        <v/>
      </c>
      <c r="G55" s="347"/>
      <c r="H55" s="341"/>
      <c r="I55" s="348"/>
      <c r="J55" s="349" t="s">
        <v>4</v>
      </c>
      <c r="K55" s="350"/>
      <c r="L55" s="351"/>
      <c r="M55" s="350"/>
      <c r="N55" s="352"/>
      <c r="O55" s="353" t="s">
        <v>35</v>
      </c>
      <c r="P55" s="354"/>
      <c r="Q55" s="354"/>
      <c r="R55" s="352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2"/>
      <c r="AJ55" s="342"/>
      <c r="AK55" s="342"/>
      <c r="AL55" s="341"/>
      <c r="AM55" s="341"/>
      <c r="AN55" s="341"/>
      <c r="AO55" s="341"/>
      <c r="AP55" s="341"/>
      <c r="AQ55" s="341"/>
      <c r="AR55" s="341"/>
      <c r="AS55" s="341"/>
    </row>
    <row r="56" spans="1:45" s="340" customFormat="1" ht="9" customHeight="1" x14ac:dyDescent="0.25">
      <c r="A56" s="355" t="s">
        <v>40</v>
      </c>
      <c r="B56" s="356"/>
      <c r="C56" s="357"/>
      <c r="D56" s="358"/>
      <c r="E56" s="347">
        <v>2</v>
      </c>
      <c r="F56" s="341" t="str">
        <f>IF(E56&gt;$R$62,,UPPER(VLOOKUP(E56,'[4]1MD ELO'!$A$7:$Q$134,2)))</f>
        <v/>
      </c>
      <c r="G56" s="347"/>
      <c r="H56" s="341"/>
      <c r="I56" s="348"/>
      <c r="J56" s="349" t="s">
        <v>5</v>
      </c>
      <c r="K56" s="350"/>
      <c r="L56" s="351"/>
      <c r="M56" s="350"/>
      <c r="N56" s="352"/>
      <c r="O56" s="359"/>
      <c r="P56" s="360"/>
      <c r="Q56" s="356"/>
      <c r="R56" s="36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2"/>
      <c r="AJ56" s="342"/>
      <c r="AK56" s="342"/>
      <c r="AL56" s="341"/>
      <c r="AM56" s="341"/>
      <c r="AN56" s="341"/>
      <c r="AO56" s="341"/>
      <c r="AP56" s="341"/>
      <c r="AQ56" s="341"/>
      <c r="AR56" s="341"/>
      <c r="AS56" s="341"/>
    </row>
    <row r="57" spans="1:45" s="340" customFormat="1" ht="9" customHeight="1" x14ac:dyDescent="0.25">
      <c r="A57" s="362"/>
      <c r="B57" s="363"/>
      <c r="C57" s="364"/>
      <c r="D57" s="365"/>
      <c r="E57" s="347"/>
      <c r="F57" s="341"/>
      <c r="G57" s="347"/>
      <c r="H57" s="341"/>
      <c r="I57" s="348"/>
      <c r="J57" s="349" t="s">
        <v>6</v>
      </c>
      <c r="K57" s="350"/>
      <c r="L57" s="351"/>
      <c r="M57" s="350"/>
      <c r="N57" s="352"/>
      <c r="O57" s="353" t="s">
        <v>36</v>
      </c>
      <c r="P57" s="354"/>
      <c r="Q57" s="354"/>
      <c r="R57" s="352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2"/>
      <c r="AJ57" s="342"/>
      <c r="AK57" s="342"/>
      <c r="AL57" s="341"/>
      <c r="AM57" s="341"/>
      <c r="AN57" s="341"/>
      <c r="AO57" s="341"/>
      <c r="AP57" s="341"/>
      <c r="AQ57" s="341"/>
      <c r="AR57" s="341"/>
      <c r="AS57" s="341"/>
    </row>
    <row r="58" spans="1:45" s="340" customFormat="1" ht="9" customHeight="1" x14ac:dyDescent="0.25">
      <c r="A58" s="366"/>
      <c r="B58" s="252"/>
      <c r="C58" s="252"/>
      <c r="D58" s="367"/>
      <c r="E58" s="347"/>
      <c r="F58" s="341"/>
      <c r="G58" s="347"/>
      <c r="H58" s="341"/>
      <c r="I58" s="348"/>
      <c r="J58" s="349" t="s">
        <v>7</v>
      </c>
      <c r="K58" s="350"/>
      <c r="L58" s="351"/>
      <c r="M58" s="350"/>
      <c r="N58" s="352"/>
      <c r="O58" s="350"/>
      <c r="P58" s="351"/>
      <c r="Q58" s="350"/>
      <c r="R58" s="352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2"/>
      <c r="AJ58" s="342"/>
      <c r="AK58" s="342"/>
      <c r="AL58" s="341"/>
      <c r="AM58" s="341"/>
      <c r="AN58" s="341"/>
      <c r="AO58" s="341"/>
      <c r="AP58" s="341"/>
      <c r="AQ58" s="341"/>
      <c r="AR58" s="341"/>
      <c r="AS58" s="341"/>
    </row>
    <row r="59" spans="1:45" s="340" customFormat="1" ht="9" customHeight="1" x14ac:dyDescent="0.25">
      <c r="A59" s="368"/>
      <c r="B59" s="369"/>
      <c r="C59" s="369"/>
      <c r="D59" s="370"/>
      <c r="E59" s="347"/>
      <c r="F59" s="341"/>
      <c r="G59" s="347"/>
      <c r="H59" s="341"/>
      <c r="I59" s="348"/>
      <c r="J59" s="349" t="s">
        <v>8</v>
      </c>
      <c r="K59" s="350"/>
      <c r="L59" s="351"/>
      <c r="M59" s="350"/>
      <c r="N59" s="352"/>
      <c r="O59" s="356"/>
      <c r="P59" s="360"/>
      <c r="Q59" s="356"/>
      <c r="R59" s="36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J59" s="342"/>
      <c r="AK59" s="342"/>
      <c r="AL59" s="341"/>
      <c r="AM59" s="341"/>
      <c r="AN59" s="341"/>
      <c r="AO59" s="341"/>
      <c r="AP59" s="341"/>
      <c r="AQ59" s="341"/>
      <c r="AR59" s="341"/>
      <c r="AS59" s="341"/>
    </row>
    <row r="60" spans="1:45" s="340" customFormat="1" ht="9" customHeight="1" x14ac:dyDescent="0.25">
      <c r="A60" s="371"/>
      <c r="B60" s="372"/>
      <c r="C60" s="252"/>
      <c r="D60" s="367"/>
      <c r="E60" s="347"/>
      <c r="F60" s="341"/>
      <c r="G60" s="347"/>
      <c r="H60" s="341"/>
      <c r="I60" s="348"/>
      <c r="J60" s="349" t="s">
        <v>9</v>
      </c>
      <c r="K60" s="350"/>
      <c r="L60" s="351"/>
      <c r="M60" s="350"/>
      <c r="N60" s="352"/>
      <c r="O60" s="353" t="s">
        <v>28</v>
      </c>
      <c r="P60" s="354"/>
      <c r="Q60" s="354"/>
      <c r="R60" s="352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2"/>
      <c r="AJ60" s="342"/>
      <c r="AK60" s="342"/>
      <c r="AL60" s="341"/>
      <c r="AM60" s="341"/>
      <c r="AN60" s="341"/>
      <c r="AO60" s="341"/>
      <c r="AP60" s="341"/>
      <c r="AQ60" s="341"/>
      <c r="AR60" s="341"/>
      <c r="AS60" s="341"/>
    </row>
    <row r="61" spans="1:45" s="340" customFormat="1" ht="9" customHeight="1" x14ac:dyDescent="0.25">
      <c r="A61" s="371"/>
      <c r="B61" s="372"/>
      <c r="C61" s="373"/>
      <c r="D61" s="374"/>
      <c r="E61" s="347"/>
      <c r="F61" s="341"/>
      <c r="G61" s="347"/>
      <c r="H61" s="341"/>
      <c r="I61" s="348"/>
      <c r="J61" s="349" t="s">
        <v>10</v>
      </c>
      <c r="K61" s="350"/>
      <c r="L61" s="351"/>
      <c r="M61" s="350"/>
      <c r="N61" s="352"/>
      <c r="O61" s="350"/>
      <c r="P61" s="351"/>
      <c r="Q61" s="350"/>
      <c r="R61" s="352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2"/>
      <c r="AJ61" s="342"/>
      <c r="AK61" s="342"/>
      <c r="AL61" s="341"/>
      <c r="AM61" s="341"/>
      <c r="AN61" s="341"/>
      <c r="AO61" s="341"/>
      <c r="AP61" s="341"/>
      <c r="AQ61" s="341"/>
      <c r="AR61" s="341"/>
      <c r="AS61" s="341"/>
    </row>
    <row r="62" spans="1:45" s="340" customFormat="1" ht="9" customHeight="1" x14ac:dyDescent="0.25">
      <c r="A62" s="375"/>
      <c r="B62" s="376"/>
      <c r="C62" s="377"/>
      <c r="D62" s="378"/>
      <c r="E62" s="379"/>
      <c r="F62" s="359"/>
      <c r="G62" s="379"/>
      <c r="H62" s="359"/>
      <c r="I62" s="380"/>
      <c r="J62" s="381" t="s">
        <v>11</v>
      </c>
      <c r="K62" s="356"/>
      <c r="L62" s="360"/>
      <c r="M62" s="356"/>
      <c r="N62" s="361"/>
      <c r="O62" s="356">
        <f>R4</f>
        <v>0</v>
      </c>
      <c r="P62" s="360"/>
      <c r="Q62" s="356"/>
      <c r="R62" s="382">
        <f>MIN(4,'[4]1MD ELO'!Q5)</f>
        <v>4</v>
      </c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2"/>
      <c r="AJ62" s="342"/>
      <c r="AK62" s="342"/>
      <c r="AL62" s="341"/>
      <c r="AM62" s="341"/>
      <c r="AN62" s="341"/>
      <c r="AO62" s="341"/>
      <c r="AP62" s="341"/>
      <c r="AQ62" s="341"/>
      <c r="AR62" s="341"/>
      <c r="AS62" s="341"/>
    </row>
    <row r="63" spans="1:45" x14ac:dyDescent="0.25"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L63" s="385"/>
      <c r="AM63" s="385"/>
      <c r="AN63" s="385"/>
      <c r="AO63" s="385"/>
      <c r="AP63" s="385"/>
      <c r="AQ63" s="385"/>
      <c r="AR63" s="385"/>
      <c r="AS63" s="385"/>
    </row>
    <row r="64" spans="1:45" x14ac:dyDescent="0.25"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L64" s="385"/>
      <c r="AM64" s="385"/>
      <c r="AN64" s="385"/>
      <c r="AO64" s="385"/>
      <c r="AP64" s="385"/>
      <c r="AQ64" s="385"/>
      <c r="AR64" s="385"/>
      <c r="AS64" s="385"/>
    </row>
    <row r="65" spans="20:45" x14ac:dyDescent="0.25"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L65" s="385"/>
      <c r="AM65" s="385"/>
      <c r="AN65" s="385"/>
      <c r="AO65" s="385"/>
      <c r="AP65" s="385"/>
      <c r="AQ65" s="385"/>
      <c r="AR65" s="385"/>
      <c r="AS65" s="385"/>
    </row>
    <row r="66" spans="20:45" x14ac:dyDescent="0.25"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385"/>
      <c r="AH66" s="385"/>
      <c r="AL66" s="385"/>
      <c r="AM66" s="385"/>
      <c r="AN66" s="385"/>
      <c r="AO66" s="385"/>
      <c r="AP66" s="385"/>
      <c r="AQ66" s="385"/>
      <c r="AR66" s="385"/>
      <c r="AS66" s="385"/>
    </row>
    <row r="67" spans="20:45" x14ac:dyDescent="0.25"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385"/>
      <c r="AH67" s="385"/>
      <c r="AL67" s="385"/>
      <c r="AM67" s="385"/>
      <c r="AN67" s="385"/>
      <c r="AO67" s="385"/>
      <c r="AP67" s="385"/>
      <c r="AQ67" s="385"/>
      <c r="AR67" s="385"/>
      <c r="AS67" s="385"/>
    </row>
    <row r="68" spans="20:45" x14ac:dyDescent="0.25"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385"/>
      <c r="AH68" s="385"/>
      <c r="AL68" s="385"/>
      <c r="AM68" s="385"/>
      <c r="AN68" s="385"/>
      <c r="AO68" s="385"/>
      <c r="AP68" s="385"/>
      <c r="AQ68" s="385"/>
      <c r="AR68" s="385"/>
      <c r="AS68" s="385"/>
    </row>
    <row r="69" spans="20:45" x14ac:dyDescent="0.25">
      <c r="T69" s="385"/>
      <c r="U69" s="385"/>
      <c r="V69" s="385"/>
      <c r="W69" s="385"/>
      <c r="X69" s="385"/>
      <c r="Y69" s="385"/>
      <c r="Z69" s="385"/>
      <c r="AA69" s="385"/>
      <c r="AB69" s="385"/>
      <c r="AC69" s="385"/>
      <c r="AD69" s="385"/>
      <c r="AE69" s="385"/>
      <c r="AF69" s="385"/>
      <c r="AG69" s="385"/>
      <c r="AH69" s="385"/>
      <c r="AL69" s="385"/>
      <c r="AM69" s="385"/>
      <c r="AN69" s="385"/>
      <c r="AO69" s="385"/>
      <c r="AP69" s="385"/>
      <c r="AQ69" s="385"/>
      <c r="AR69" s="385"/>
      <c r="AS69" s="385"/>
    </row>
    <row r="70" spans="20:45" x14ac:dyDescent="0.25"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L70" s="385"/>
      <c r="AM70" s="385"/>
      <c r="AN70" s="385"/>
      <c r="AO70" s="385"/>
      <c r="AP70" s="385"/>
      <c r="AQ70" s="385"/>
      <c r="AR70" s="385"/>
      <c r="AS70" s="385"/>
    </row>
    <row r="71" spans="20:45" x14ac:dyDescent="0.25">
      <c r="T71" s="385"/>
      <c r="U71" s="385"/>
      <c r="V71" s="385"/>
      <c r="W71" s="385"/>
      <c r="X71" s="385"/>
      <c r="Y71" s="385"/>
      <c r="Z71" s="385"/>
      <c r="AA71" s="385"/>
      <c r="AB71" s="385"/>
      <c r="AC71" s="385"/>
      <c r="AD71" s="385"/>
      <c r="AE71" s="385"/>
      <c r="AF71" s="385"/>
      <c r="AG71" s="385"/>
      <c r="AH71" s="385"/>
      <c r="AL71" s="385"/>
      <c r="AM71" s="385"/>
      <c r="AN71" s="385"/>
      <c r="AO71" s="385"/>
      <c r="AP71" s="385"/>
      <c r="AQ71" s="385"/>
      <c r="AR71" s="385"/>
      <c r="AS71" s="385"/>
    </row>
    <row r="72" spans="20:45" x14ac:dyDescent="0.25">
      <c r="T72" s="385"/>
      <c r="U72" s="385"/>
      <c r="V72" s="385"/>
      <c r="W72" s="385"/>
      <c r="X72" s="385"/>
      <c r="Y72" s="385"/>
      <c r="Z72" s="385"/>
      <c r="AA72" s="385"/>
      <c r="AB72" s="385"/>
      <c r="AC72" s="385"/>
      <c r="AD72" s="385"/>
      <c r="AE72" s="385"/>
      <c r="AF72" s="385"/>
      <c r="AG72" s="385"/>
      <c r="AH72" s="385"/>
      <c r="AL72" s="385"/>
      <c r="AM72" s="385"/>
      <c r="AN72" s="385"/>
      <c r="AO72" s="385"/>
      <c r="AP72" s="385"/>
      <c r="AQ72" s="385"/>
      <c r="AR72" s="385"/>
      <c r="AS72" s="385"/>
    </row>
    <row r="73" spans="20:45" x14ac:dyDescent="0.25"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L73" s="385"/>
      <c r="AM73" s="385"/>
      <c r="AN73" s="385"/>
      <c r="AO73" s="385"/>
      <c r="AP73" s="385"/>
      <c r="AQ73" s="385"/>
      <c r="AR73" s="385"/>
      <c r="AS73" s="385"/>
    </row>
    <row r="74" spans="20:45" x14ac:dyDescent="0.25">
      <c r="T74" s="385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5"/>
      <c r="AL74" s="385"/>
      <c r="AM74" s="385"/>
      <c r="AN74" s="385"/>
      <c r="AO74" s="385"/>
      <c r="AP74" s="385"/>
      <c r="AQ74" s="385"/>
      <c r="AR74" s="385"/>
      <c r="AS74" s="385"/>
    </row>
    <row r="75" spans="20:45" x14ac:dyDescent="0.25">
      <c r="T75" s="385"/>
      <c r="U75" s="385"/>
      <c r="V75" s="385"/>
      <c r="W75" s="385"/>
      <c r="X75" s="385"/>
      <c r="Y75" s="385"/>
      <c r="Z75" s="385"/>
      <c r="AA75" s="385"/>
      <c r="AB75" s="385"/>
      <c r="AC75" s="385"/>
      <c r="AD75" s="385"/>
      <c r="AE75" s="385"/>
      <c r="AF75" s="385"/>
      <c r="AG75" s="385"/>
      <c r="AH75" s="385"/>
      <c r="AL75" s="385"/>
      <c r="AM75" s="385"/>
      <c r="AN75" s="385"/>
      <c r="AO75" s="385"/>
      <c r="AP75" s="385"/>
      <c r="AQ75" s="385"/>
      <c r="AR75" s="385"/>
      <c r="AS75" s="385"/>
    </row>
    <row r="76" spans="20:45" x14ac:dyDescent="0.25"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L76" s="385"/>
      <c r="AM76" s="385"/>
      <c r="AN76" s="385"/>
      <c r="AO76" s="385"/>
      <c r="AP76" s="385"/>
      <c r="AQ76" s="385"/>
      <c r="AR76" s="385"/>
      <c r="AS76" s="385"/>
    </row>
    <row r="77" spans="20:45" x14ac:dyDescent="0.25"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L77" s="385"/>
      <c r="AM77" s="385"/>
      <c r="AN77" s="385"/>
      <c r="AO77" s="385"/>
      <c r="AP77" s="385"/>
      <c r="AQ77" s="385"/>
      <c r="AR77" s="385"/>
      <c r="AS77" s="385"/>
    </row>
    <row r="78" spans="20:45" x14ac:dyDescent="0.25"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L78" s="385"/>
      <c r="AM78" s="385"/>
      <c r="AN78" s="385"/>
      <c r="AO78" s="385"/>
      <c r="AP78" s="385"/>
      <c r="AQ78" s="385"/>
      <c r="AR78" s="385"/>
      <c r="AS78" s="385"/>
    </row>
    <row r="79" spans="20:45" x14ac:dyDescent="0.25">
      <c r="T79" s="385"/>
      <c r="U79" s="385"/>
      <c r="V79" s="385"/>
      <c r="W79" s="385"/>
      <c r="X79" s="385"/>
      <c r="Y79" s="385"/>
      <c r="Z79" s="385"/>
      <c r="AA79" s="385"/>
      <c r="AB79" s="385"/>
      <c r="AC79" s="385"/>
      <c r="AD79" s="385"/>
      <c r="AE79" s="385"/>
      <c r="AF79" s="385"/>
      <c r="AG79" s="385"/>
      <c r="AH79" s="385"/>
      <c r="AL79" s="385"/>
      <c r="AM79" s="385"/>
      <c r="AN79" s="385"/>
      <c r="AO79" s="385"/>
      <c r="AP79" s="385"/>
      <c r="AQ79" s="385"/>
      <c r="AR79" s="385"/>
      <c r="AS79" s="385"/>
    </row>
    <row r="80" spans="20:45" x14ac:dyDescent="0.25">
      <c r="T80" s="385"/>
      <c r="U80" s="385"/>
      <c r="V80" s="385"/>
      <c r="W80" s="385"/>
      <c r="X80" s="385"/>
      <c r="Y80" s="385"/>
      <c r="Z80" s="385"/>
      <c r="AA80" s="385"/>
      <c r="AB80" s="385"/>
      <c r="AC80" s="385"/>
      <c r="AD80" s="385"/>
      <c r="AE80" s="385"/>
      <c r="AF80" s="385"/>
      <c r="AG80" s="385"/>
      <c r="AH80" s="385"/>
      <c r="AL80" s="385"/>
      <c r="AM80" s="385"/>
      <c r="AN80" s="385"/>
      <c r="AO80" s="385"/>
      <c r="AP80" s="385"/>
      <c r="AQ80" s="385"/>
      <c r="AR80" s="385"/>
      <c r="AS80" s="385"/>
    </row>
    <row r="81" spans="20:45" x14ac:dyDescent="0.25"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L81" s="385"/>
      <c r="AM81" s="385"/>
      <c r="AN81" s="385"/>
      <c r="AO81" s="385"/>
      <c r="AP81" s="385"/>
      <c r="AQ81" s="385"/>
      <c r="AR81" s="385"/>
      <c r="AS81" s="385"/>
    </row>
    <row r="82" spans="20:45" x14ac:dyDescent="0.25">
      <c r="T82" s="385"/>
      <c r="U82" s="385"/>
      <c r="V82" s="385"/>
      <c r="W82" s="385"/>
      <c r="X82" s="385"/>
      <c r="Y82" s="385"/>
      <c r="Z82" s="385"/>
      <c r="AA82" s="385"/>
      <c r="AB82" s="385"/>
      <c r="AC82" s="385"/>
      <c r="AD82" s="385"/>
      <c r="AE82" s="385"/>
      <c r="AF82" s="385"/>
      <c r="AG82" s="385"/>
      <c r="AH82" s="385"/>
      <c r="AL82" s="385"/>
      <c r="AM82" s="385"/>
      <c r="AN82" s="385"/>
      <c r="AO82" s="385"/>
      <c r="AP82" s="385"/>
      <c r="AQ82" s="385"/>
      <c r="AR82" s="385"/>
      <c r="AS82" s="385"/>
    </row>
    <row r="83" spans="20:45" x14ac:dyDescent="0.25">
      <c r="T83" s="385"/>
      <c r="U83" s="385"/>
      <c r="V83" s="385"/>
      <c r="W83" s="385"/>
      <c r="X83" s="385"/>
      <c r="Y83" s="385"/>
      <c r="Z83" s="385"/>
      <c r="AA83" s="385"/>
      <c r="AB83" s="385"/>
      <c r="AC83" s="385"/>
      <c r="AD83" s="385"/>
      <c r="AE83" s="385"/>
      <c r="AF83" s="385"/>
      <c r="AG83" s="385"/>
      <c r="AH83" s="385"/>
      <c r="AL83" s="385"/>
      <c r="AM83" s="385"/>
      <c r="AN83" s="385"/>
      <c r="AO83" s="385"/>
      <c r="AP83" s="385"/>
      <c r="AQ83" s="385"/>
      <c r="AR83" s="385"/>
      <c r="AS83" s="385"/>
    </row>
    <row r="84" spans="20:45" x14ac:dyDescent="0.25">
      <c r="T84" s="385"/>
      <c r="U84" s="385"/>
      <c r="V84" s="385"/>
      <c r="W84" s="385"/>
      <c r="X84" s="385"/>
      <c r="Y84" s="385"/>
      <c r="Z84" s="385"/>
      <c r="AA84" s="385"/>
      <c r="AB84" s="385"/>
      <c r="AC84" s="385"/>
      <c r="AD84" s="385"/>
      <c r="AE84" s="385"/>
      <c r="AF84" s="385"/>
      <c r="AG84" s="385"/>
      <c r="AH84" s="385"/>
      <c r="AL84" s="385"/>
      <c r="AM84" s="385"/>
      <c r="AN84" s="385"/>
      <c r="AO84" s="385"/>
      <c r="AP84" s="385"/>
      <c r="AQ84" s="385"/>
      <c r="AR84" s="385"/>
      <c r="AS84" s="385"/>
    </row>
    <row r="85" spans="20:45" x14ac:dyDescent="0.25"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L85" s="385"/>
      <c r="AM85" s="385"/>
      <c r="AN85" s="385"/>
      <c r="AO85" s="385"/>
      <c r="AP85" s="385"/>
      <c r="AQ85" s="385"/>
      <c r="AR85" s="385"/>
      <c r="AS85" s="385"/>
    </row>
    <row r="86" spans="20:45" x14ac:dyDescent="0.25"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5"/>
      <c r="AG86" s="385"/>
      <c r="AH86" s="385"/>
      <c r="AL86" s="385"/>
      <c r="AM86" s="385"/>
      <c r="AN86" s="385"/>
      <c r="AO86" s="385"/>
      <c r="AP86" s="385"/>
      <c r="AQ86" s="385"/>
      <c r="AR86" s="385"/>
      <c r="AS86" s="385"/>
    </row>
    <row r="87" spans="20:45" x14ac:dyDescent="0.25"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5"/>
      <c r="AG87" s="385"/>
      <c r="AH87" s="385"/>
      <c r="AL87" s="385"/>
      <c r="AM87" s="385"/>
      <c r="AN87" s="385"/>
      <c r="AO87" s="385"/>
      <c r="AP87" s="385"/>
      <c r="AQ87" s="385"/>
      <c r="AR87" s="385"/>
      <c r="AS87" s="385"/>
    </row>
    <row r="88" spans="20:45" x14ac:dyDescent="0.25"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L88" s="385"/>
      <c r="AM88" s="385"/>
      <c r="AN88" s="385"/>
      <c r="AO88" s="385"/>
      <c r="AP88" s="385"/>
      <c r="AQ88" s="385"/>
      <c r="AR88" s="385"/>
      <c r="AS88" s="385"/>
    </row>
    <row r="89" spans="20:45" x14ac:dyDescent="0.25"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5"/>
      <c r="AG89" s="385"/>
      <c r="AH89" s="385"/>
      <c r="AL89" s="385"/>
      <c r="AM89" s="385"/>
      <c r="AN89" s="385"/>
      <c r="AO89" s="385"/>
      <c r="AP89" s="385"/>
      <c r="AQ89" s="385"/>
      <c r="AR89" s="385"/>
      <c r="AS89" s="385"/>
    </row>
    <row r="90" spans="20:45" x14ac:dyDescent="0.25"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5"/>
      <c r="AG90" s="385"/>
      <c r="AH90" s="385"/>
      <c r="AL90" s="385"/>
      <c r="AM90" s="385"/>
      <c r="AN90" s="385"/>
      <c r="AO90" s="385"/>
      <c r="AP90" s="385"/>
      <c r="AQ90" s="385"/>
      <c r="AR90" s="385"/>
      <c r="AS90" s="385"/>
    </row>
    <row r="91" spans="20:45" x14ac:dyDescent="0.25"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5"/>
      <c r="AG91" s="385"/>
      <c r="AH91" s="385"/>
      <c r="AL91" s="385"/>
      <c r="AM91" s="385"/>
      <c r="AN91" s="385"/>
      <c r="AO91" s="385"/>
      <c r="AP91" s="385"/>
      <c r="AQ91" s="385"/>
      <c r="AR91" s="385"/>
      <c r="AS91" s="385"/>
    </row>
    <row r="92" spans="20:45" x14ac:dyDescent="0.25"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5"/>
      <c r="AG92" s="385"/>
      <c r="AH92" s="385"/>
      <c r="AL92" s="385"/>
      <c r="AM92" s="385"/>
      <c r="AN92" s="385"/>
      <c r="AO92" s="385"/>
      <c r="AP92" s="385"/>
      <c r="AQ92" s="385"/>
      <c r="AR92" s="385"/>
      <c r="AS92" s="385"/>
    </row>
    <row r="93" spans="20:45" x14ac:dyDescent="0.25"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5"/>
      <c r="AG93" s="385"/>
      <c r="AH93" s="385"/>
      <c r="AL93" s="385"/>
      <c r="AM93" s="385"/>
      <c r="AN93" s="385"/>
      <c r="AO93" s="385"/>
      <c r="AP93" s="385"/>
      <c r="AQ93" s="385"/>
      <c r="AR93" s="385"/>
      <c r="AS93" s="385"/>
    </row>
    <row r="94" spans="20:45" x14ac:dyDescent="0.25"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L94" s="385"/>
      <c r="AM94" s="385"/>
      <c r="AN94" s="385"/>
      <c r="AO94" s="385"/>
      <c r="AP94" s="385"/>
      <c r="AQ94" s="385"/>
      <c r="AR94" s="385"/>
      <c r="AS94" s="385"/>
    </row>
    <row r="95" spans="20:45" x14ac:dyDescent="0.25"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L95" s="385"/>
      <c r="AM95" s="385"/>
      <c r="AN95" s="385"/>
      <c r="AO95" s="385"/>
      <c r="AP95" s="385"/>
      <c r="AQ95" s="385"/>
      <c r="AR95" s="385"/>
      <c r="AS95" s="385"/>
    </row>
    <row r="96" spans="20:45" x14ac:dyDescent="0.25"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L96" s="385"/>
      <c r="AM96" s="385"/>
      <c r="AN96" s="385"/>
      <c r="AO96" s="385"/>
      <c r="AP96" s="385"/>
      <c r="AQ96" s="385"/>
      <c r="AR96" s="385"/>
      <c r="AS96" s="385"/>
    </row>
    <row r="97" spans="20:45" x14ac:dyDescent="0.25"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L97" s="385"/>
      <c r="AM97" s="385"/>
      <c r="AN97" s="385"/>
      <c r="AO97" s="385"/>
      <c r="AP97" s="385"/>
      <c r="AQ97" s="385"/>
      <c r="AR97" s="385"/>
      <c r="AS97" s="385"/>
    </row>
    <row r="98" spans="20:45" x14ac:dyDescent="0.25"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L98" s="385"/>
      <c r="AM98" s="385"/>
      <c r="AN98" s="385"/>
      <c r="AO98" s="385"/>
      <c r="AP98" s="385"/>
      <c r="AQ98" s="385"/>
      <c r="AR98" s="385"/>
      <c r="AS98" s="385"/>
    </row>
    <row r="99" spans="20:45" x14ac:dyDescent="0.25"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L99" s="385"/>
      <c r="AM99" s="385"/>
      <c r="AN99" s="385"/>
      <c r="AO99" s="385"/>
      <c r="AP99" s="385"/>
      <c r="AQ99" s="385"/>
      <c r="AR99" s="385"/>
      <c r="AS99" s="385"/>
    </row>
    <row r="100" spans="20:45" x14ac:dyDescent="0.25"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5"/>
      <c r="AG100" s="385"/>
      <c r="AH100" s="385"/>
      <c r="AL100" s="385"/>
      <c r="AM100" s="385"/>
      <c r="AN100" s="385"/>
      <c r="AO100" s="385"/>
      <c r="AP100" s="385"/>
      <c r="AQ100" s="385"/>
      <c r="AR100" s="385"/>
      <c r="AS100" s="385"/>
    </row>
    <row r="101" spans="20:45" x14ac:dyDescent="0.25"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5"/>
      <c r="AL101" s="385"/>
      <c r="AM101" s="385"/>
      <c r="AN101" s="385"/>
      <c r="AO101" s="385"/>
      <c r="AP101" s="385"/>
      <c r="AQ101" s="385"/>
      <c r="AR101" s="385"/>
      <c r="AS101" s="385"/>
    </row>
    <row r="102" spans="20:45" x14ac:dyDescent="0.25"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5"/>
      <c r="AG102" s="385"/>
      <c r="AH102" s="385"/>
      <c r="AL102" s="385"/>
      <c r="AM102" s="385"/>
      <c r="AN102" s="385"/>
      <c r="AO102" s="385"/>
      <c r="AP102" s="385"/>
      <c r="AQ102" s="385"/>
      <c r="AR102" s="385"/>
      <c r="AS102" s="385"/>
    </row>
    <row r="103" spans="20:45" x14ac:dyDescent="0.25"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L103" s="385"/>
      <c r="AM103" s="385"/>
      <c r="AN103" s="385"/>
      <c r="AO103" s="385"/>
      <c r="AP103" s="385"/>
      <c r="AQ103" s="385"/>
      <c r="AR103" s="385"/>
      <c r="AS103" s="385"/>
    </row>
    <row r="104" spans="20:45" x14ac:dyDescent="0.25"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5"/>
      <c r="AG104" s="385"/>
      <c r="AH104" s="385"/>
      <c r="AL104" s="385"/>
      <c r="AM104" s="385"/>
      <c r="AN104" s="385"/>
      <c r="AO104" s="385"/>
      <c r="AP104" s="385"/>
      <c r="AQ104" s="385"/>
      <c r="AR104" s="385"/>
      <c r="AS104" s="385"/>
    </row>
    <row r="105" spans="20:45" x14ac:dyDescent="0.25"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L105" s="385"/>
      <c r="AM105" s="385"/>
      <c r="AN105" s="385"/>
      <c r="AO105" s="385"/>
      <c r="AP105" s="385"/>
      <c r="AQ105" s="385"/>
      <c r="AR105" s="385"/>
      <c r="AS105" s="385"/>
    </row>
    <row r="106" spans="20:45" x14ac:dyDescent="0.25"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L106" s="385"/>
      <c r="AM106" s="385"/>
      <c r="AN106" s="385"/>
      <c r="AO106" s="385"/>
      <c r="AP106" s="385"/>
      <c r="AQ106" s="385"/>
      <c r="AR106" s="385"/>
      <c r="AS106" s="385"/>
    </row>
    <row r="107" spans="20:45" x14ac:dyDescent="0.25"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L107" s="385"/>
      <c r="AM107" s="385"/>
      <c r="AN107" s="385"/>
      <c r="AO107" s="385"/>
      <c r="AP107" s="385"/>
      <c r="AQ107" s="385"/>
      <c r="AR107" s="385"/>
      <c r="AS107" s="385"/>
    </row>
    <row r="108" spans="20:45" x14ac:dyDescent="0.25"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L108" s="385"/>
      <c r="AM108" s="385"/>
      <c r="AN108" s="385"/>
      <c r="AO108" s="385"/>
      <c r="AP108" s="385"/>
      <c r="AQ108" s="385"/>
      <c r="AR108" s="385"/>
      <c r="AS108" s="385"/>
    </row>
    <row r="109" spans="20:45" x14ac:dyDescent="0.25"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5"/>
      <c r="AG109" s="385"/>
      <c r="AH109" s="385"/>
      <c r="AL109" s="385"/>
      <c r="AM109" s="385"/>
      <c r="AN109" s="385"/>
      <c r="AO109" s="385"/>
      <c r="AP109" s="385"/>
      <c r="AQ109" s="385"/>
      <c r="AR109" s="385"/>
      <c r="AS109" s="385"/>
    </row>
    <row r="110" spans="20:45" x14ac:dyDescent="0.25"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5"/>
      <c r="AH110" s="385"/>
      <c r="AL110" s="385"/>
      <c r="AM110" s="385"/>
      <c r="AN110" s="385"/>
      <c r="AO110" s="385"/>
      <c r="AP110" s="385"/>
      <c r="AQ110" s="385"/>
      <c r="AR110" s="385"/>
      <c r="AS110" s="385"/>
    </row>
    <row r="111" spans="20:45" x14ac:dyDescent="0.25"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L111" s="385"/>
      <c r="AM111" s="385"/>
      <c r="AN111" s="385"/>
      <c r="AO111" s="385"/>
      <c r="AP111" s="385"/>
      <c r="AQ111" s="385"/>
      <c r="AR111" s="385"/>
      <c r="AS111" s="385"/>
    </row>
    <row r="112" spans="20:45" x14ac:dyDescent="0.25"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L112" s="385"/>
      <c r="AM112" s="385"/>
      <c r="AN112" s="385"/>
      <c r="AO112" s="385"/>
      <c r="AP112" s="385"/>
      <c r="AQ112" s="385"/>
      <c r="AR112" s="385"/>
      <c r="AS112" s="385"/>
    </row>
    <row r="113" spans="20:45" x14ac:dyDescent="0.25"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L113" s="385"/>
      <c r="AM113" s="385"/>
      <c r="AN113" s="385"/>
      <c r="AO113" s="385"/>
      <c r="AP113" s="385"/>
      <c r="AQ113" s="385"/>
      <c r="AR113" s="385"/>
      <c r="AS113" s="385"/>
    </row>
    <row r="114" spans="20:45" x14ac:dyDescent="0.25"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L114" s="385"/>
      <c r="AM114" s="385"/>
      <c r="AN114" s="385"/>
      <c r="AO114" s="385"/>
      <c r="AP114" s="385"/>
      <c r="AQ114" s="385"/>
      <c r="AR114" s="385"/>
      <c r="AS114" s="385"/>
    </row>
    <row r="115" spans="20:45" x14ac:dyDescent="0.25"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L115" s="385"/>
      <c r="AM115" s="385"/>
      <c r="AN115" s="385"/>
      <c r="AO115" s="385"/>
      <c r="AP115" s="385"/>
      <c r="AQ115" s="385"/>
      <c r="AR115" s="385"/>
      <c r="AS115" s="385"/>
    </row>
    <row r="116" spans="20:45" x14ac:dyDescent="0.25"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L116" s="385"/>
      <c r="AM116" s="385"/>
      <c r="AN116" s="385"/>
      <c r="AO116" s="385"/>
      <c r="AP116" s="385"/>
      <c r="AQ116" s="385"/>
      <c r="AR116" s="385"/>
      <c r="AS116" s="385"/>
    </row>
    <row r="117" spans="20:45" x14ac:dyDescent="0.25"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L117" s="385"/>
      <c r="AM117" s="385"/>
      <c r="AN117" s="385"/>
      <c r="AO117" s="385"/>
      <c r="AP117" s="385"/>
      <c r="AQ117" s="385"/>
      <c r="AR117" s="385"/>
      <c r="AS117" s="385"/>
    </row>
    <row r="118" spans="20:45" x14ac:dyDescent="0.25"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L118" s="385"/>
      <c r="AM118" s="385"/>
      <c r="AN118" s="385"/>
      <c r="AO118" s="385"/>
      <c r="AP118" s="385"/>
      <c r="AQ118" s="385"/>
      <c r="AR118" s="385"/>
      <c r="AS118" s="385"/>
    </row>
    <row r="119" spans="20:45" x14ac:dyDescent="0.25"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5"/>
      <c r="AG119" s="385"/>
      <c r="AH119" s="385"/>
      <c r="AL119" s="385"/>
      <c r="AM119" s="385"/>
      <c r="AN119" s="385"/>
      <c r="AO119" s="385"/>
      <c r="AP119" s="385"/>
      <c r="AQ119" s="385"/>
      <c r="AR119" s="385"/>
      <c r="AS119" s="385"/>
    </row>
    <row r="120" spans="20:45" x14ac:dyDescent="0.25"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  <c r="AG120" s="385"/>
      <c r="AH120" s="385"/>
      <c r="AL120" s="385"/>
      <c r="AM120" s="385"/>
      <c r="AN120" s="385"/>
      <c r="AO120" s="385"/>
      <c r="AP120" s="385"/>
      <c r="AQ120" s="385"/>
      <c r="AR120" s="385"/>
      <c r="AS120" s="385"/>
    </row>
    <row r="121" spans="20:45" x14ac:dyDescent="0.25"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L121" s="385"/>
      <c r="AM121" s="385"/>
      <c r="AN121" s="385"/>
      <c r="AO121" s="385"/>
      <c r="AP121" s="385"/>
      <c r="AQ121" s="385"/>
      <c r="AR121" s="385"/>
      <c r="AS121" s="385"/>
    </row>
    <row r="122" spans="20:45" x14ac:dyDescent="0.25"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L122" s="385"/>
      <c r="AM122" s="385"/>
      <c r="AN122" s="385"/>
      <c r="AO122" s="385"/>
      <c r="AP122" s="385"/>
      <c r="AQ122" s="385"/>
      <c r="AR122" s="385"/>
      <c r="AS122" s="385"/>
    </row>
    <row r="123" spans="20:45" x14ac:dyDescent="0.25"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L123" s="385"/>
      <c r="AM123" s="385"/>
      <c r="AN123" s="385"/>
      <c r="AO123" s="385"/>
      <c r="AP123" s="385"/>
      <c r="AQ123" s="385"/>
      <c r="AR123" s="385"/>
      <c r="AS123" s="385"/>
    </row>
    <row r="124" spans="20:45" x14ac:dyDescent="0.25"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L124" s="385"/>
      <c r="AM124" s="385"/>
      <c r="AN124" s="385"/>
      <c r="AO124" s="385"/>
      <c r="AP124" s="385"/>
      <c r="AQ124" s="385"/>
      <c r="AR124" s="385"/>
      <c r="AS124" s="385"/>
    </row>
    <row r="125" spans="20:45" x14ac:dyDescent="0.25"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L125" s="385"/>
      <c r="AM125" s="385"/>
      <c r="AN125" s="385"/>
      <c r="AO125" s="385"/>
      <c r="AP125" s="385"/>
      <c r="AQ125" s="385"/>
      <c r="AR125" s="385"/>
      <c r="AS125" s="385"/>
    </row>
    <row r="126" spans="20:45" x14ac:dyDescent="0.25"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L126" s="385"/>
      <c r="AM126" s="385"/>
      <c r="AN126" s="385"/>
      <c r="AO126" s="385"/>
      <c r="AP126" s="385"/>
      <c r="AQ126" s="385"/>
      <c r="AR126" s="385"/>
      <c r="AS126" s="385"/>
    </row>
    <row r="127" spans="20:45" x14ac:dyDescent="0.25"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L127" s="385"/>
      <c r="AM127" s="385"/>
      <c r="AN127" s="385"/>
      <c r="AO127" s="385"/>
      <c r="AP127" s="385"/>
      <c r="AQ127" s="385"/>
      <c r="AR127" s="385"/>
      <c r="AS127" s="385"/>
    </row>
    <row r="128" spans="20:45" x14ac:dyDescent="0.25"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L128" s="385"/>
      <c r="AM128" s="385"/>
      <c r="AN128" s="385"/>
      <c r="AO128" s="385"/>
      <c r="AP128" s="385"/>
      <c r="AQ128" s="385"/>
      <c r="AR128" s="385"/>
      <c r="AS128" s="385"/>
    </row>
    <row r="129" spans="20:45" x14ac:dyDescent="0.25"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L129" s="385"/>
      <c r="AM129" s="385"/>
      <c r="AN129" s="385"/>
      <c r="AO129" s="385"/>
      <c r="AP129" s="385"/>
      <c r="AQ129" s="385"/>
      <c r="AR129" s="385"/>
      <c r="AS129" s="385"/>
    </row>
    <row r="130" spans="20:45" x14ac:dyDescent="0.25"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L130" s="385"/>
      <c r="AM130" s="385"/>
      <c r="AN130" s="385"/>
      <c r="AO130" s="385"/>
      <c r="AP130" s="385"/>
      <c r="AQ130" s="385"/>
      <c r="AR130" s="385"/>
      <c r="AS130" s="385"/>
    </row>
    <row r="131" spans="20:45" x14ac:dyDescent="0.25"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L131" s="385"/>
      <c r="AM131" s="385"/>
      <c r="AN131" s="385"/>
      <c r="AO131" s="385"/>
      <c r="AP131" s="385"/>
      <c r="AQ131" s="385"/>
      <c r="AR131" s="385"/>
      <c r="AS131" s="385"/>
    </row>
    <row r="132" spans="20:45" x14ac:dyDescent="0.25"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L132" s="385"/>
      <c r="AM132" s="385"/>
      <c r="AN132" s="385"/>
      <c r="AO132" s="385"/>
      <c r="AP132" s="385"/>
      <c r="AQ132" s="385"/>
      <c r="AR132" s="385"/>
      <c r="AS132" s="385"/>
    </row>
    <row r="133" spans="20:45" x14ac:dyDescent="0.25"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5"/>
      <c r="AG133" s="385"/>
      <c r="AH133" s="385"/>
      <c r="AL133" s="385"/>
      <c r="AM133" s="385"/>
      <c r="AN133" s="385"/>
      <c r="AO133" s="385"/>
      <c r="AP133" s="385"/>
      <c r="AQ133" s="385"/>
      <c r="AR133" s="385"/>
      <c r="AS133" s="385"/>
    </row>
    <row r="134" spans="20:45" x14ac:dyDescent="0.25"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L134" s="385"/>
      <c r="AM134" s="385"/>
      <c r="AN134" s="385"/>
      <c r="AO134" s="385"/>
      <c r="AP134" s="385"/>
      <c r="AQ134" s="385"/>
      <c r="AR134" s="385"/>
      <c r="AS134" s="385"/>
    </row>
    <row r="135" spans="20:45" x14ac:dyDescent="0.25"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L135" s="385"/>
      <c r="AM135" s="385"/>
      <c r="AN135" s="385"/>
      <c r="AO135" s="385"/>
      <c r="AP135" s="385"/>
      <c r="AQ135" s="385"/>
      <c r="AR135" s="385"/>
      <c r="AS135" s="385"/>
    </row>
    <row r="136" spans="20:45" x14ac:dyDescent="0.25"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/>
      <c r="AG136" s="385"/>
      <c r="AH136" s="385"/>
      <c r="AL136" s="385"/>
      <c r="AM136" s="385"/>
      <c r="AN136" s="385"/>
      <c r="AO136" s="385"/>
      <c r="AP136" s="385"/>
      <c r="AQ136" s="385"/>
      <c r="AR136" s="385"/>
      <c r="AS136" s="385"/>
    </row>
    <row r="137" spans="20:45" x14ac:dyDescent="0.25"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5"/>
      <c r="AG137" s="385"/>
      <c r="AH137" s="385"/>
      <c r="AL137" s="385"/>
      <c r="AM137" s="385"/>
      <c r="AN137" s="385"/>
      <c r="AO137" s="385"/>
      <c r="AP137" s="385"/>
      <c r="AQ137" s="385"/>
      <c r="AR137" s="385"/>
      <c r="AS137" s="385"/>
    </row>
    <row r="138" spans="20:45" x14ac:dyDescent="0.25"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5"/>
      <c r="AG138" s="385"/>
      <c r="AH138" s="385"/>
      <c r="AL138" s="385"/>
      <c r="AM138" s="385"/>
      <c r="AN138" s="385"/>
      <c r="AO138" s="385"/>
      <c r="AP138" s="385"/>
      <c r="AQ138" s="385"/>
      <c r="AR138" s="385"/>
      <c r="AS138" s="385"/>
    </row>
    <row r="139" spans="20:45" x14ac:dyDescent="0.25"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L139" s="385"/>
      <c r="AM139" s="385"/>
      <c r="AN139" s="385"/>
      <c r="AO139" s="385"/>
      <c r="AP139" s="385"/>
      <c r="AQ139" s="385"/>
      <c r="AR139" s="385"/>
      <c r="AS139" s="385"/>
    </row>
    <row r="140" spans="20:45" x14ac:dyDescent="0.25"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L140" s="385"/>
      <c r="AM140" s="385"/>
      <c r="AN140" s="385"/>
      <c r="AO140" s="385"/>
      <c r="AP140" s="385"/>
      <c r="AQ140" s="385"/>
      <c r="AR140" s="385"/>
      <c r="AS140" s="385"/>
    </row>
  </sheetData>
  <mergeCells count="1">
    <mergeCell ref="A4:C4"/>
  </mergeCells>
  <conditionalFormatting sqref="B22 B24 B26 B28 B30 B32 B34 B36 B38 B40 B42 B44 B46 B48 B50 B52">
    <cfRule type="cellIs" dxfId="138" priority="13" stopIfTrue="1" operator="equal">
      <formula>"QA"</formula>
    </cfRule>
    <cfRule type="cellIs" dxfId="137" priority="14" stopIfTrue="1" operator="equal">
      <formula>"DA"</formula>
    </cfRule>
  </conditionalFormatting>
  <conditionalFormatting sqref="E7 E21">
    <cfRule type="expression" dxfId="136" priority="16" stopIfTrue="1">
      <formula>$E7&lt;5</formula>
    </cfRule>
  </conditionalFormatting>
  <conditionalFormatting sqref="E22 E24 E26 E28 E30 E32 E34 E36 E38 E40 E42 E44 E46 E48 E50 E52">
    <cfRule type="expression" dxfId="135" priority="8" stopIfTrue="1">
      <formula>AND($E22&lt;9,$C22&gt;0)</formula>
    </cfRule>
  </conditionalFormatting>
  <conditionalFormatting sqref="F7 F9 F11 F13 F15 F17 F19">
    <cfRule type="cellIs" dxfId="134" priority="17" stopIfTrue="1" operator="equal">
      <formula>"Bye"</formula>
    </cfRule>
  </conditionalFormatting>
  <conditionalFormatting sqref="F21:F22 F24 F26 F28 F30 F32 F34 F36 F38 F40 F42 F44 F46 F48 F50">
    <cfRule type="cellIs" dxfId="133" priority="9" stopIfTrue="1" operator="equal">
      <formula>"Bye"</formula>
    </cfRule>
  </conditionalFormatting>
  <conditionalFormatting sqref="F22 F24 F26 F28 F30 F32 F34 F36 F38 F40 F42 F44 F46 F48 F50">
    <cfRule type="expression" dxfId="132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31" priority="4" stopIfTrue="1">
      <formula>AND($E7&lt;9,$C7&gt;0)</formula>
    </cfRule>
  </conditionalFormatting>
  <conditionalFormatting sqref="I8 K10 I12 M14 I16 K18 I20 I23 K25 I27 M29 I31 K33 I35 I39 K41 I43 M45 I47 K49 I51">
    <cfRule type="expression" dxfId="130" priority="5" stopIfTrue="1">
      <formula>AND($O$1="CU",I8="Umpire")</formula>
    </cfRule>
    <cfRule type="expression" dxfId="129" priority="6" stopIfTrue="1">
      <formula>AND($O$1="CU",I8&lt;&gt;"Umpire",J8&lt;&gt;"")</formula>
    </cfRule>
    <cfRule type="expression" dxfId="128" priority="7" stopIfTrue="1">
      <formula>AND($O$1="CU",I8&lt;&gt;"Umpire")</formula>
    </cfRule>
  </conditionalFormatting>
  <conditionalFormatting sqref="J8 L10 J12 N14 J16 L18 J20 R62">
    <cfRule type="expression" dxfId="127" priority="15" stopIfTrue="1">
      <formula>$O$1="CU"</formula>
    </cfRule>
  </conditionalFormatting>
  <conditionalFormatting sqref="K8 M10 K12 O14 K16 M18 K20 K23 M25 K27 O29 K31 M33 K35 K39 M41 K43 O45 K47 M49 K51">
    <cfRule type="expression" dxfId="126" priority="11" stopIfTrue="1">
      <formula>J8="as"</formula>
    </cfRule>
    <cfRule type="expression" dxfId="125" priority="12" stopIfTrue="1">
      <formula>J8="bs"</formula>
    </cfRule>
  </conditionalFormatting>
  <conditionalFormatting sqref="O16">
    <cfRule type="expression" dxfId="124" priority="1" stopIfTrue="1">
      <formula>AND($O$1="CU",O16="Umpire")</formula>
    </cfRule>
    <cfRule type="expression" dxfId="123" priority="2" stopIfTrue="1">
      <formula>AND($O$1="CU",O16&lt;&gt;"Umpire",P16&lt;&gt;"")</formula>
    </cfRule>
    <cfRule type="expression" dxfId="122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6CF6EC7-3906-4CED-A928-910AFDD7122D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595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95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266E-D430-46BB-80F8-85B655587DF0}">
  <sheetPr>
    <tabColor indexed="11"/>
  </sheetPr>
  <dimension ref="A1:AS140"/>
  <sheetViews>
    <sheetView workbookViewId="0">
      <selection activeCell="O16" sqref="O16"/>
    </sheetView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33203125" style="303" customWidth="1"/>
    <col min="5" max="5" width="4.33203125" style="303" customWidth="1"/>
    <col min="6" max="6" width="12.6640625" style="303" customWidth="1"/>
    <col min="7" max="7" width="2.6640625" style="303" customWidth="1"/>
    <col min="8" max="8" width="7.6640625" style="303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27" width="0" style="303" hidden="1" customWidth="1"/>
    <col min="28" max="28" width="10.33203125" style="303" hidden="1" customWidth="1"/>
    <col min="29" max="34" width="0" style="303" hidden="1" customWidth="1"/>
    <col min="35" max="37" width="9.109375" style="385" customWidth="1"/>
    <col min="38" max="16384" width="8.77734375" style="303"/>
  </cols>
  <sheetData>
    <row r="1" spans="1:45" s="224" customFormat="1" ht="21.75" customHeight="1" x14ac:dyDescent="0.25">
      <c r="A1" s="217" t="str">
        <f>[5]Altalanos!$A$6</f>
        <v>OB</v>
      </c>
      <c r="B1" s="217"/>
      <c r="C1" s="218"/>
      <c r="D1" s="218"/>
      <c r="E1" s="218"/>
      <c r="F1" s="218"/>
      <c r="G1" s="218"/>
      <c r="H1" s="217"/>
      <c r="I1" s="219"/>
      <c r="J1" s="220"/>
      <c r="K1" s="221" t="s">
        <v>39</v>
      </c>
      <c r="L1" s="222"/>
      <c r="M1" s="223"/>
      <c r="N1" s="220"/>
      <c r="O1" s="220" t="s">
        <v>12</v>
      </c>
      <c r="P1" s="220"/>
      <c r="Q1" s="218"/>
      <c r="R1" s="220"/>
      <c r="T1" s="225"/>
      <c r="U1" s="225"/>
      <c r="V1" s="225"/>
      <c r="W1" s="225"/>
      <c r="X1" s="225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  <c r="AI1" s="227"/>
      <c r="AJ1" s="227"/>
      <c r="AK1" s="227"/>
    </row>
    <row r="2" spans="1:45" s="233" customFormat="1" x14ac:dyDescent="0.25">
      <c r="A2" s="228" t="s">
        <v>38</v>
      </c>
      <c r="B2" s="229"/>
      <c r="C2" s="229"/>
      <c r="D2" s="229"/>
      <c r="E2" s="229">
        <f>[5]Altalanos!$A$8</f>
        <v>0</v>
      </c>
      <c r="F2" s="229"/>
      <c r="G2" s="230"/>
      <c r="H2" s="231"/>
      <c r="I2" s="231"/>
      <c r="J2" s="232"/>
      <c r="K2" s="222"/>
      <c r="L2" s="222"/>
      <c r="M2" s="222"/>
      <c r="N2" s="232"/>
      <c r="O2" s="231"/>
      <c r="P2" s="232"/>
      <c r="Q2" s="231"/>
      <c r="R2" s="232"/>
      <c r="T2" s="234"/>
      <c r="U2" s="234"/>
      <c r="V2" s="234"/>
      <c r="W2" s="234"/>
      <c r="X2" s="234"/>
      <c r="Y2" s="235"/>
      <c r="Z2" s="236"/>
      <c r="AA2" s="236" t="s">
        <v>52</v>
      </c>
      <c r="AB2" s="237">
        <v>300</v>
      </c>
      <c r="AC2" s="237">
        <v>250</v>
      </c>
      <c r="AD2" s="237">
        <v>200</v>
      </c>
      <c r="AE2" s="237">
        <v>150</v>
      </c>
      <c r="AF2" s="237">
        <v>120</v>
      </c>
      <c r="AG2" s="237">
        <v>90</v>
      </c>
      <c r="AH2" s="237">
        <v>40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</row>
    <row r="3" spans="1:45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T3" s="242"/>
      <c r="U3" s="242"/>
      <c r="V3" s="242"/>
      <c r="W3" s="242"/>
      <c r="X3" s="242"/>
      <c r="Y3" s="236" t="str">
        <f>IF(K4="OB","A",IF(K4="IX","W",IF(K4="","",K4)))</f>
        <v/>
      </c>
      <c r="Z3" s="236"/>
      <c r="AA3" s="236" t="s">
        <v>53</v>
      </c>
      <c r="AB3" s="237">
        <v>280</v>
      </c>
      <c r="AC3" s="237">
        <v>230</v>
      </c>
      <c r="AD3" s="237">
        <v>180</v>
      </c>
      <c r="AE3" s="237">
        <v>140</v>
      </c>
      <c r="AF3" s="237">
        <v>80</v>
      </c>
      <c r="AG3" s="237">
        <v>0</v>
      </c>
      <c r="AH3" s="237">
        <v>0</v>
      </c>
      <c r="AI3" s="234"/>
      <c r="AJ3" s="234"/>
      <c r="AK3" s="234"/>
      <c r="AL3" s="242"/>
      <c r="AM3" s="242"/>
      <c r="AN3" s="242"/>
      <c r="AO3" s="242"/>
      <c r="AP3" s="242"/>
      <c r="AQ3" s="242"/>
      <c r="AR3" s="242"/>
      <c r="AS3" s="242"/>
    </row>
    <row r="4" spans="1:45" s="250" customFormat="1" ht="11.25" customHeight="1" thickBot="1" x14ac:dyDescent="0.3">
      <c r="A4" s="243">
        <f>[5]Altalanos!$A$10</f>
        <v>0</v>
      </c>
      <c r="B4" s="243"/>
      <c r="C4" s="243"/>
      <c r="D4" s="244"/>
      <c r="E4" s="245"/>
      <c r="F4" s="245"/>
      <c r="G4" s="245">
        <f>[5]Altalanos!$C$10</f>
        <v>0</v>
      </c>
      <c r="H4" s="246"/>
      <c r="I4" s="245"/>
      <c r="J4" s="247"/>
      <c r="K4" s="137"/>
      <c r="L4" s="247"/>
      <c r="M4" s="248"/>
      <c r="N4" s="247"/>
      <c r="O4" s="245"/>
      <c r="P4" s="247"/>
      <c r="Q4" s="245"/>
      <c r="R4" s="249">
        <f>[5]Altalanos!$E$10</f>
        <v>0</v>
      </c>
      <c r="T4" s="251"/>
      <c r="U4" s="251"/>
      <c r="V4" s="251"/>
      <c r="W4" s="251"/>
      <c r="X4" s="251"/>
      <c r="Y4" s="236"/>
      <c r="Z4" s="236"/>
      <c r="AA4" s="236" t="s">
        <v>82</v>
      </c>
      <c r="AB4" s="237">
        <v>250</v>
      </c>
      <c r="AC4" s="237">
        <v>200</v>
      </c>
      <c r="AD4" s="237">
        <v>150</v>
      </c>
      <c r="AE4" s="237">
        <v>120</v>
      </c>
      <c r="AF4" s="237">
        <v>90</v>
      </c>
      <c r="AG4" s="237">
        <v>60</v>
      </c>
      <c r="AH4" s="237">
        <v>25</v>
      </c>
      <c r="AI4" s="234"/>
      <c r="AJ4" s="234"/>
      <c r="AK4" s="234"/>
      <c r="AL4" s="251"/>
      <c r="AM4" s="251"/>
      <c r="AN4" s="251"/>
      <c r="AO4" s="251"/>
      <c r="AP4" s="251"/>
      <c r="AQ4" s="251"/>
      <c r="AR4" s="251"/>
      <c r="AS4" s="251"/>
    </row>
    <row r="5" spans="1:45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45</v>
      </c>
      <c r="N5" s="256"/>
      <c r="O5" s="253" t="s">
        <v>44</v>
      </c>
      <c r="P5" s="256"/>
      <c r="Q5" s="253"/>
      <c r="R5" s="257"/>
      <c r="T5" s="242"/>
      <c r="U5" s="242"/>
      <c r="V5" s="242"/>
      <c r="W5" s="242"/>
      <c r="X5" s="242"/>
      <c r="Y5" s="236">
        <f>IF(OR([5]Altalanos!$A$8="F1",[5]Altalanos!$A$8="F2",[5]Altalanos!$A$8="N1",[5]Altalanos!$A$8="N2"),1,2)</f>
        <v>2</v>
      </c>
      <c r="Z5" s="236"/>
      <c r="AA5" s="236" t="s">
        <v>83</v>
      </c>
      <c r="AB5" s="237">
        <v>200</v>
      </c>
      <c r="AC5" s="237">
        <v>150</v>
      </c>
      <c r="AD5" s="237">
        <v>120</v>
      </c>
      <c r="AE5" s="237">
        <v>90</v>
      </c>
      <c r="AF5" s="237">
        <v>60</v>
      </c>
      <c r="AG5" s="237">
        <v>40</v>
      </c>
      <c r="AH5" s="237">
        <v>15</v>
      </c>
      <c r="AI5" s="234"/>
      <c r="AJ5" s="234"/>
      <c r="AK5" s="234"/>
      <c r="AL5" s="242"/>
      <c r="AM5" s="242"/>
      <c r="AN5" s="242"/>
      <c r="AO5" s="242"/>
      <c r="AP5" s="242"/>
      <c r="AQ5" s="242"/>
      <c r="AR5" s="242"/>
      <c r="AS5" s="242"/>
    </row>
    <row r="6" spans="1:45" s="264" customFormat="1" ht="10.95" customHeight="1" thickBot="1" x14ac:dyDescent="0.3">
      <c r="A6" s="258"/>
      <c r="B6" s="259"/>
      <c r="C6" s="259"/>
      <c r="D6" s="259"/>
      <c r="E6" s="259"/>
      <c r="F6" s="258" t="str">
        <f>IF(Y3="","",CONCATENATE(VLOOKUP(Y3,AB1:AH1,4)," pont"))</f>
        <v/>
      </c>
      <c r="G6" s="260"/>
      <c r="H6" s="261"/>
      <c r="I6" s="260"/>
      <c r="J6" s="262"/>
      <c r="K6" s="259" t="str">
        <f>IF(Y3="","",CONCATENATE(VLOOKUP(Y3,AB1:AH1,3)," pont"))</f>
        <v/>
      </c>
      <c r="L6" s="262"/>
      <c r="M6" s="259" t="str">
        <f>IF(Y3="","",CONCATENATE(VLOOKUP(Y3,AB1:AH1,2)," pont"))</f>
        <v/>
      </c>
      <c r="N6" s="262"/>
      <c r="O6" s="259" t="str">
        <f>IF(Y3="","",CONCATENATE(VLOOKUP(Y3,AB1:AH1,1)," pont"))</f>
        <v/>
      </c>
      <c r="P6" s="262"/>
      <c r="Q6" s="259"/>
      <c r="R6" s="263"/>
      <c r="T6" s="265"/>
      <c r="U6" s="265"/>
      <c r="V6" s="265"/>
      <c r="W6" s="265"/>
      <c r="X6" s="265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268"/>
      <c r="AJ6" s="268"/>
      <c r="AK6" s="268"/>
      <c r="AL6" s="265"/>
      <c r="AM6" s="265"/>
      <c r="AN6" s="265"/>
      <c r="AO6" s="265"/>
      <c r="AP6" s="265"/>
      <c r="AQ6" s="265"/>
      <c r="AR6" s="265"/>
      <c r="AS6" s="265"/>
    </row>
    <row r="7" spans="1:45" s="282" customFormat="1" ht="13.05" customHeight="1" x14ac:dyDescent="0.25">
      <c r="A7" s="269">
        <v>1</v>
      </c>
      <c r="B7" s="270" t="str">
        <f>IF($E7="","",VLOOKUP($E7,'[5]1MD ELO'!$A$7:$O$22,14))</f>
        <v/>
      </c>
      <c r="C7" s="271" t="str">
        <f>IF($E7="","",VLOOKUP($E7,'[5]1MD ELO'!$A$7:$O$22,15))</f>
        <v/>
      </c>
      <c r="D7" s="271" t="str">
        <f>IF($E7="","",VLOOKUP($E7,'[5]1MD ELO'!$A$7:$O$22,5))</f>
        <v/>
      </c>
      <c r="E7" s="272"/>
      <c r="F7" s="273" t="str">
        <f>UPPER(IF($E7="","",VLOOKUP($E7,'[5]1MD ELO'!$A$7:$O$22,2)))</f>
        <v/>
      </c>
      <c r="G7" s="273" t="str">
        <f>IF($E7="","",VLOOKUP($E7,'[5]1MD ELO'!$A$7:$O$22,3))</f>
        <v/>
      </c>
      <c r="H7" s="273"/>
      <c r="I7" s="273" t="str">
        <f>IF($E7="","",VLOOKUP($E7,'[5]1MD ELO'!$A$7:$O$22,4))</f>
        <v/>
      </c>
      <c r="J7" s="274"/>
      <c r="K7" s="275"/>
      <c r="L7" s="275"/>
      <c r="M7" s="275"/>
      <c r="N7" s="275"/>
      <c r="O7" s="276"/>
      <c r="P7" s="277"/>
      <c r="Q7" s="278"/>
      <c r="R7" s="279"/>
      <c r="S7" s="280"/>
      <c r="T7" s="280"/>
      <c r="U7" s="281" t="str">
        <f>[5]Birók!P21</f>
        <v>Bíró</v>
      </c>
      <c r="V7" s="280"/>
      <c r="W7" s="280"/>
      <c r="X7" s="280"/>
      <c r="Y7" s="236"/>
      <c r="Z7" s="236"/>
      <c r="AA7" s="236" t="s">
        <v>85</v>
      </c>
      <c r="AB7" s="237">
        <v>120</v>
      </c>
      <c r="AC7" s="237">
        <v>90</v>
      </c>
      <c r="AD7" s="237">
        <v>60</v>
      </c>
      <c r="AE7" s="237">
        <v>40</v>
      </c>
      <c r="AF7" s="237">
        <v>25</v>
      </c>
      <c r="AG7" s="237">
        <v>10</v>
      </c>
      <c r="AH7" s="237">
        <v>5</v>
      </c>
      <c r="AI7" s="234"/>
      <c r="AJ7" s="234"/>
      <c r="AK7" s="234"/>
      <c r="AL7" s="280"/>
      <c r="AM7" s="280"/>
      <c r="AN7" s="280"/>
      <c r="AO7" s="280"/>
      <c r="AP7" s="280"/>
      <c r="AQ7" s="280"/>
      <c r="AR7" s="280"/>
      <c r="AS7" s="280"/>
    </row>
    <row r="8" spans="1:45" s="282" customFormat="1" ht="13.05" customHeight="1" x14ac:dyDescent="0.25">
      <c r="A8" s="283"/>
      <c r="B8" s="284"/>
      <c r="C8" s="285"/>
      <c r="D8" s="285"/>
      <c r="E8" s="286"/>
      <c r="F8" s="287"/>
      <c r="G8" s="287"/>
      <c r="H8" s="288"/>
      <c r="I8" s="289" t="s">
        <v>0</v>
      </c>
      <c r="J8" s="290"/>
      <c r="K8" s="291" t="str">
        <f>UPPER(IF(OR(J8="a",J8="as"),F7,IF(OR(J8="b",J8="bs"),F9,)))</f>
        <v/>
      </c>
      <c r="L8" s="291"/>
      <c r="M8" s="275"/>
      <c r="N8" s="275"/>
      <c r="O8" s="276"/>
      <c r="P8" s="277"/>
      <c r="Q8" s="278"/>
      <c r="R8" s="279"/>
      <c r="S8" s="280"/>
      <c r="T8" s="280"/>
      <c r="U8" s="292" t="str">
        <f>[5]Birók!P22</f>
        <v xml:space="preserve"> </v>
      </c>
      <c r="V8" s="280"/>
      <c r="W8" s="280"/>
      <c r="X8" s="280"/>
      <c r="Y8" s="236"/>
      <c r="Z8" s="236"/>
      <c r="AA8" s="236" t="s">
        <v>86</v>
      </c>
      <c r="AB8" s="237">
        <v>90</v>
      </c>
      <c r="AC8" s="237">
        <v>60</v>
      </c>
      <c r="AD8" s="237">
        <v>40</v>
      </c>
      <c r="AE8" s="237">
        <v>25</v>
      </c>
      <c r="AF8" s="237">
        <v>10</v>
      </c>
      <c r="AG8" s="237">
        <v>5</v>
      </c>
      <c r="AH8" s="237">
        <v>2</v>
      </c>
      <c r="AI8" s="234"/>
      <c r="AJ8" s="234"/>
      <c r="AK8" s="234"/>
      <c r="AL8" s="280"/>
      <c r="AM8" s="280"/>
      <c r="AN8" s="280"/>
      <c r="AO8" s="280"/>
      <c r="AP8" s="280"/>
      <c r="AQ8" s="280"/>
      <c r="AR8" s="280"/>
      <c r="AS8" s="280"/>
    </row>
    <row r="9" spans="1:45" s="282" customFormat="1" ht="13.05" customHeight="1" x14ac:dyDescent="0.25">
      <c r="A9" s="283">
        <v>2</v>
      </c>
      <c r="B9" s="270" t="str">
        <f>IF($E9="","",VLOOKUP($E9,'[5]1MD ELO'!$A$7:$O$22,14))</f>
        <v/>
      </c>
      <c r="C9" s="271" t="str">
        <f>IF($E9="","",VLOOKUP($E9,'[5]1MD ELO'!$A$7:$O$22,15))</f>
        <v/>
      </c>
      <c r="D9" s="271" t="str">
        <f>IF($E9="","",VLOOKUP($E9,'[5]1MD ELO'!$A$7:$O$22,5))</f>
        <v/>
      </c>
      <c r="E9" s="293"/>
      <c r="F9" s="294" t="str">
        <f>UPPER(IF($E9="","",VLOOKUP($E9,'[5]1MD ELO'!$A$7:$O$22,2)))</f>
        <v/>
      </c>
      <c r="G9" s="294" t="str">
        <f>IF($E9="","",VLOOKUP($E9,'[5]1MD ELO'!$A$7:$O$22,3))</f>
        <v/>
      </c>
      <c r="H9" s="294"/>
      <c r="I9" s="294" t="str">
        <f>IF($E9="","",VLOOKUP($E9,'[5]1MD ELO'!$A$7:$O$22,4))</f>
        <v/>
      </c>
      <c r="J9" s="295"/>
      <c r="K9" s="275"/>
      <c r="L9" s="296"/>
      <c r="M9" s="275"/>
      <c r="N9" s="275"/>
      <c r="O9" s="276"/>
      <c r="P9" s="277"/>
      <c r="Q9" s="278"/>
      <c r="R9" s="279"/>
      <c r="S9" s="280"/>
      <c r="T9" s="280"/>
      <c r="U9" s="292" t="str">
        <f>[5]Birók!P23</f>
        <v xml:space="preserve"> </v>
      </c>
      <c r="V9" s="280"/>
      <c r="W9" s="280"/>
      <c r="X9" s="280"/>
      <c r="Y9" s="236"/>
      <c r="Z9" s="236"/>
      <c r="AA9" s="236" t="s">
        <v>87</v>
      </c>
      <c r="AB9" s="237">
        <v>60</v>
      </c>
      <c r="AC9" s="237">
        <v>40</v>
      </c>
      <c r="AD9" s="237">
        <v>25</v>
      </c>
      <c r="AE9" s="237">
        <v>10</v>
      </c>
      <c r="AF9" s="237">
        <v>5</v>
      </c>
      <c r="AG9" s="237">
        <v>2</v>
      </c>
      <c r="AH9" s="237">
        <v>1</v>
      </c>
      <c r="AI9" s="234"/>
      <c r="AJ9" s="234"/>
      <c r="AK9" s="234"/>
      <c r="AL9" s="280"/>
      <c r="AM9" s="280"/>
      <c r="AN9" s="280"/>
      <c r="AO9" s="280"/>
      <c r="AP9" s="280"/>
      <c r="AQ9" s="280"/>
      <c r="AR9" s="280"/>
      <c r="AS9" s="280"/>
    </row>
    <row r="10" spans="1:45" s="282" customFormat="1" ht="13.05" customHeight="1" x14ac:dyDescent="0.25">
      <c r="A10" s="283"/>
      <c r="B10" s="284"/>
      <c r="C10" s="285"/>
      <c r="D10" s="285"/>
      <c r="E10" s="297"/>
      <c r="F10" s="287"/>
      <c r="G10" s="287"/>
      <c r="H10" s="288"/>
      <c r="I10" s="287"/>
      <c r="J10" s="298"/>
      <c r="K10" s="289" t="s">
        <v>0</v>
      </c>
      <c r="L10" s="299"/>
      <c r="M10" s="291" t="s">
        <v>180</v>
      </c>
      <c r="N10" s="300"/>
      <c r="O10" s="301"/>
      <c r="P10" s="301"/>
      <c r="Q10" s="278"/>
      <c r="R10" s="279"/>
      <c r="S10" s="280"/>
      <c r="T10" s="280"/>
      <c r="U10" s="292" t="str">
        <f>[5]Birók!P24</f>
        <v xml:space="preserve"> </v>
      </c>
      <c r="V10" s="280"/>
      <c r="W10" s="280"/>
      <c r="X10" s="280"/>
      <c r="Y10" s="236"/>
      <c r="Z10" s="236"/>
      <c r="AA10" s="236" t="s">
        <v>88</v>
      </c>
      <c r="AB10" s="237">
        <v>40</v>
      </c>
      <c r="AC10" s="237">
        <v>25</v>
      </c>
      <c r="AD10" s="237">
        <v>15</v>
      </c>
      <c r="AE10" s="237">
        <v>7</v>
      </c>
      <c r="AF10" s="237">
        <v>4</v>
      </c>
      <c r="AG10" s="237">
        <v>1</v>
      </c>
      <c r="AH10" s="237">
        <v>0</v>
      </c>
      <c r="AI10" s="234"/>
      <c r="AJ10" s="234"/>
      <c r="AK10" s="234"/>
      <c r="AL10" s="280"/>
      <c r="AM10" s="280"/>
      <c r="AN10" s="280"/>
      <c r="AO10" s="280"/>
      <c r="AP10" s="280"/>
      <c r="AQ10" s="280"/>
      <c r="AR10" s="280"/>
      <c r="AS10" s="280"/>
    </row>
    <row r="11" spans="1:45" s="282" customFormat="1" ht="13.05" customHeight="1" x14ac:dyDescent="0.25">
      <c r="A11" s="283">
        <v>3</v>
      </c>
      <c r="B11" s="270" t="str">
        <f>IF($E11="","",VLOOKUP($E11,'[5]1MD ELO'!$A$7:$O$22,14))</f>
        <v/>
      </c>
      <c r="C11" s="271" t="str">
        <f>IF($E11="","",VLOOKUP($E11,'[5]1MD ELO'!$A$7:$O$22,15))</f>
        <v/>
      </c>
      <c r="D11" s="271" t="str">
        <f>IF($E11="","",VLOOKUP($E11,'[5]1MD ELO'!$A$7:$O$22,5))</f>
        <v/>
      </c>
      <c r="E11" s="293"/>
      <c r="F11" s="294" t="str">
        <f>UPPER(IF($E11="","",VLOOKUP($E11,'[5]1MD ELO'!$A$7:$O$22,2)))</f>
        <v/>
      </c>
      <c r="G11" s="294" t="str">
        <f>IF($E11="","",VLOOKUP($E11,'[5]1MD ELO'!$A$7:$O$22,3))</f>
        <v/>
      </c>
      <c r="H11" s="294"/>
      <c r="I11" s="294" t="str">
        <f>IF($E11="","",VLOOKUP($E11,'[5]1MD ELO'!$A$7:$O$22,4))</f>
        <v/>
      </c>
      <c r="J11" s="274"/>
      <c r="K11" s="275"/>
      <c r="L11" s="302"/>
      <c r="M11" s="275" t="s">
        <v>181</v>
      </c>
      <c r="N11" s="304"/>
      <c r="O11" s="301"/>
      <c r="P11" s="301"/>
      <c r="Q11" s="278"/>
      <c r="R11" s="279"/>
      <c r="S11" s="280"/>
      <c r="T11" s="280"/>
      <c r="U11" s="292" t="str">
        <f>[5]Birók!P25</f>
        <v xml:space="preserve"> </v>
      </c>
      <c r="V11" s="280"/>
      <c r="W11" s="280"/>
      <c r="X11" s="280"/>
      <c r="Y11" s="236"/>
      <c r="Z11" s="236"/>
      <c r="AA11" s="236" t="s">
        <v>89</v>
      </c>
      <c r="AB11" s="237">
        <v>25</v>
      </c>
      <c r="AC11" s="237">
        <v>15</v>
      </c>
      <c r="AD11" s="237">
        <v>10</v>
      </c>
      <c r="AE11" s="237">
        <v>6</v>
      </c>
      <c r="AF11" s="237">
        <v>3</v>
      </c>
      <c r="AG11" s="237">
        <v>1</v>
      </c>
      <c r="AH11" s="237">
        <v>0</v>
      </c>
      <c r="AI11" s="234"/>
      <c r="AJ11" s="234"/>
      <c r="AK11" s="234"/>
      <c r="AL11" s="280"/>
      <c r="AM11" s="280"/>
      <c r="AN11" s="280"/>
      <c r="AO11" s="280"/>
      <c r="AP11" s="280"/>
      <c r="AQ11" s="280"/>
      <c r="AR11" s="280"/>
      <c r="AS11" s="280"/>
    </row>
    <row r="12" spans="1:45" s="282" customFormat="1" ht="13.05" customHeight="1" x14ac:dyDescent="0.25">
      <c r="A12" s="283"/>
      <c r="B12" s="284"/>
      <c r="C12" s="285"/>
      <c r="D12" s="285"/>
      <c r="E12" s="297"/>
      <c r="F12" s="287"/>
      <c r="G12" s="287"/>
      <c r="H12" s="288"/>
      <c r="I12" s="289" t="s">
        <v>0</v>
      </c>
      <c r="J12" s="290"/>
      <c r="K12" s="291" t="str">
        <f>UPPER(IF(OR(J12="a",J12="as"),F11,IF(OR(J12="b",J12="bs"),F13,)))</f>
        <v/>
      </c>
      <c r="L12" s="305"/>
      <c r="M12" s="275"/>
      <c r="N12" s="304"/>
      <c r="O12" s="301"/>
      <c r="P12" s="301"/>
      <c r="Q12" s="278"/>
      <c r="R12" s="279"/>
      <c r="S12" s="280"/>
      <c r="T12" s="280"/>
      <c r="U12" s="292" t="str">
        <f>[5]Birók!P26</f>
        <v xml:space="preserve"> </v>
      </c>
      <c r="V12" s="280"/>
      <c r="W12" s="280"/>
      <c r="X12" s="280"/>
      <c r="Y12" s="236"/>
      <c r="Z12" s="236"/>
      <c r="AA12" s="236" t="s">
        <v>94</v>
      </c>
      <c r="AB12" s="237">
        <v>15</v>
      </c>
      <c r="AC12" s="237">
        <v>10</v>
      </c>
      <c r="AD12" s="237">
        <v>6</v>
      </c>
      <c r="AE12" s="237">
        <v>3</v>
      </c>
      <c r="AF12" s="237">
        <v>1</v>
      </c>
      <c r="AG12" s="237">
        <v>0</v>
      </c>
      <c r="AH12" s="237">
        <v>0</v>
      </c>
      <c r="AI12" s="234"/>
      <c r="AJ12" s="234"/>
      <c r="AK12" s="234"/>
      <c r="AL12" s="280"/>
      <c r="AM12" s="280"/>
      <c r="AN12" s="280"/>
      <c r="AO12" s="280"/>
      <c r="AP12" s="280"/>
      <c r="AQ12" s="280"/>
      <c r="AR12" s="280"/>
      <c r="AS12" s="280"/>
    </row>
    <row r="13" spans="1:45" s="282" customFormat="1" ht="13.05" customHeight="1" x14ac:dyDescent="0.25">
      <c r="A13" s="283">
        <v>4</v>
      </c>
      <c r="B13" s="270" t="str">
        <f>IF($E13="","",VLOOKUP($E13,'[5]1MD ELO'!$A$7:$O$22,14))</f>
        <v/>
      </c>
      <c r="C13" s="271" t="str">
        <f>IF($E13="","",VLOOKUP($E13,'[5]1MD ELO'!$A$7:$O$22,15))</f>
        <v/>
      </c>
      <c r="D13" s="271" t="str">
        <f>IF($E13="","",VLOOKUP($E13,'[5]1MD ELO'!$A$7:$O$22,5))</f>
        <v/>
      </c>
      <c r="E13" s="293"/>
      <c r="F13" s="294" t="str">
        <f>UPPER(IF($E13="","",VLOOKUP($E13,'[5]1MD ELO'!$A$7:$O$22,2)))</f>
        <v/>
      </c>
      <c r="G13" s="294" t="str">
        <f>IF($E13="","",VLOOKUP($E13,'[5]1MD ELO'!$A$7:$O$22,3))</f>
        <v/>
      </c>
      <c r="H13" s="294"/>
      <c r="I13" s="294" t="str">
        <f>IF($E13="","",VLOOKUP($E13,'[5]1MD ELO'!$A$7:$O$22,4))</f>
        <v/>
      </c>
      <c r="J13" s="306"/>
      <c r="K13" s="275"/>
      <c r="L13" s="275"/>
      <c r="M13" s="275"/>
      <c r="N13" s="304"/>
      <c r="O13" s="301"/>
      <c r="P13" s="301"/>
      <c r="Q13" s="278"/>
      <c r="R13" s="279"/>
      <c r="S13" s="280"/>
      <c r="T13" s="280"/>
      <c r="U13" s="292" t="str">
        <f>[5]Birók!P27</f>
        <v xml:space="preserve"> </v>
      </c>
      <c r="V13" s="280"/>
      <c r="W13" s="280"/>
      <c r="X13" s="280"/>
      <c r="Y13" s="236"/>
      <c r="Z13" s="236"/>
      <c r="AA13" s="236" t="s">
        <v>90</v>
      </c>
      <c r="AB13" s="237">
        <v>10</v>
      </c>
      <c r="AC13" s="237">
        <v>6</v>
      </c>
      <c r="AD13" s="237">
        <v>3</v>
      </c>
      <c r="AE13" s="237">
        <v>1</v>
      </c>
      <c r="AF13" s="237">
        <v>0</v>
      </c>
      <c r="AG13" s="237">
        <v>0</v>
      </c>
      <c r="AH13" s="237">
        <v>0</v>
      </c>
      <c r="AI13" s="234"/>
      <c r="AJ13" s="234"/>
      <c r="AK13" s="234"/>
      <c r="AL13" s="280"/>
      <c r="AM13" s="280"/>
      <c r="AN13" s="280"/>
      <c r="AO13" s="280"/>
      <c r="AP13" s="280"/>
      <c r="AQ13" s="280"/>
      <c r="AR13" s="280"/>
      <c r="AS13" s="280"/>
    </row>
    <row r="14" spans="1:45" s="282" customFormat="1" ht="13.05" customHeight="1" x14ac:dyDescent="0.25">
      <c r="A14" s="283"/>
      <c r="B14" s="284"/>
      <c r="C14" s="285"/>
      <c r="D14" s="285"/>
      <c r="E14" s="297"/>
      <c r="F14" s="287"/>
      <c r="G14" s="287"/>
      <c r="H14" s="288"/>
      <c r="I14" s="287"/>
      <c r="J14" s="298"/>
      <c r="K14" s="275"/>
      <c r="L14" s="275"/>
      <c r="M14" s="289" t="s">
        <v>0</v>
      </c>
      <c r="N14" s="299"/>
      <c r="O14" s="291" t="s">
        <v>182</v>
      </c>
      <c r="P14" s="300"/>
      <c r="Q14" s="278"/>
      <c r="R14" s="279"/>
      <c r="S14" s="280"/>
      <c r="T14" s="280"/>
      <c r="U14" s="292" t="str">
        <f>[5]Birók!P28</f>
        <v xml:space="preserve"> </v>
      </c>
      <c r="V14" s="280"/>
      <c r="W14" s="280"/>
      <c r="X14" s="280"/>
      <c r="Y14" s="236"/>
      <c r="Z14" s="236"/>
      <c r="AA14" s="236" t="s">
        <v>91</v>
      </c>
      <c r="AB14" s="237">
        <v>3</v>
      </c>
      <c r="AC14" s="237">
        <v>2</v>
      </c>
      <c r="AD14" s="237">
        <v>1</v>
      </c>
      <c r="AE14" s="237">
        <v>0</v>
      </c>
      <c r="AF14" s="237">
        <v>0</v>
      </c>
      <c r="AG14" s="237">
        <v>0</v>
      </c>
      <c r="AH14" s="237">
        <v>0</v>
      </c>
      <c r="AI14" s="234"/>
      <c r="AJ14" s="234"/>
      <c r="AK14" s="234"/>
      <c r="AL14" s="280"/>
      <c r="AM14" s="280"/>
      <c r="AN14" s="280"/>
      <c r="AO14" s="280"/>
      <c r="AP14" s="280"/>
      <c r="AQ14" s="280"/>
      <c r="AR14" s="280"/>
      <c r="AS14" s="280"/>
    </row>
    <row r="15" spans="1:45" s="282" customFormat="1" ht="13.05" customHeight="1" x14ac:dyDescent="0.25">
      <c r="A15" s="307">
        <v>5</v>
      </c>
      <c r="B15" s="270" t="str">
        <f>IF($E15="","",VLOOKUP($E15,'[5]1MD ELO'!$A$7:$O$22,14))</f>
        <v/>
      </c>
      <c r="C15" s="271" t="str">
        <f>IF($E15="","",VLOOKUP($E15,'[5]1MD ELO'!$A$7:$O$22,15))</f>
        <v/>
      </c>
      <c r="D15" s="271" t="str">
        <f>IF($E15="","",VLOOKUP($E15,'[5]1MD ELO'!$A$7:$O$22,5))</f>
        <v/>
      </c>
      <c r="E15" s="293"/>
      <c r="F15" s="294" t="str">
        <f>UPPER(IF($E15="","",VLOOKUP($E15,'[5]1MD ELO'!$A$7:$O$22,2)))</f>
        <v/>
      </c>
      <c r="G15" s="294" t="str">
        <f>IF($E15="","",VLOOKUP($E15,'[5]1MD ELO'!$A$7:$O$22,3))</f>
        <v/>
      </c>
      <c r="H15" s="294"/>
      <c r="I15" s="294" t="str">
        <f>IF($E15="","",VLOOKUP($E15,'[5]1MD ELO'!$A$7:$O$22,4))</f>
        <v/>
      </c>
      <c r="J15" s="308"/>
      <c r="K15" s="275"/>
      <c r="L15" s="275"/>
      <c r="M15" s="275"/>
      <c r="N15" s="304"/>
      <c r="O15" s="275" t="s">
        <v>183</v>
      </c>
      <c r="P15" s="301"/>
      <c r="Q15" s="278"/>
      <c r="R15" s="279"/>
      <c r="S15" s="280"/>
      <c r="T15" s="280"/>
      <c r="U15" s="292" t="str">
        <f>[5]Birók!P29</f>
        <v xml:space="preserve"> </v>
      </c>
      <c r="V15" s="280"/>
      <c r="W15" s="280"/>
      <c r="X15" s="280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4"/>
      <c r="AJ15" s="234"/>
      <c r="AK15" s="234"/>
      <c r="AL15" s="280"/>
      <c r="AM15" s="280"/>
      <c r="AN15" s="280"/>
      <c r="AO15" s="280"/>
      <c r="AP15" s="280"/>
      <c r="AQ15" s="280"/>
      <c r="AR15" s="280"/>
      <c r="AS15" s="280"/>
    </row>
    <row r="16" spans="1:45" s="282" customFormat="1" ht="13.05" customHeight="1" thickBot="1" x14ac:dyDescent="0.3">
      <c r="A16" s="283"/>
      <c r="B16" s="284"/>
      <c r="C16" s="285"/>
      <c r="D16" s="285"/>
      <c r="E16" s="297"/>
      <c r="F16" s="287"/>
      <c r="G16" s="287"/>
      <c r="H16" s="288"/>
      <c r="I16" s="289" t="s">
        <v>0</v>
      </c>
      <c r="J16" s="290"/>
      <c r="K16" s="291" t="str">
        <f>UPPER(IF(OR(J16="a",J16="as"),F15,IF(OR(J16="b",J16="bs"),F17,)))</f>
        <v/>
      </c>
      <c r="L16" s="291"/>
      <c r="M16" s="275"/>
      <c r="N16" s="304"/>
      <c r="O16" s="289"/>
      <c r="P16" s="301"/>
      <c r="Q16" s="278"/>
      <c r="R16" s="279"/>
      <c r="S16" s="280"/>
      <c r="T16" s="280"/>
      <c r="U16" s="309" t="str">
        <f>[5]Birók!P30</f>
        <v>Egyik sem</v>
      </c>
      <c r="V16" s="280"/>
      <c r="W16" s="280"/>
      <c r="X16" s="280"/>
      <c r="Y16" s="236"/>
      <c r="Z16" s="236"/>
      <c r="AA16" s="236" t="s">
        <v>52</v>
      </c>
      <c r="AB16" s="237">
        <v>150</v>
      </c>
      <c r="AC16" s="237">
        <v>120</v>
      </c>
      <c r="AD16" s="237">
        <v>90</v>
      </c>
      <c r="AE16" s="237">
        <v>60</v>
      </c>
      <c r="AF16" s="237">
        <v>40</v>
      </c>
      <c r="AG16" s="237">
        <v>25</v>
      </c>
      <c r="AH16" s="237">
        <v>15</v>
      </c>
      <c r="AI16" s="234"/>
      <c r="AJ16" s="234"/>
      <c r="AK16" s="234"/>
      <c r="AL16" s="280"/>
      <c r="AM16" s="280"/>
      <c r="AN16" s="280"/>
      <c r="AO16" s="280"/>
      <c r="AP16" s="280"/>
      <c r="AQ16" s="280"/>
      <c r="AR16" s="280"/>
      <c r="AS16" s="280"/>
    </row>
    <row r="17" spans="1:45" s="282" customFormat="1" ht="13.05" customHeight="1" x14ac:dyDescent="0.25">
      <c r="A17" s="283">
        <v>6</v>
      </c>
      <c r="B17" s="270" t="str">
        <f>IF($E17="","",VLOOKUP($E17,'[5]1MD ELO'!$A$7:$O$22,14))</f>
        <v/>
      </c>
      <c r="C17" s="271" t="str">
        <f>IF($E17="","",VLOOKUP($E17,'[5]1MD ELO'!$A$7:$O$22,15))</f>
        <v/>
      </c>
      <c r="D17" s="271" t="str">
        <f>IF($E17="","",VLOOKUP($E17,'[5]1MD ELO'!$A$7:$O$22,5))</f>
        <v/>
      </c>
      <c r="E17" s="293"/>
      <c r="F17" s="294" t="str">
        <f>UPPER(IF($E17="","",VLOOKUP($E17,'[5]1MD ELO'!$A$7:$O$22,2)))</f>
        <v/>
      </c>
      <c r="G17" s="294" t="str">
        <f>IF($E17="","",VLOOKUP($E17,'[5]1MD ELO'!$A$7:$O$22,3))</f>
        <v/>
      </c>
      <c r="H17" s="294"/>
      <c r="I17" s="294" t="str">
        <f>IF($E17="","",VLOOKUP($E17,'[5]1MD ELO'!$A$7:$O$22,4))</f>
        <v/>
      </c>
      <c r="J17" s="295"/>
      <c r="K17" s="275"/>
      <c r="L17" s="296"/>
      <c r="M17" s="275"/>
      <c r="N17" s="304"/>
      <c r="O17" s="301"/>
      <c r="P17" s="301"/>
      <c r="Q17" s="278"/>
      <c r="R17" s="279"/>
      <c r="S17" s="280"/>
      <c r="T17" s="280"/>
      <c r="U17" s="280"/>
      <c r="V17" s="280"/>
      <c r="W17" s="280"/>
      <c r="X17" s="280"/>
      <c r="Y17" s="236"/>
      <c r="Z17" s="236"/>
      <c r="AA17" s="236" t="s">
        <v>82</v>
      </c>
      <c r="AB17" s="237">
        <v>120</v>
      </c>
      <c r="AC17" s="237">
        <v>90</v>
      </c>
      <c r="AD17" s="237">
        <v>60</v>
      </c>
      <c r="AE17" s="237">
        <v>40</v>
      </c>
      <c r="AF17" s="237">
        <v>25</v>
      </c>
      <c r="AG17" s="237">
        <v>15</v>
      </c>
      <c r="AH17" s="237">
        <v>8</v>
      </c>
      <c r="AI17" s="234"/>
      <c r="AJ17" s="234"/>
      <c r="AK17" s="234"/>
      <c r="AL17" s="280"/>
      <c r="AM17" s="280"/>
      <c r="AN17" s="280"/>
      <c r="AO17" s="280"/>
      <c r="AP17" s="280"/>
      <c r="AQ17" s="280"/>
      <c r="AR17" s="280"/>
      <c r="AS17" s="280"/>
    </row>
    <row r="18" spans="1:45" s="282" customFormat="1" ht="13.05" customHeight="1" x14ac:dyDescent="0.25">
      <c r="A18" s="283"/>
      <c r="B18" s="284"/>
      <c r="C18" s="285"/>
      <c r="D18" s="285"/>
      <c r="E18" s="297"/>
      <c r="F18" s="287"/>
      <c r="G18" s="287"/>
      <c r="H18" s="288"/>
      <c r="I18" s="287"/>
      <c r="J18" s="298"/>
      <c r="K18" s="289" t="s">
        <v>0</v>
      </c>
      <c r="L18" s="299"/>
      <c r="M18" s="291" t="s">
        <v>184</v>
      </c>
      <c r="N18" s="310"/>
      <c r="O18" s="301"/>
      <c r="P18" s="301"/>
      <c r="Q18" s="278"/>
      <c r="R18" s="279"/>
      <c r="S18" s="280"/>
      <c r="T18" s="280"/>
      <c r="U18" s="280"/>
      <c r="V18" s="280"/>
      <c r="W18" s="280"/>
      <c r="X18" s="280"/>
      <c r="Y18" s="236"/>
      <c r="Z18" s="236"/>
      <c r="AA18" s="236" t="s">
        <v>83</v>
      </c>
      <c r="AB18" s="237">
        <v>90</v>
      </c>
      <c r="AC18" s="237">
        <v>60</v>
      </c>
      <c r="AD18" s="237">
        <v>40</v>
      </c>
      <c r="AE18" s="237">
        <v>25</v>
      </c>
      <c r="AF18" s="237">
        <v>15</v>
      </c>
      <c r="AG18" s="237">
        <v>8</v>
      </c>
      <c r="AH18" s="237">
        <v>4</v>
      </c>
      <c r="AI18" s="234"/>
      <c r="AJ18" s="234"/>
      <c r="AK18" s="234"/>
      <c r="AL18" s="280"/>
      <c r="AM18" s="280"/>
      <c r="AN18" s="280"/>
      <c r="AO18" s="280"/>
      <c r="AP18" s="280"/>
      <c r="AQ18" s="280"/>
      <c r="AR18" s="280"/>
      <c r="AS18" s="280"/>
    </row>
    <row r="19" spans="1:45" s="282" customFormat="1" ht="13.05" customHeight="1" x14ac:dyDescent="0.25">
      <c r="A19" s="283">
        <v>7</v>
      </c>
      <c r="B19" s="270" t="str">
        <f>IF($E19="","",VLOOKUP($E19,'[5]1MD ELO'!$A$7:$O$22,14))</f>
        <v/>
      </c>
      <c r="C19" s="271" t="str">
        <f>IF($E19="","",VLOOKUP($E19,'[5]1MD ELO'!$A$7:$O$22,15))</f>
        <v/>
      </c>
      <c r="D19" s="271" t="str">
        <f>IF($E19="","",VLOOKUP($E19,'[5]1MD ELO'!$A$7:$O$22,5))</f>
        <v/>
      </c>
      <c r="E19" s="293"/>
      <c r="F19" s="294" t="str">
        <f>UPPER(IF($E19="","",VLOOKUP($E19,'[5]1MD ELO'!$A$7:$O$22,2)))</f>
        <v/>
      </c>
      <c r="G19" s="294" t="str">
        <f>IF($E19="","",VLOOKUP($E19,'[5]1MD ELO'!$A$7:$O$22,3))</f>
        <v/>
      </c>
      <c r="H19" s="294"/>
      <c r="I19" s="294" t="str">
        <f>IF($E19="","",VLOOKUP($E19,'[5]1MD ELO'!$A$7:$O$22,4))</f>
        <v/>
      </c>
      <c r="J19" s="274"/>
      <c r="K19" s="275"/>
      <c r="L19" s="302"/>
      <c r="M19" s="275" t="s">
        <v>185</v>
      </c>
      <c r="N19" s="301"/>
      <c r="O19" s="301"/>
      <c r="P19" s="301"/>
      <c r="Q19" s="278"/>
      <c r="R19" s="279"/>
      <c r="S19" s="280"/>
      <c r="T19" s="280"/>
      <c r="U19" s="280"/>
      <c r="V19" s="280"/>
      <c r="W19" s="280"/>
      <c r="X19" s="280"/>
      <c r="Y19" s="236"/>
      <c r="Z19" s="236"/>
      <c r="AA19" s="236" t="s">
        <v>84</v>
      </c>
      <c r="AB19" s="237">
        <v>60</v>
      </c>
      <c r="AC19" s="237">
        <v>40</v>
      </c>
      <c r="AD19" s="237">
        <v>25</v>
      </c>
      <c r="AE19" s="237">
        <v>15</v>
      </c>
      <c r="AF19" s="237">
        <v>8</v>
      </c>
      <c r="AG19" s="237">
        <v>4</v>
      </c>
      <c r="AH19" s="237">
        <v>2</v>
      </c>
      <c r="AI19" s="234"/>
      <c r="AJ19" s="234"/>
      <c r="AK19" s="234"/>
      <c r="AL19" s="280"/>
      <c r="AM19" s="280"/>
      <c r="AN19" s="280"/>
      <c r="AO19" s="280"/>
      <c r="AP19" s="280"/>
      <c r="AQ19" s="280"/>
      <c r="AR19" s="280"/>
      <c r="AS19" s="280"/>
    </row>
    <row r="20" spans="1:45" s="282" customFormat="1" ht="13.05" customHeight="1" x14ac:dyDescent="0.25">
      <c r="A20" s="283"/>
      <c r="B20" s="284"/>
      <c r="C20" s="285"/>
      <c r="D20" s="285"/>
      <c r="E20" s="286"/>
      <c r="F20" s="287"/>
      <c r="G20" s="287"/>
      <c r="H20" s="288"/>
      <c r="I20" s="289" t="s">
        <v>0</v>
      </c>
      <c r="J20" s="290"/>
      <c r="K20" s="291" t="str">
        <f>UPPER(IF(OR(J20="a",J20="as"),F19,IF(OR(J20="b",J20="bs"),F21,)))</f>
        <v/>
      </c>
      <c r="L20" s="305"/>
      <c r="M20" s="275"/>
      <c r="N20" s="301"/>
      <c r="O20" s="301"/>
      <c r="P20" s="301"/>
      <c r="Q20" s="278"/>
      <c r="R20" s="279"/>
      <c r="S20" s="280"/>
      <c r="T20" s="280"/>
      <c r="U20" s="280"/>
      <c r="V20" s="280"/>
      <c r="W20" s="280"/>
      <c r="X20" s="280"/>
      <c r="Y20" s="236"/>
      <c r="Z20" s="236"/>
      <c r="AA20" s="236" t="s">
        <v>85</v>
      </c>
      <c r="AB20" s="237">
        <v>40</v>
      </c>
      <c r="AC20" s="237">
        <v>25</v>
      </c>
      <c r="AD20" s="237">
        <v>15</v>
      </c>
      <c r="AE20" s="237">
        <v>8</v>
      </c>
      <c r="AF20" s="237">
        <v>4</v>
      </c>
      <c r="AG20" s="237">
        <v>2</v>
      </c>
      <c r="AH20" s="237">
        <v>1</v>
      </c>
      <c r="AI20" s="234"/>
      <c r="AJ20" s="234"/>
      <c r="AK20" s="234"/>
      <c r="AL20" s="280"/>
      <c r="AM20" s="280"/>
      <c r="AN20" s="280"/>
      <c r="AO20" s="280"/>
      <c r="AP20" s="280"/>
      <c r="AQ20" s="280"/>
      <c r="AR20" s="280"/>
      <c r="AS20" s="280"/>
    </row>
    <row r="21" spans="1:45" s="282" customFormat="1" ht="13.05" customHeight="1" x14ac:dyDescent="0.25">
      <c r="A21" s="311">
        <v>8</v>
      </c>
      <c r="B21" s="270" t="str">
        <f>IF($E21="","",VLOOKUP($E21,'[5]1MD ELO'!$A$7:$O$22,14))</f>
        <v/>
      </c>
      <c r="C21" s="271" t="str">
        <f>IF($E21="","",VLOOKUP($E21,'[5]1MD ELO'!$A$7:$O$22,15))</f>
        <v/>
      </c>
      <c r="D21" s="271" t="str">
        <f>IF($E21="","",VLOOKUP($E21,'[5]1MD ELO'!$A$7:$O$22,5))</f>
        <v/>
      </c>
      <c r="E21" s="272"/>
      <c r="F21" s="312" t="str">
        <f>UPPER(IF($E21="","",VLOOKUP($E21,'[5]1MD ELO'!$A$7:$O$22,2)))</f>
        <v/>
      </c>
      <c r="G21" s="312" t="str">
        <f>IF($E21="","",VLOOKUP($E21,'[5]1MD ELO'!$A$7:$O$22,3))</f>
        <v/>
      </c>
      <c r="H21" s="312"/>
      <c r="I21" s="312" t="str">
        <f>IF($E21="","",VLOOKUP($E21,'[5]1MD ELO'!$A$7:$O$22,4))</f>
        <v/>
      </c>
      <c r="J21" s="306"/>
      <c r="K21" s="275"/>
      <c r="L21" s="275"/>
      <c r="M21" s="275"/>
      <c r="N21" s="301"/>
      <c r="O21" s="301"/>
      <c r="P21" s="301"/>
      <c r="Q21" s="278"/>
      <c r="R21" s="279"/>
      <c r="S21" s="280"/>
      <c r="T21" s="280"/>
      <c r="U21" s="280"/>
      <c r="V21" s="280"/>
      <c r="W21" s="280"/>
      <c r="X21" s="280"/>
      <c r="Y21" s="236"/>
      <c r="Z21" s="236"/>
      <c r="AA21" s="236" t="s">
        <v>86</v>
      </c>
      <c r="AB21" s="237">
        <v>25</v>
      </c>
      <c r="AC21" s="237">
        <v>15</v>
      </c>
      <c r="AD21" s="237">
        <v>10</v>
      </c>
      <c r="AE21" s="237">
        <v>6</v>
      </c>
      <c r="AF21" s="237">
        <v>3</v>
      </c>
      <c r="AG21" s="237">
        <v>1</v>
      </c>
      <c r="AH21" s="237">
        <v>0</v>
      </c>
      <c r="AI21" s="234"/>
      <c r="AJ21" s="234"/>
      <c r="AK21" s="234"/>
      <c r="AL21" s="280"/>
      <c r="AM21" s="280"/>
      <c r="AN21" s="280"/>
      <c r="AO21" s="280"/>
      <c r="AP21" s="280"/>
      <c r="AQ21" s="280"/>
      <c r="AR21" s="280"/>
      <c r="AS21" s="280"/>
    </row>
    <row r="22" spans="1:45" s="282" customFormat="1" ht="9.4499999999999993" customHeight="1" x14ac:dyDescent="0.25">
      <c r="A22" s="313"/>
      <c r="B22" s="276"/>
      <c r="C22" s="276"/>
      <c r="D22" s="276"/>
      <c r="E22" s="286"/>
      <c r="F22" s="276"/>
      <c r="G22" s="276"/>
      <c r="H22" s="276"/>
      <c r="I22" s="276"/>
      <c r="J22" s="286"/>
      <c r="K22" s="276"/>
      <c r="L22" s="276"/>
      <c r="M22" s="276"/>
      <c r="N22" s="278"/>
      <c r="O22" s="278"/>
      <c r="P22" s="278"/>
      <c r="Q22" s="278"/>
      <c r="R22" s="279"/>
      <c r="S22" s="280"/>
      <c r="T22" s="280"/>
      <c r="U22" s="280"/>
      <c r="V22" s="280"/>
      <c r="W22" s="280"/>
      <c r="X22" s="280"/>
      <c r="Y22" s="236"/>
      <c r="Z22" s="236"/>
      <c r="AA22" s="236" t="s">
        <v>87</v>
      </c>
      <c r="AB22" s="237">
        <v>15</v>
      </c>
      <c r="AC22" s="237">
        <v>10</v>
      </c>
      <c r="AD22" s="237">
        <v>6</v>
      </c>
      <c r="AE22" s="237">
        <v>3</v>
      </c>
      <c r="AF22" s="237">
        <v>1</v>
      </c>
      <c r="AG22" s="237">
        <v>0</v>
      </c>
      <c r="AH22" s="237">
        <v>0</v>
      </c>
      <c r="AI22" s="234"/>
      <c r="AJ22" s="234"/>
      <c r="AK22" s="234"/>
      <c r="AL22" s="280"/>
      <c r="AM22" s="280"/>
      <c r="AN22" s="280"/>
      <c r="AO22" s="280"/>
      <c r="AP22" s="280"/>
      <c r="AQ22" s="280"/>
      <c r="AR22" s="280"/>
      <c r="AS22" s="280"/>
    </row>
    <row r="23" spans="1:45" s="282" customFormat="1" ht="9.4499999999999993" customHeight="1" x14ac:dyDescent="0.25">
      <c r="A23" s="314"/>
      <c r="B23" s="286"/>
      <c r="C23" s="286"/>
      <c r="D23" s="286"/>
      <c r="E23" s="286"/>
      <c r="F23" s="276"/>
      <c r="G23" s="276"/>
      <c r="H23" s="280"/>
      <c r="I23" s="315"/>
      <c r="J23" s="286"/>
      <c r="K23" s="276"/>
      <c r="L23" s="276"/>
      <c r="M23" s="276"/>
      <c r="N23" s="278"/>
      <c r="O23" s="278"/>
      <c r="P23" s="278"/>
      <c r="Q23" s="278"/>
      <c r="R23" s="279"/>
      <c r="S23" s="280"/>
      <c r="T23" s="280"/>
      <c r="U23" s="280"/>
      <c r="V23" s="280"/>
      <c r="W23" s="280"/>
      <c r="X23" s="280"/>
      <c r="Y23" s="236"/>
      <c r="Z23" s="236"/>
      <c r="AA23" s="236" t="s">
        <v>88</v>
      </c>
      <c r="AB23" s="237">
        <v>10</v>
      </c>
      <c r="AC23" s="237">
        <v>6</v>
      </c>
      <c r="AD23" s="237">
        <v>3</v>
      </c>
      <c r="AE23" s="237">
        <v>1</v>
      </c>
      <c r="AF23" s="237">
        <v>0</v>
      </c>
      <c r="AG23" s="237">
        <v>0</v>
      </c>
      <c r="AH23" s="237">
        <v>0</v>
      </c>
      <c r="AI23" s="234"/>
      <c r="AJ23" s="234"/>
      <c r="AK23" s="234"/>
      <c r="AL23" s="280"/>
      <c r="AM23" s="280"/>
      <c r="AN23" s="280"/>
      <c r="AO23" s="280"/>
      <c r="AP23" s="280"/>
      <c r="AQ23" s="280"/>
      <c r="AR23" s="280"/>
      <c r="AS23" s="280"/>
    </row>
    <row r="24" spans="1:45" s="282" customFormat="1" ht="9.4499999999999993" customHeight="1" x14ac:dyDescent="0.25">
      <c r="A24" s="314"/>
      <c r="B24" s="276"/>
      <c r="C24" s="276"/>
      <c r="D24" s="276"/>
      <c r="E24" s="286"/>
      <c r="F24" s="276"/>
      <c r="G24" s="276"/>
      <c r="H24" s="276"/>
      <c r="I24" s="276"/>
      <c r="J24" s="286"/>
      <c r="K24" s="276"/>
      <c r="L24" s="316"/>
      <c r="M24" s="276"/>
      <c r="N24" s="278"/>
      <c r="O24" s="278"/>
      <c r="P24" s="278"/>
      <c r="Q24" s="278"/>
      <c r="R24" s="279"/>
      <c r="S24" s="280"/>
      <c r="T24" s="280"/>
      <c r="U24" s="280"/>
      <c r="V24" s="280"/>
      <c r="W24" s="280"/>
      <c r="X24" s="280"/>
      <c r="Y24" s="236"/>
      <c r="Z24" s="236"/>
      <c r="AA24" s="236" t="s">
        <v>89</v>
      </c>
      <c r="AB24" s="237">
        <v>6</v>
      </c>
      <c r="AC24" s="237">
        <v>3</v>
      </c>
      <c r="AD24" s="237">
        <v>1</v>
      </c>
      <c r="AE24" s="237">
        <v>0</v>
      </c>
      <c r="AF24" s="237">
        <v>0</v>
      </c>
      <c r="AG24" s="237">
        <v>0</v>
      </c>
      <c r="AH24" s="237">
        <v>0</v>
      </c>
      <c r="AI24" s="234"/>
      <c r="AJ24" s="234"/>
      <c r="AK24" s="234"/>
      <c r="AL24" s="280"/>
      <c r="AM24" s="280"/>
      <c r="AN24" s="280"/>
      <c r="AO24" s="280"/>
      <c r="AP24" s="280"/>
      <c r="AQ24" s="280"/>
      <c r="AR24" s="280"/>
      <c r="AS24" s="280"/>
    </row>
    <row r="25" spans="1:45" s="282" customFormat="1" ht="9.4499999999999993" customHeight="1" x14ac:dyDescent="0.25">
      <c r="A25" s="314"/>
      <c r="B25" s="286"/>
      <c r="C25" s="286"/>
      <c r="D25" s="286"/>
      <c r="E25" s="286"/>
      <c r="F25" s="276"/>
      <c r="G25" s="276"/>
      <c r="H25" s="280"/>
      <c r="I25" s="276"/>
      <c r="J25" s="286"/>
      <c r="K25" s="315"/>
      <c r="L25" s="286"/>
      <c r="M25" s="276"/>
      <c r="N25" s="278"/>
      <c r="O25" s="278"/>
      <c r="P25" s="278"/>
      <c r="Q25" s="278"/>
      <c r="R25" s="279"/>
      <c r="S25" s="280"/>
      <c r="T25" s="280"/>
      <c r="U25" s="280"/>
      <c r="V25" s="280"/>
      <c r="W25" s="280"/>
      <c r="X25" s="280"/>
      <c r="Y25" s="236"/>
      <c r="Z25" s="236"/>
      <c r="AA25" s="236" t="s">
        <v>94</v>
      </c>
      <c r="AB25" s="237">
        <v>3</v>
      </c>
      <c r="AC25" s="237">
        <v>2</v>
      </c>
      <c r="AD25" s="237">
        <v>1</v>
      </c>
      <c r="AE25" s="237">
        <v>0</v>
      </c>
      <c r="AF25" s="237">
        <v>0</v>
      </c>
      <c r="AG25" s="237">
        <v>0</v>
      </c>
      <c r="AH25" s="237">
        <v>0</v>
      </c>
      <c r="AI25" s="234"/>
      <c r="AJ25" s="234"/>
      <c r="AK25" s="234"/>
      <c r="AL25" s="280"/>
      <c r="AM25" s="280"/>
      <c r="AN25" s="280"/>
      <c r="AO25" s="280"/>
      <c r="AP25" s="280"/>
      <c r="AQ25" s="280"/>
      <c r="AR25" s="280"/>
      <c r="AS25" s="280"/>
    </row>
    <row r="26" spans="1:45" s="282" customFormat="1" ht="9.4499999999999993" customHeight="1" x14ac:dyDescent="0.25">
      <c r="A26" s="314"/>
      <c r="B26" s="276"/>
      <c r="C26" s="276"/>
      <c r="D26" s="276"/>
      <c r="E26" s="286"/>
      <c r="F26" s="276"/>
      <c r="G26" s="276"/>
      <c r="H26" s="276"/>
      <c r="I26" s="276"/>
      <c r="J26" s="286"/>
      <c r="K26" s="276"/>
      <c r="L26" s="276"/>
      <c r="M26" s="276"/>
      <c r="N26" s="278"/>
      <c r="O26" s="278"/>
      <c r="P26" s="278"/>
      <c r="Q26" s="278"/>
      <c r="R26" s="279"/>
      <c r="S26" s="317"/>
      <c r="T26" s="280"/>
      <c r="U26" s="280"/>
      <c r="V26" s="280"/>
      <c r="W26" s="280"/>
      <c r="X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234"/>
      <c r="AJ26" s="234"/>
      <c r="AK26" s="234"/>
      <c r="AL26" s="280"/>
      <c r="AM26" s="280"/>
      <c r="AN26" s="280"/>
      <c r="AO26" s="280"/>
      <c r="AP26" s="280"/>
      <c r="AQ26" s="280"/>
      <c r="AR26" s="280"/>
      <c r="AS26" s="280"/>
    </row>
    <row r="27" spans="1:45" s="282" customFormat="1" ht="9.4499999999999993" customHeight="1" x14ac:dyDescent="0.25">
      <c r="A27" s="314"/>
      <c r="B27" s="286"/>
      <c r="C27" s="286"/>
      <c r="D27" s="286"/>
      <c r="E27" s="286"/>
      <c r="F27" s="276"/>
      <c r="G27" s="276"/>
      <c r="H27" s="280"/>
      <c r="I27" s="315"/>
      <c r="J27" s="286"/>
      <c r="K27" s="276"/>
      <c r="L27" s="276"/>
      <c r="M27" s="276"/>
      <c r="N27" s="278"/>
      <c r="O27" s="278"/>
      <c r="P27" s="278"/>
      <c r="Q27" s="278"/>
      <c r="R27" s="279"/>
      <c r="S27" s="280"/>
      <c r="T27" s="280"/>
      <c r="U27" s="280"/>
      <c r="V27" s="280"/>
      <c r="W27" s="280"/>
      <c r="X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234"/>
      <c r="AJ27" s="234"/>
      <c r="AK27" s="234"/>
      <c r="AL27" s="280"/>
      <c r="AM27" s="280"/>
      <c r="AN27" s="280"/>
      <c r="AO27" s="280"/>
      <c r="AP27" s="280"/>
      <c r="AQ27" s="280"/>
      <c r="AR27" s="280"/>
      <c r="AS27" s="280"/>
    </row>
    <row r="28" spans="1:45" s="282" customFormat="1" ht="9.4499999999999993" customHeight="1" x14ac:dyDescent="0.25">
      <c r="A28" s="314"/>
      <c r="B28" s="276"/>
      <c r="C28" s="276"/>
      <c r="D28" s="276"/>
      <c r="E28" s="286"/>
      <c r="F28" s="276"/>
      <c r="G28" s="276"/>
      <c r="H28" s="276"/>
      <c r="I28" s="276"/>
      <c r="J28" s="286"/>
      <c r="K28" s="276"/>
      <c r="L28" s="276"/>
      <c r="M28" s="276"/>
      <c r="N28" s="278"/>
      <c r="O28" s="278"/>
      <c r="P28" s="278"/>
      <c r="Q28" s="278"/>
      <c r="R28" s="279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</row>
    <row r="29" spans="1:45" s="282" customFormat="1" ht="9.4499999999999993" customHeight="1" x14ac:dyDescent="0.25">
      <c r="A29" s="314"/>
      <c r="B29" s="286"/>
      <c r="C29" s="286"/>
      <c r="D29" s="286"/>
      <c r="E29" s="286"/>
      <c r="F29" s="276"/>
      <c r="G29" s="276"/>
      <c r="H29" s="280"/>
      <c r="I29" s="276"/>
      <c r="J29" s="286"/>
      <c r="K29" s="276"/>
      <c r="L29" s="276"/>
      <c r="M29" s="315"/>
      <c r="N29" s="286"/>
      <c r="O29" s="276"/>
      <c r="P29" s="278"/>
      <c r="Q29" s="278"/>
      <c r="R29" s="279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</row>
    <row r="30" spans="1:45" s="282" customFormat="1" ht="9.4499999999999993" customHeight="1" x14ac:dyDescent="0.25">
      <c r="A30" s="314"/>
      <c r="B30" s="276"/>
      <c r="C30" s="276"/>
      <c r="D30" s="276"/>
      <c r="E30" s="286"/>
      <c r="F30" s="276"/>
      <c r="G30" s="276"/>
      <c r="H30" s="276"/>
      <c r="I30" s="276"/>
      <c r="J30" s="286"/>
      <c r="K30" s="276"/>
      <c r="L30" s="276"/>
      <c r="M30" s="276"/>
      <c r="N30" s="278"/>
      <c r="O30" s="276"/>
      <c r="P30" s="278"/>
      <c r="Q30" s="278"/>
      <c r="R30" s="279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</row>
    <row r="31" spans="1:45" s="282" customFormat="1" ht="9.4499999999999993" customHeight="1" x14ac:dyDescent="0.25">
      <c r="A31" s="314"/>
      <c r="B31" s="286"/>
      <c r="C31" s="286"/>
      <c r="D31" s="286"/>
      <c r="E31" s="286"/>
      <c r="F31" s="276"/>
      <c r="G31" s="276"/>
      <c r="H31" s="280"/>
      <c r="I31" s="315"/>
      <c r="J31" s="286"/>
      <c r="K31" s="276"/>
      <c r="L31" s="276"/>
      <c r="M31" s="276"/>
      <c r="N31" s="278"/>
      <c r="O31" s="278"/>
      <c r="P31" s="278"/>
      <c r="Q31" s="278"/>
      <c r="R31" s="279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</row>
    <row r="32" spans="1:45" s="282" customFormat="1" ht="9.4499999999999993" customHeight="1" x14ac:dyDescent="0.25">
      <c r="A32" s="314"/>
      <c r="B32" s="276"/>
      <c r="C32" s="276"/>
      <c r="D32" s="276"/>
      <c r="E32" s="286"/>
      <c r="F32" s="276"/>
      <c r="G32" s="276"/>
      <c r="H32" s="276"/>
      <c r="I32" s="276"/>
      <c r="J32" s="286"/>
      <c r="K32" s="276"/>
      <c r="L32" s="316"/>
      <c r="M32" s="276"/>
      <c r="N32" s="278"/>
      <c r="O32" s="278"/>
      <c r="P32" s="278"/>
      <c r="Q32" s="278"/>
      <c r="R32" s="279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</row>
    <row r="33" spans="1:45" s="282" customFormat="1" ht="9.4499999999999993" customHeight="1" x14ac:dyDescent="0.25">
      <c r="A33" s="314"/>
      <c r="B33" s="286"/>
      <c r="C33" s="286"/>
      <c r="D33" s="286"/>
      <c r="E33" s="286"/>
      <c r="F33" s="276"/>
      <c r="G33" s="276"/>
      <c r="H33" s="280"/>
      <c r="I33" s="276"/>
      <c r="J33" s="286"/>
      <c r="K33" s="315"/>
      <c r="L33" s="286"/>
      <c r="M33" s="276"/>
      <c r="N33" s="278"/>
      <c r="O33" s="278"/>
      <c r="P33" s="278"/>
      <c r="Q33" s="278"/>
      <c r="R33" s="279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</row>
    <row r="34" spans="1:45" s="282" customFormat="1" ht="9.4499999999999993" customHeight="1" x14ac:dyDescent="0.25">
      <c r="A34" s="314"/>
      <c r="B34" s="276"/>
      <c r="C34" s="276"/>
      <c r="D34" s="276"/>
      <c r="E34" s="286"/>
      <c r="F34" s="276"/>
      <c r="G34" s="276"/>
      <c r="H34" s="276"/>
      <c r="I34" s="276"/>
      <c r="J34" s="286"/>
      <c r="K34" s="276"/>
      <c r="L34" s="276"/>
      <c r="M34" s="276"/>
      <c r="N34" s="278"/>
      <c r="O34" s="278"/>
      <c r="P34" s="278"/>
      <c r="Q34" s="278"/>
      <c r="R34" s="279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</row>
    <row r="35" spans="1:45" s="282" customFormat="1" ht="9.4499999999999993" customHeight="1" x14ac:dyDescent="0.25">
      <c r="A35" s="314"/>
      <c r="B35" s="286"/>
      <c r="C35" s="286"/>
      <c r="D35" s="286"/>
      <c r="E35" s="286"/>
      <c r="F35" s="276"/>
      <c r="G35" s="276"/>
      <c r="H35" s="280"/>
      <c r="I35" s="315"/>
      <c r="J35" s="286"/>
      <c r="K35" s="276"/>
      <c r="L35" s="276"/>
      <c r="M35" s="276"/>
      <c r="N35" s="278"/>
      <c r="O35" s="278"/>
      <c r="P35" s="278"/>
      <c r="Q35" s="278"/>
      <c r="R35" s="279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</row>
    <row r="36" spans="1:45" s="282" customFormat="1" ht="9.4499999999999993" customHeight="1" x14ac:dyDescent="0.25">
      <c r="A36" s="313"/>
      <c r="B36" s="276"/>
      <c r="C36" s="276"/>
      <c r="D36" s="276"/>
      <c r="E36" s="286"/>
      <c r="F36" s="276"/>
      <c r="G36" s="276"/>
      <c r="H36" s="276"/>
      <c r="I36" s="276"/>
      <c r="J36" s="286"/>
      <c r="K36" s="276"/>
      <c r="L36" s="276"/>
      <c r="M36" s="276"/>
      <c r="N36" s="276"/>
      <c r="O36" s="276"/>
      <c r="P36" s="276"/>
      <c r="Q36" s="278"/>
      <c r="R36" s="279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</row>
    <row r="37" spans="1:45" s="282" customFormat="1" ht="9.4499999999999993" customHeight="1" x14ac:dyDescent="0.25">
      <c r="A37" s="314"/>
      <c r="B37" s="286"/>
      <c r="C37" s="286"/>
      <c r="D37" s="286"/>
      <c r="E37" s="286"/>
      <c r="F37" s="318"/>
      <c r="G37" s="318"/>
      <c r="H37" s="319"/>
      <c r="I37" s="275"/>
      <c r="J37" s="298"/>
      <c r="K37" s="275"/>
      <c r="L37" s="275"/>
      <c r="M37" s="275"/>
      <c r="N37" s="301"/>
      <c r="O37" s="301"/>
      <c r="P37" s="301"/>
      <c r="Q37" s="278"/>
      <c r="R37" s="279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</row>
    <row r="38" spans="1:45" s="282" customFormat="1" ht="9.4499999999999993" customHeight="1" x14ac:dyDescent="0.25">
      <c r="A38" s="313"/>
      <c r="B38" s="276"/>
      <c r="C38" s="276"/>
      <c r="D38" s="276"/>
      <c r="E38" s="286"/>
      <c r="F38" s="276"/>
      <c r="G38" s="276"/>
      <c r="H38" s="276"/>
      <c r="I38" s="276"/>
      <c r="J38" s="286"/>
      <c r="K38" s="276"/>
      <c r="L38" s="276"/>
      <c r="M38" s="276"/>
      <c r="N38" s="278"/>
      <c r="O38" s="278"/>
      <c r="P38" s="278"/>
      <c r="Q38" s="278"/>
      <c r="R38" s="279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</row>
    <row r="39" spans="1:45" s="282" customFormat="1" ht="9.4499999999999993" customHeight="1" x14ac:dyDescent="0.25">
      <c r="A39" s="314"/>
      <c r="B39" s="286"/>
      <c r="C39" s="286"/>
      <c r="D39" s="286"/>
      <c r="E39" s="286"/>
      <c r="F39" s="276"/>
      <c r="G39" s="276"/>
      <c r="H39" s="280"/>
      <c r="I39" s="315"/>
      <c r="J39" s="286"/>
      <c r="K39" s="276"/>
      <c r="L39" s="276"/>
      <c r="M39" s="276"/>
      <c r="N39" s="278"/>
      <c r="O39" s="278"/>
      <c r="P39" s="278"/>
      <c r="Q39" s="278"/>
      <c r="R39" s="279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</row>
    <row r="40" spans="1:45" s="282" customFormat="1" ht="9.4499999999999993" customHeight="1" x14ac:dyDescent="0.25">
      <c r="A40" s="314"/>
      <c r="B40" s="276"/>
      <c r="C40" s="276"/>
      <c r="D40" s="276"/>
      <c r="E40" s="286"/>
      <c r="F40" s="276"/>
      <c r="G40" s="276"/>
      <c r="H40" s="276"/>
      <c r="I40" s="276"/>
      <c r="J40" s="286"/>
      <c r="K40" s="276"/>
      <c r="L40" s="316"/>
      <c r="M40" s="276"/>
      <c r="N40" s="278"/>
      <c r="O40" s="278"/>
      <c r="P40" s="278"/>
      <c r="Q40" s="278"/>
      <c r="R40" s="279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</row>
    <row r="41" spans="1:45" s="282" customFormat="1" ht="9.4499999999999993" customHeight="1" x14ac:dyDescent="0.25">
      <c r="A41" s="314"/>
      <c r="B41" s="286"/>
      <c r="C41" s="286"/>
      <c r="D41" s="286"/>
      <c r="E41" s="286"/>
      <c r="F41" s="276"/>
      <c r="G41" s="276"/>
      <c r="H41" s="280"/>
      <c r="I41" s="276"/>
      <c r="J41" s="286"/>
      <c r="K41" s="315"/>
      <c r="L41" s="286"/>
      <c r="M41" s="276"/>
      <c r="N41" s="278"/>
      <c r="O41" s="278"/>
      <c r="P41" s="278"/>
      <c r="Q41" s="278"/>
      <c r="R41" s="279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</row>
    <row r="42" spans="1:45" s="282" customFormat="1" ht="9.4499999999999993" customHeight="1" x14ac:dyDescent="0.25">
      <c r="A42" s="314"/>
      <c r="B42" s="276"/>
      <c r="C42" s="276"/>
      <c r="D42" s="276"/>
      <c r="E42" s="286"/>
      <c r="F42" s="276"/>
      <c r="G42" s="276"/>
      <c r="H42" s="276"/>
      <c r="I42" s="276"/>
      <c r="J42" s="286"/>
      <c r="K42" s="276"/>
      <c r="L42" s="276"/>
      <c r="M42" s="276"/>
      <c r="N42" s="278"/>
      <c r="O42" s="278"/>
      <c r="P42" s="278"/>
      <c r="Q42" s="278"/>
      <c r="R42" s="279"/>
      <c r="S42" s="317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</row>
    <row r="43" spans="1:45" s="282" customFormat="1" ht="9.4499999999999993" customHeight="1" x14ac:dyDescent="0.25">
      <c r="A43" s="314"/>
      <c r="B43" s="286"/>
      <c r="C43" s="286"/>
      <c r="D43" s="286"/>
      <c r="E43" s="286"/>
      <c r="F43" s="276"/>
      <c r="G43" s="276"/>
      <c r="H43" s="280"/>
      <c r="I43" s="315"/>
      <c r="J43" s="286"/>
      <c r="K43" s="276"/>
      <c r="L43" s="276"/>
      <c r="M43" s="276"/>
      <c r="N43" s="278"/>
      <c r="O43" s="278"/>
      <c r="P43" s="278"/>
      <c r="Q43" s="278"/>
      <c r="R43" s="279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</row>
    <row r="44" spans="1:45" s="282" customFormat="1" ht="9.4499999999999993" customHeight="1" x14ac:dyDescent="0.25">
      <c r="A44" s="314"/>
      <c r="B44" s="276"/>
      <c r="C44" s="276"/>
      <c r="D44" s="276"/>
      <c r="E44" s="286"/>
      <c r="F44" s="276"/>
      <c r="G44" s="276"/>
      <c r="H44" s="276"/>
      <c r="I44" s="276"/>
      <c r="J44" s="286"/>
      <c r="K44" s="276"/>
      <c r="L44" s="276"/>
      <c r="M44" s="276"/>
      <c r="N44" s="278"/>
      <c r="O44" s="278"/>
      <c r="P44" s="278"/>
      <c r="Q44" s="278"/>
      <c r="R44" s="279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</row>
    <row r="45" spans="1:45" s="282" customFormat="1" ht="9.4499999999999993" customHeight="1" x14ac:dyDescent="0.25">
      <c r="A45" s="314"/>
      <c r="B45" s="286"/>
      <c r="C45" s="286"/>
      <c r="D45" s="286"/>
      <c r="E45" s="286"/>
      <c r="F45" s="276"/>
      <c r="G45" s="276"/>
      <c r="H45" s="280"/>
      <c r="I45" s="276"/>
      <c r="J45" s="286"/>
      <c r="K45" s="276"/>
      <c r="L45" s="276"/>
      <c r="M45" s="315"/>
      <c r="N45" s="286"/>
      <c r="O45" s="276"/>
      <c r="P45" s="278"/>
      <c r="Q45" s="278"/>
      <c r="R45" s="279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</row>
    <row r="46" spans="1:45" s="282" customFormat="1" ht="9.4499999999999993" customHeight="1" x14ac:dyDescent="0.25">
      <c r="A46" s="314"/>
      <c r="B46" s="276"/>
      <c r="C46" s="276"/>
      <c r="D46" s="276"/>
      <c r="E46" s="286"/>
      <c r="F46" s="276"/>
      <c r="G46" s="276"/>
      <c r="H46" s="276"/>
      <c r="I46" s="276"/>
      <c r="J46" s="286"/>
      <c r="K46" s="276"/>
      <c r="L46" s="276"/>
      <c r="M46" s="276"/>
      <c r="N46" s="278"/>
      <c r="O46" s="276"/>
      <c r="P46" s="278"/>
      <c r="Q46" s="278"/>
      <c r="R46" s="279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</row>
    <row r="47" spans="1:45" s="282" customFormat="1" ht="9.4499999999999993" customHeight="1" x14ac:dyDescent="0.25">
      <c r="A47" s="314"/>
      <c r="B47" s="286"/>
      <c r="C47" s="286"/>
      <c r="D47" s="286"/>
      <c r="E47" s="286"/>
      <c r="F47" s="276"/>
      <c r="G47" s="276"/>
      <c r="H47" s="280"/>
      <c r="I47" s="315"/>
      <c r="J47" s="286"/>
      <c r="K47" s="276"/>
      <c r="L47" s="276"/>
      <c r="M47" s="276"/>
      <c r="N47" s="278"/>
      <c r="O47" s="278"/>
      <c r="P47" s="278"/>
      <c r="Q47" s="278"/>
      <c r="R47" s="279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</row>
    <row r="48" spans="1:45" s="282" customFormat="1" ht="9.4499999999999993" customHeight="1" x14ac:dyDescent="0.25">
      <c r="A48" s="314"/>
      <c r="B48" s="276"/>
      <c r="C48" s="276"/>
      <c r="D48" s="276"/>
      <c r="E48" s="286"/>
      <c r="F48" s="276"/>
      <c r="G48" s="276"/>
      <c r="H48" s="276"/>
      <c r="I48" s="276"/>
      <c r="J48" s="286"/>
      <c r="K48" s="276"/>
      <c r="L48" s="316"/>
      <c r="M48" s="276"/>
      <c r="N48" s="278"/>
      <c r="O48" s="278"/>
      <c r="P48" s="278"/>
      <c r="Q48" s="278"/>
      <c r="R48" s="279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</row>
    <row r="49" spans="1:45" s="282" customFormat="1" ht="9.4499999999999993" customHeight="1" x14ac:dyDescent="0.25">
      <c r="A49" s="314"/>
      <c r="B49" s="286"/>
      <c r="C49" s="286"/>
      <c r="D49" s="286"/>
      <c r="E49" s="286"/>
      <c r="F49" s="276"/>
      <c r="G49" s="276"/>
      <c r="H49" s="280"/>
      <c r="I49" s="276"/>
      <c r="J49" s="286"/>
      <c r="K49" s="315"/>
      <c r="L49" s="286"/>
      <c r="M49" s="276"/>
      <c r="N49" s="278"/>
      <c r="O49" s="278"/>
      <c r="P49" s="278"/>
      <c r="Q49" s="278"/>
      <c r="R49" s="279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</row>
    <row r="50" spans="1:45" s="282" customFormat="1" ht="9.4499999999999993" customHeight="1" x14ac:dyDescent="0.25">
      <c r="A50" s="314"/>
      <c r="B50" s="276"/>
      <c r="C50" s="276"/>
      <c r="D50" s="276"/>
      <c r="E50" s="286"/>
      <c r="F50" s="276"/>
      <c r="G50" s="276"/>
      <c r="H50" s="276"/>
      <c r="I50" s="276"/>
      <c r="J50" s="286"/>
      <c r="K50" s="276"/>
      <c r="L50" s="276"/>
      <c r="M50" s="276"/>
      <c r="N50" s="278"/>
      <c r="O50" s="278"/>
      <c r="P50" s="278"/>
      <c r="Q50" s="278"/>
      <c r="R50" s="279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</row>
    <row r="51" spans="1:45" s="282" customFormat="1" ht="9.4499999999999993" customHeight="1" x14ac:dyDescent="0.25">
      <c r="A51" s="314"/>
      <c r="B51" s="286"/>
      <c r="C51" s="286"/>
      <c r="D51" s="286"/>
      <c r="E51" s="286"/>
      <c r="F51" s="276"/>
      <c r="G51" s="276"/>
      <c r="H51" s="280"/>
      <c r="I51" s="315"/>
      <c r="J51" s="286"/>
      <c r="K51" s="276"/>
      <c r="L51" s="276"/>
      <c r="M51" s="276"/>
      <c r="N51" s="278"/>
      <c r="O51" s="278"/>
      <c r="P51" s="278"/>
      <c r="Q51" s="278"/>
      <c r="R51" s="279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</row>
    <row r="52" spans="1:45" s="282" customFormat="1" ht="9.4499999999999993" customHeight="1" x14ac:dyDescent="0.25">
      <c r="A52" s="313"/>
      <c r="B52" s="276"/>
      <c r="C52" s="276"/>
      <c r="D52" s="276"/>
      <c r="E52" s="286"/>
      <c r="F52" s="320"/>
      <c r="G52" s="320"/>
      <c r="H52" s="320"/>
      <c r="I52" s="320"/>
      <c r="J52" s="286"/>
      <c r="K52" s="276"/>
      <c r="L52" s="276"/>
      <c r="M52" s="276"/>
      <c r="N52" s="276"/>
      <c r="O52" s="276"/>
      <c r="P52" s="276"/>
      <c r="Q52" s="278"/>
      <c r="R52" s="279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</row>
    <row r="53" spans="1:45" s="327" customFormat="1" ht="6.75" customHeight="1" x14ac:dyDescent="0.25">
      <c r="A53" s="321"/>
      <c r="B53" s="321"/>
      <c r="C53" s="321"/>
      <c r="D53" s="321"/>
      <c r="E53" s="321"/>
      <c r="F53" s="322"/>
      <c r="G53" s="322"/>
      <c r="H53" s="322"/>
      <c r="I53" s="322"/>
      <c r="J53" s="323"/>
      <c r="K53" s="324"/>
      <c r="L53" s="325"/>
      <c r="M53" s="324"/>
      <c r="N53" s="325"/>
      <c r="O53" s="324"/>
      <c r="P53" s="325"/>
      <c r="Q53" s="324"/>
      <c r="R53" s="325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280"/>
      <c r="AJ53" s="280"/>
      <c r="AK53" s="280"/>
      <c r="AL53" s="326"/>
      <c r="AM53" s="326"/>
      <c r="AN53" s="326"/>
      <c r="AO53" s="326"/>
      <c r="AP53" s="326"/>
      <c r="AQ53" s="326"/>
      <c r="AR53" s="326"/>
      <c r="AS53" s="326"/>
    </row>
    <row r="54" spans="1:45" s="340" customFormat="1" ht="10.5" customHeight="1" x14ac:dyDescent="0.25">
      <c r="A54" s="328" t="s">
        <v>32</v>
      </c>
      <c r="B54" s="329"/>
      <c r="C54" s="329"/>
      <c r="D54" s="330"/>
      <c r="E54" s="331" t="s">
        <v>3</v>
      </c>
      <c r="F54" s="332" t="s">
        <v>34</v>
      </c>
      <c r="G54" s="331"/>
      <c r="H54" s="333"/>
      <c r="I54" s="334"/>
      <c r="J54" s="331" t="s">
        <v>3</v>
      </c>
      <c r="K54" s="332" t="s">
        <v>41</v>
      </c>
      <c r="L54" s="335"/>
      <c r="M54" s="332" t="s">
        <v>42</v>
      </c>
      <c r="N54" s="336"/>
      <c r="O54" s="337" t="s">
        <v>43</v>
      </c>
      <c r="P54" s="337"/>
      <c r="Q54" s="338"/>
      <c r="R54" s="339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2"/>
      <c r="AJ54" s="342"/>
      <c r="AK54" s="342"/>
      <c r="AL54" s="341"/>
      <c r="AM54" s="341"/>
      <c r="AN54" s="341"/>
      <c r="AO54" s="341"/>
      <c r="AP54" s="341"/>
      <c r="AQ54" s="341"/>
      <c r="AR54" s="341"/>
      <c r="AS54" s="341"/>
    </row>
    <row r="55" spans="1:45" s="340" customFormat="1" ht="9" customHeight="1" x14ac:dyDescent="0.25">
      <c r="A55" s="343" t="s">
        <v>33</v>
      </c>
      <c r="B55" s="344"/>
      <c r="C55" s="345"/>
      <c r="D55" s="346"/>
      <c r="E55" s="347">
        <v>1</v>
      </c>
      <c r="F55" s="341" t="str">
        <f>IF(E55&gt;$R$62,,UPPER(VLOOKUP(E55,'[5]1MD ELO'!$A$7:$Q$134,2)))</f>
        <v/>
      </c>
      <c r="G55" s="347"/>
      <c r="H55" s="341"/>
      <c r="I55" s="348"/>
      <c r="J55" s="349" t="s">
        <v>4</v>
      </c>
      <c r="K55" s="350"/>
      <c r="L55" s="351"/>
      <c r="M55" s="350"/>
      <c r="N55" s="352"/>
      <c r="O55" s="353" t="s">
        <v>35</v>
      </c>
      <c r="P55" s="354"/>
      <c r="Q55" s="354"/>
      <c r="R55" s="352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2"/>
      <c r="AJ55" s="342"/>
      <c r="AK55" s="342"/>
      <c r="AL55" s="341"/>
      <c r="AM55" s="341"/>
      <c r="AN55" s="341"/>
      <c r="AO55" s="341"/>
      <c r="AP55" s="341"/>
      <c r="AQ55" s="341"/>
      <c r="AR55" s="341"/>
      <c r="AS55" s="341"/>
    </row>
    <row r="56" spans="1:45" s="340" customFormat="1" ht="9" customHeight="1" x14ac:dyDescent="0.25">
      <c r="A56" s="355" t="s">
        <v>40</v>
      </c>
      <c r="B56" s="356"/>
      <c r="C56" s="357"/>
      <c r="D56" s="358"/>
      <c r="E56" s="347">
        <v>2</v>
      </c>
      <c r="F56" s="341" t="str">
        <f>IF(E56&gt;$R$62,,UPPER(VLOOKUP(E56,'[5]1MD ELO'!$A$7:$Q$134,2)))</f>
        <v/>
      </c>
      <c r="G56" s="347"/>
      <c r="H56" s="341"/>
      <c r="I56" s="348"/>
      <c r="J56" s="349" t="s">
        <v>5</v>
      </c>
      <c r="K56" s="350"/>
      <c r="L56" s="351"/>
      <c r="M56" s="350"/>
      <c r="N56" s="352"/>
      <c r="O56" s="359"/>
      <c r="P56" s="360"/>
      <c r="Q56" s="356"/>
      <c r="R56" s="36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2"/>
      <c r="AJ56" s="342"/>
      <c r="AK56" s="342"/>
      <c r="AL56" s="341"/>
      <c r="AM56" s="341"/>
      <c r="AN56" s="341"/>
      <c r="AO56" s="341"/>
      <c r="AP56" s="341"/>
      <c r="AQ56" s="341"/>
      <c r="AR56" s="341"/>
      <c r="AS56" s="341"/>
    </row>
    <row r="57" spans="1:45" s="340" customFormat="1" ht="9" customHeight="1" x14ac:dyDescent="0.25">
      <c r="A57" s="362"/>
      <c r="B57" s="363"/>
      <c r="C57" s="364"/>
      <c r="D57" s="365"/>
      <c r="E57" s="347"/>
      <c r="F57" s="341"/>
      <c r="G57" s="347"/>
      <c r="H57" s="341"/>
      <c r="I57" s="348"/>
      <c r="J57" s="349" t="s">
        <v>6</v>
      </c>
      <c r="K57" s="350"/>
      <c r="L57" s="351"/>
      <c r="M57" s="350"/>
      <c r="N57" s="352"/>
      <c r="O57" s="353" t="s">
        <v>36</v>
      </c>
      <c r="P57" s="354"/>
      <c r="Q57" s="354"/>
      <c r="R57" s="352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2"/>
      <c r="AJ57" s="342"/>
      <c r="AK57" s="342"/>
      <c r="AL57" s="341"/>
      <c r="AM57" s="341"/>
      <c r="AN57" s="341"/>
      <c r="AO57" s="341"/>
      <c r="AP57" s="341"/>
      <c r="AQ57" s="341"/>
      <c r="AR57" s="341"/>
      <c r="AS57" s="341"/>
    </row>
    <row r="58" spans="1:45" s="340" customFormat="1" ht="9" customHeight="1" x14ac:dyDescent="0.25">
      <c r="A58" s="366"/>
      <c r="B58" s="252"/>
      <c r="C58" s="252"/>
      <c r="D58" s="367"/>
      <c r="E58" s="347"/>
      <c r="F58" s="341"/>
      <c r="G58" s="347"/>
      <c r="H58" s="341"/>
      <c r="I58" s="348"/>
      <c r="J58" s="349" t="s">
        <v>7</v>
      </c>
      <c r="K58" s="350"/>
      <c r="L58" s="351"/>
      <c r="M58" s="350"/>
      <c r="N58" s="352"/>
      <c r="O58" s="350"/>
      <c r="P58" s="351"/>
      <c r="Q58" s="350"/>
      <c r="R58" s="352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2"/>
      <c r="AJ58" s="342"/>
      <c r="AK58" s="342"/>
      <c r="AL58" s="341"/>
      <c r="AM58" s="341"/>
      <c r="AN58" s="341"/>
      <c r="AO58" s="341"/>
      <c r="AP58" s="341"/>
      <c r="AQ58" s="341"/>
      <c r="AR58" s="341"/>
      <c r="AS58" s="341"/>
    </row>
    <row r="59" spans="1:45" s="340" customFormat="1" ht="9" customHeight="1" x14ac:dyDescent="0.25">
      <c r="A59" s="368"/>
      <c r="B59" s="369"/>
      <c r="C59" s="369"/>
      <c r="D59" s="370"/>
      <c r="E59" s="347"/>
      <c r="F59" s="341"/>
      <c r="G59" s="347"/>
      <c r="H59" s="341"/>
      <c r="I59" s="348"/>
      <c r="J59" s="349" t="s">
        <v>8</v>
      </c>
      <c r="K59" s="350"/>
      <c r="L59" s="351"/>
      <c r="M59" s="350"/>
      <c r="N59" s="352"/>
      <c r="O59" s="356"/>
      <c r="P59" s="360"/>
      <c r="Q59" s="356"/>
      <c r="R59" s="36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J59" s="342"/>
      <c r="AK59" s="342"/>
      <c r="AL59" s="341"/>
      <c r="AM59" s="341"/>
      <c r="AN59" s="341"/>
      <c r="AO59" s="341"/>
      <c r="AP59" s="341"/>
      <c r="AQ59" s="341"/>
      <c r="AR59" s="341"/>
      <c r="AS59" s="341"/>
    </row>
    <row r="60" spans="1:45" s="340" customFormat="1" ht="9" customHeight="1" x14ac:dyDescent="0.25">
      <c r="A60" s="371"/>
      <c r="B60" s="372"/>
      <c r="C60" s="252"/>
      <c r="D60" s="367"/>
      <c r="E60" s="347"/>
      <c r="F60" s="341"/>
      <c r="G60" s="347"/>
      <c r="H60" s="341"/>
      <c r="I60" s="348"/>
      <c r="J60" s="349" t="s">
        <v>9</v>
      </c>
      <c r="K60" s="350"/>
      <c r="L60" s="351"/>
      <c r="M60" s="350"/>
      <c r="N60" s="352"/>
      <c r="O60" s="353" t="s">
        <v>28</v>
      </c>
      <c r="P60" s="354"/>
      <c r="Q60" s="354"/>
      <c r="R60" s="352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2"/>
      <c r="AJ60" s="342"/>
      <c r="AK60" s="342"/>
      <c r="AL60" s="341"/>
      <c r="AM60" s="341"/>
      <c r="AN60" s="341"/>
      <c r="AO60" s="341"/>
      <c r="AP60" s="341"/>
      <c r="AQ60" s="341"/>
      <c r="AR60" s="341"/>
      <c r="AS60" s="341"/>
    </row>
    <row r="61" spans="1:45" s="340" customFormat="1" ht="9" customHeight="1" x14ac:dyDescent="0.25">
      <c r="A61" s="371"/>
      <c r="B61" s="372"/>
      <c r="C61" s="373"/>
      <c r="D61" s="374"/>
      <c r="E61" s="347"/>
      <c r="F61" s="341"/>
      <c r="G61" s="347"/>
      <c r="H61" s="341"/>
      <c r="I61" s="348"/>
      <c r="J61" s="349" t="s">
        <v>10</v>
      </c>
      <c r="K61" s="350"/>
      <c r="L61" s="351"/>
      <c r="M61" s="350"/>
      <c r="N61" s="352"/>
      <c r="O61" s="350"/>
      <c r="P61" s="351"/>
      <c r="Q61" s="350"/>
      <c r="R61" s="352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2"/>
      <c r="AJ61" s="342"/>
      <c r="AK61" s="342"/>
      <c r="AL61" s="341"/>
      <c r="AM61" s="341"/>
      <c r="AN61" s="341"/>
      <c r="AO61" s="341"/>
      <c r="AP61" s="341"/>
      <c r="AQ61" s="341"/>
      <c r="AR61" s="341"/>
      <c r="AS61" s="341"/>
    </row>
    <row r="62" spans="1:45" s="340" customFormat="1" ht="9" customHeight="1" x14ac:dyDescent="0.25">
      <c r="A62" s="375"/>
      <c r="B62" s="376"/>
      <c r="C62" s="377"/>
      <c r="D62" s="378"/>
      <c r="E62" s="379"/>
      <c r="F62" s="359"/>
      <c r="G62" s="379"/>
      <c r="H62" s="359"/>
      <c r="I62" s="380"/>
      <c r="J62" s="381" t="s">
        <v>11</v>
      </c>
      <c r="K62" s="356"/>
      <c r="L62" s="360"/>
      <c r="M62" s="356"/>
      <c r="N62" s="361"/>
      <c r="O62" s="356">
        <f>R4</f>
        <v>0</v>
      </c>
      <c r="P62" s="360"/>
      <c r="Q62" s="356"/>
      <c r="R62" s="382">
        <f>MIN(4,'[5]1MD ELO'!Q5)</f>
        <v>4</v>
      </c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2"/>
      <c r="AJ62" s="342"/>
      <c r="AK62" s="342"/>
      <c r="AL62" s="341"/>
      <c r="AM62" s="341"/>
      <c r="AN62" s="341"/>
      <c r="AO62" s="341"/>
      <c r="AP62" s="341"/>
      <c r="AQ62" s="341"/>
      <c r="AR62" s="341"/>
      <c r="AS62" s="341"/>
    </row>
    <row r="63" spans="1:45" x14ac:dyDescent="0.25"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L63" s="385"/>
      <c r="AM63" s="385"/>
      <c r="AN63" s="385"/>
      <c r="AO63" s="385"/>
      <c r="AP63" s="385"/>
      <c r="AQ63" s="385"/>
      <c r="AR63" s="385"/>
      <c r="AS63" s="385"/>
    </row>
    <row r="64" spans="1:45" x14ac:dyDescent="0.25"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L64" s="385"/>
      <c r="AM64" s="385"/>
      <c r="AN64" s="385"/>
      <c r="AO64" s="385"/>
      <c r="AP64" s="385"/>
      <c r="AQ64" s="385"/>
      <c r="AR64" s="385"/>
      <c r="AS64" s="385"/>
    </row>
    <row r="65" spans="20:45" x14ac:dyDescent="0.25"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L65" s="385"/>
      <c r="AM65" s="385"/>
      <c r="AN65" s="385"/>
      <c r="AO65" s="385"/>
      <c r="AP65" s="385"/>
      <c r="AQ65" s="385"/>
      <c r="AR65" s="385"/>
      <c r="AS65" s="385"/>
    </row>
    <row r="66" spans="20:45" x14ac:dyDescent="0.25"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385"/>
      <c r="AH66" s="385"/>
      <c r="AL66" s="385"/>
      <c r="AM66" s="385"/>
      <c r="AN66" s="385"/>
      <c r="AO66" s="385"/>
      <c r="AP66" s="385"/>
      <c r="AQ66" s="385"/>
      <c r="AR66" s="385"/>
      <c r="AS66" s="385"/>
    </row>
    <row r="67" spans="20:45" x14ac:dyDescent="0.25"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385"/>
      <c r="AH67" s="385"/>
      <c r="AL67" s="385"/>
      <c r="AM67" s="385"/>
      <c r="AN67" s="385"/>
      <c r="AO67" s="385"/>
      <c r="AP67" s="385"/>
      <c r="AQ67" s="385"/>
      <c r="AR67" s="385"/>
      <c r="AS67" s="385"/>
    </row>
    <row r="68" spans="20:45" x14ac:dyDescent="0.25"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385"/>
      <c r="AH68" s="385"/>
      <c r="AL68" s="385"/>
      <c r="AM68" s="385"/>
      <c r="AN68" s="385"/>
      <c r="AO68" s="385"/>
      <c r="AP68" s="385"/>
      <c r="AQ68" s="385"/>
      <c r="AR68" s="385"/>
      <c r="AS68" s="385"/>
    </row>
    <row r="69" spans="20:45" x14ac:dyDescent="0.25">
      <c r="T69" s="385"/>
      <c r="U69" s="385"/>
      <c r="V69" s="385"/>
      <c r="W69" s="385"/>
      <c r="X69" s="385"/>
      <c r="Y69" s="385"/>
      <c r="Z69" s="385"/>
      <c r="AA69" s="385"/>
      <c r="AB69" s="385"/>
      <c r="AC69" s="385"/>
      <c r="AD69" s="385"/>
      <c r="AE69" s="385"/>
      <c r="AF69" s="385"/>
      <c r="AG69" s="385"/>
      <c r="AH69" s="385"/>
      <c r="AL69" s="385"/>
      <c r="AM69" s="385"/>
      <c r="AN69" s="385"/>
      <c r="AO69" s="385"/>
      <c r="AP69" s="385"/>
      <c r="AQ69" s="385"/>
      <c r="AR69" s="385"/>
      <c r="AS69" s="385"/>
    </row>
    <row r="70" spans="20:45" x14ac:dyDescent="0.25"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L70" s="385"/>
      <c r="AM70" s="385"/>
      <c r="AN70" s="385"/>
      <c r="AO70" s="385"/>
      <c r="AP70" s="385"/>
      <c r="AQ70" s="385"/>
      <c r="AR70" s="385"/>
      <c r="AS70" s="385"/>
    </row>
    <row r="71" spans="20:45" x14ac:dyDescent="0.25">
      <c r="T71" s="385"/>
      <c r="U71" s="385"/>
      <c r="V71" s="385"/>
      <c r="W71" s="385"/>
      <c r="X71" s="385"/>
      <c r="Y71" s="385"/>
      <c r="Z71" s="385"/>
      <c r="AA71" s="385"/>
      <c r="AB71" s="385"/>
      <c r="AC71" s="385"/>
      <c r="AD71" s="385"/>
      <c r="AE71" s="385"/>
      <c r="AF71" s="385"/>
      <c r="AG71" s="385"/>
      <c r="AH71" s="385"/>
      <c r="AL71" s="385"/>
      <c r="AM71" s="385"/>
      <c r="AN71" s="385"/>
      <c r="AO71" s="385"/>
      <c r="AP71" s="385"/>
      <c r="AQ71" s="385"/>
      <c r="AR71" s="385"/>
      <c r="AS71" s="385"/>
    </row>
    <row r="72" spans="20:45" x14ac:dyDescent="0.25">
      <c r="T72" s="385"/>
      <c r="U72" s="385"/>
      <c r="V72" s="385"/>
      <c r="W72" s="385"/>
      <c r="X72" s="385"/>
      <c r="Y72" s="385"/>
      <c r="Z72" s="385"/>
      <c r="AA72" s="385"/>
      <c r="AB72" s="385"/>
      <c r="AC72" s="385"/>
      <c r="AD72" s="385"/>
      <c r="AE72" s="385"/>
      <c r="AF72" s="385"/>
      <c r="AG72" s="385"/>
      <c r="AH72" s="385"/>
      <c r="AL72" s="385"/>
      <c r="AM72" s="385"/>
      <c r="AN72" s="385"/>
      <c r="AO72" s="385"/>
      <c r="AP72" s="385"/>
      <c r="AQ72" s="385"/>
      <c r="AR72" s="385"/>
      <c r="AS72" s="385"/>
    </row>
    <row r="73" spans="20:45" x14ac:dyDescent="0.25"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L73" s="385"/>
      <c r="AM73" s="385"/>
      <c r="AN73" s="385"/>
      <c r="AO73" s="385"/>
      <c r="AP73" s="385"/>
      <c r="AQ73" s="385"/>
      <c r="AR73" s="385"/>
      <c r="AS73" s="385"/>
    </row>
    <row r="74" spans="20:45" x14ac:dyDescent="0.25">
      <c r="T74" s="385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5"/>
      <c r="AL74" s="385"/>
      <c r="AM74" s="385"/>
      <c r="AN74" s="385"/>
      <c r="AO74" s="385"/>
      <c r="AP74" s="385"/>
      <c r="AQ74" s="385"/>
      <c r="AR74" s="385"/>
      <c r="AS74" s="385"/>
    </row>
    <row r="75" spans="20:45" x14ac:dyDescent="0.25">
      <c r="T75" s="385"/>
      <c r="U75" s="385"/>
      <c r="V75" s="385"/>
      <c r="W75" s="385"/>
      <c r="X75" s="385"/>
      <c r="Y75" s="385"/>
      <c r="Z75" s="385"/>
      <c r="AA75" s="385"/>
      <c r="AB75" s="385"/>
      <c r="AC75" s="385"/>
      <c r="AD75" s="385"/>
      <c r="AE75" s="385"/>
      <c r="AF75" s="385"/>
      <c r="AG75" s="385"/>
      <c r="AH75" s="385"/>
      <c r="AL75" s="385"/>
      <c r="AM75" s="385"/>
      <c r="AN75" s="385"/>
      <c r="AO75" s="385"/>
      <c r="AP75" s="385"/>
      <c r="AQ75" s="385"/>
      <c r="AR75" s="385"/>
      <c r="AS75" s="385"/>
    </row>
    <row r="76" spans="20:45" x14ac:dyDescent="0.25"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L76" s="385"/>
      <c r="AM76" s="385"/>
      <c r="AN76" s="385"/>
      <c r="AO76" s="385"/>
      <c r="AP76" s="385"/>
      <c r="AQ76" s="385"/>
      <c r="AR76" s="385"/>
      <c r="AS76" s="385"/>
    </row>
    <row r="77" spans="20:45" x14ac:dyDescent="0.25"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L77" s="385"/>
      <c r="AM77" s="385"/>
      <c r="AN77" s="385"/>
      <c r="AO77" s="385"/>
      <c r="AP77" s="385"/>
      <c r="AQ77" s="385"/>
      <c r="AR77" s="385"/>
      <c r="AS77" s="385"/>
    </row>
    <row r="78" spans="20:45" x14ac:dyDescent="0.25"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L78" s="385"/>
      <c r="AM78" s="385"/>
      <c r="AN78" s="385"/>
      <c r="AO78" s="385"/>
      <c r="AP78" s="385"/>
      <c r="AQ78" s="385"/>
      <c r="AR78" s="385"/>
      <c r="AS78" s="385"/>
    </row>
    <row r="79" spans="20:45" x14ac:dyDescent="0.25">
      <c r="T79" s="385"/>
      <c r="U79" s="385"/>
      <c r="V79" s="385"/>
      <c r="W79" s="385"/>
      <c r="X79" s="385"/>
      <c r="Y79" s="385"/>
      <c r="Z79" s="385"/>
      <c r="AA79" s="385"/>
      <c r="AB79" s="385"/>
      <c r="AC79" s="385"/>
      <c r="AD79" s="385"/>
      <c r="AE79" s="385"/>
      <c r="AF79" s="385"/>
      <c r="AG79" s="385"/>
      <c r="AH79" s="385"/>
      <c r="AL79" s="385"/>
      <c r="AM79" s="385"/>
      <c r="AN79" s="385"/>
      <c r="AO79" s="385"/>
      <c r="AP79" s="385"/>
      <c r="AQ79" s="385"/>
      <c r="AR79" s="385"/>
      <c r="AS79" s="385"/>
    </row>
    <row r="80" spans="20:45" x14ac:dyDescent="0.25">
      <c r="T80" s="385"/>
      <c r="U80" s="385"/>
      <c r="V80" s="385"/>
      <c r="W80" s="385"/>
      <c r="X80" s="385"/>
      <c r="Y80" s="385"/>
      <c r="Z80" s="385"/>
      <c r="AA80" s="385"/>
      <c r="AB80" s="385"/>
      <c r="AC80" s="385"/>
      <c r="AD80" s="385"/>
      <c r="AE80" s="385"/>
      <c r="AF80" s="385"/>
      <c r="AG80" s="385"/>
      <c r="AH80" s="385"/>
      <c r="AL80" s="385"/>
      <c r="AM80" s="385"/>
      <c r="AN80" s="385"/>
      <c r="AO80" s="385"/>
      <c r="AP80" s="385"/>
      <c r="AQ80" s="385"/>
      <c r="AR80" s="385"/>
      <c r="AS80" s="385"/>
    </row>
    <row r="81" spans="20:45" x14ac:dyDescent="0.25"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L81" s="385"/>
      <c r="AM81" s="385"/>
      <c r="AN81" s="385"/>
      <c r="AO81" s="385"/>
      <c r="AP81" s="385"/>
      <c r="AQ81" s="385"/>
      <c r="AR81" s="385"/>
      <c r="AS81" s="385"/>
    </row>
    <row r="82" spans="20:45" x14ac:dyDescent="0.25">
      <c r="T82" s="385"/>
      <c r="U82" s="385"/>
      <c r="V82" s="385"/>
      <c r="W82" s="385"/>
      <c r="X82" s="385"/>
      <c r="Y82" s="385"/>
      <c r="Z82" s="385"/>
      <c r="AA82" s="385"/>
      <c r="AB82" s="385"/>
      <c r="AC82" s="385"/>
      <c r="AD82" s="385"/>
      <c r="AE82" s="385"/>
      <c r="AF82" s="385"/>
      <c r="AG82" s="385"/>
      <c r="AH82" s="385"/>
      <c r="AL82" s="385"/>
      <c r="AM82" s="385"/>
      <c r="AN82" s="385"/>
      <c r="AO82" s="385"/>
      <c r="AP82" s="385"/>
      <c r="AQ82" s="385"/>
      <c r="AR82" s="385"/>
      <c r="AS82" s="385"/>
    </row>
    <row r="83" spans="20:45" x14ac:dyDescent="0.25">
      <c r="T83" s="385"/>
      <c r="U83" s="385"/>
      <c r="V83" s="385"/>
      <c r="W83" s="385"/>
      <c r="X83" s="385"/>
      <c r="Y83" s="385"/>
      <c r="Z83" s="385"/>
      <c r="AA83" s="385"/>
      <c r="AB83" s="385"/>
      <c r="AC83" s="385"/>
      <c r="AD83" s="385"/>
      <c r="AE83" s="385"/>
      <c r="AF83" s="385"/>
      <c r="AG83" s="385"/>
      <c r="AH83" s="385"/>
      <c r="AL83" s="385"/>
      <c r="AM83" s="385"/>
      <c r="AN83" s="385"/>
      <c r="AO83" s="385"/>
      <c r="AP83" s="385"/>
      <c r="AQ83" s="385"/>
      <c r="AR83" s="385"/>
      <c r="AS83" s="385"/>
    </row>
    <row r="84" spans="20:45" x14ac:dyDescent="0.25">
      <c r="T84" s="385"/>
      <c r="U84" s="385"/>
      <c r="V84" s="385"/>
      <c r="W84" s="385"/>
      <c r="X84" s="385"/>
      <c r="Y84" s="385"/>
      <c r="Z84" s="385"/>
      <c r="AA84" s="385"/>
      <c r="AB84" s="385"/>
      <c r="AC84" s="385"/>
      <c r="AD84" s="385"/>
      <c r="AE84" s="385"/>
      <c r="AF84" s="385"/>
      <c r="AG84" s="385"/>
      <c r="AH84" s="385"/>
      <c r="AL84" s="385"/>
      <c r="AM84" s="385"/>
      <c r="AN84" s="385"/>
      <c r="AO84" s="385"/>
      <c r="AP84" s="385"/>
      <c r="AQ84" s="385"/>
      <c r="AR84" s="385"/>
      <c r="AS84" s="385"/>
    </row>
    <row r="85" spans="20:45" x14ac:dyDescent="0.25"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L85" s="385"/>
      <c r="AM85" s="385"/>
      <c r="AN85" s="385"/>
      <c r="AO85" s="385"/>
      <c r="AP85" s="385"/>
      <c r="AQ85" s="385"/>
      <c r="AR85" s="385"/>
      <c r="AS85" s="385"/>
    </row>
    <row r="86" spans="20:45" x14ac:dyDescent="0.25"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5"/>
      <c r="AG86" s="385"/>
      <c r="AH86" s="385"/>
      <c r="AL86" s="385"/>
      <c r="AM86" s="385"/>
      <c r="AN86" s="385"/>
      <c r="AO86" s="385"/>
      <c r="AP86" s="385"/>
      <c r="AQ86" s="385"/>
      <c r="AR86" s="385"/>
      <c r="AS86" s="385"/>
    </row>
    <row r="87" spans="20:45" x14ac:dyDescent="0.25"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5"/>
      <c r="AG87" s="385"/>
      <c r="AH87" s="385"/>
      <c r="AL87" s="385"/>
      <c r="AM87" s="385"/>
      <c r="AN87" s="385"/>
      <c r="AO87" s="385"/>
      <c r="AP87" s="385"/>
      <c r="AQ87" s="385"/>
      <c r="AR87" s="385"/>
      <c r="AS87" s="385"/>
    </row>
    <row r="88" spans="20:45" x14ac:dyDescent="0.25"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L88" s="385"/>
      <c r="AM88" s="385"/>
      <c r="AN88" s="385"/>
      <c r="AO88" s="385"/>
      <c r="AP88" s="385"/>
      <c r="AQ88" s="385"/>
      <c r="AR88" s="385"/>
      <c r="AS88" s="385"/>
    </row>
    <row r="89" spans="20:45" x14ac:dyDescent="0.25"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5"/>
      <c r="AG89" s="385"/>
      <c r="AH89" s="385"/>
      <c r="AL89" s="385"/>
      <c r="AM89" s="385"/>
      <c r="AN89" s="385"/>
      <c r="AO89" s="385"/>
      <c r="AP89" s="385"/>
      <c r="AQ89" s="385"/>
      <c r="AR89" s="385"/>
      <c r="AS89" s="385"/>
    </row>
    <row r="90" spans="20:45" x14ac:dyDescent="0.25"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5"/>
      <c r="AG90" s="385"/>
      <c r="AH90" s="385"/>
      <c r="AL90" s="385"/>
      <c r="AM90" s="385"/>
      <c r="AN90" s="385"/>
      <c r="AO90" s="385"/>
      <c r="AP90" s="385"/>
      <c r="AQ90" s="385"/>
      <c r="AR90" s="385"/>
      <c r="AS90" s="385"/>
    </row>
    <row r="91" spans="20:45" x14ac:dyDescent="0.25"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5"/>
      <c r="AG91" s="385"/>
      <c r="AH91" s="385"/>
      <c r="AL91" s="385"/>
      <c r="AM91" s="385"/>
      <c r="AN91" s="385"/>
      <c r="AO91" s="385"/>
      <c r="AP91" s="385"/>
      <c r="AQ91" s="385"/>
      <c r="AR91" s="385"/>
      <c r="AS91" s="385"/>
    </row>
    <row r="92" spans="20:45" x14ac:dyDescent="0.25"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5"/>
      <c r="AG92" s="385"/>
      <c r="AH92" s="385"/>
      <c r="AL92" s="385"/>
      <c r="AM92" s="385"/>
      <c r="AN92" s="385"/>
      <c r="AO92" s="385"/>
      <c r="AP92" s="385"/>
      <c r="AQ92" s="385"/>
      <c r="AR92" s="385"/>
      <c r="AS92" s="385"/>
    </row>
    <row r="93" spans="20:45" x14ac:dyDescent="0.25"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5"/>
      <c r="AG93" s="385"/>
      <c r="AH93" s="385"/>
      <c r="AL93" s="385"/>
      <c r="AM93" s="385"/>
      <c r="AN93" s="385"/>
      <c r="AO93" s="385"/>
      <c r="AP93" s="385"/>
      <c r="AQ93" s="385"/>
      <c r="AR93" s="385"/>
      <c r="AS93" s="385"/>
    </row>
    <row r="94" spans="20:45" x14ac:dyDescent="0.25"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L94" s="385"/>
      <c r="AM94" s="385"/>
      <c r="AN94" s="385"/>
      <c r="AO94" s="385"/>
      <c r="AP94" s="385"/>
      <c r="AQ94" s="385"/>
      <c r="AR94" s="385"/>
      <c r="AS94" s="385"/>
    </row>
    <row r="95" spans="20:45" x14ac:dyDescent="0.25"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L95" s="385"/>
      <c r="AM95" s="385"/>
      <c r="AN95" s="385"/>
      <c r="AO95" s="385"/>
      <c r="AP95" s="385"/>
      <c r="AQ95" s="385"/>
      <c r="AR95" s="385"/>
      <c r="AS95" s="385"/>
    </row>
    <row r="96" spans="20:45" x14ac:dyDescent="0.25"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L96" s="385"/>
      <c r="AM96" s="385"/>
      <c r="AN96" s="385"/>
      <c r="AO96" s="385"/>
      <c r="AP96" s="385"/>
      <c r="AQ96" s="385"/>
      <c r="AR96" s="385"/>
      <c r="AS96" s="385"/>
    </row>
    <row r="97" spans="20:45" x14ac:dyDescent="0.25"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L97" s="385"/>
      <c r="AM97" s="385"/>
      <c r="AN97" s="385"/>
      <c r="AO97" s="385"/>
      <c r="AP97" s="385"/>
      <c r="AQ97" s="385"/>
      <c r="AR97" s="385"/>
      <c r="AS97" s="385"/>
    </row>
    <row r="98" spans="20:45" x14ac:dyDescent="0.25"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L98" s="385"/>
      <c r="AM98" s="385"/>
      <c r="AN98" s="385"/>
      <c r="AO98" s="385"/>
      <c r="AP98" s="385"/>
      <c r="AQ98" s="385"/>
      <c r="AR98" s="385"/>
      <c r="AS98" s="385"/>
    </row>
    <row r="99" spans="20:45" x14ac:dyDescent="0.25"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L99" s="385"/>
      <c r="AM99" s="385"/>
      <c r="AN99" s="385"/>
      <c r="AO99" s="385"/>
      <c r="AP99" s="385"/>
      <c r="AQ99" s="385"/>
      <c r="AR99" s="385"/>
      <c r="AS99" s="385"/>
    </row>
    <row r="100" spans="20:45" x14ac:dyDescent="0.25"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5"/>
      <c r="AG100" s="385"/>
      <c r="AH100" s="385"/>
      <c r="AL100" s="385"/>
      <c r="AM100" s="385"/>
      <c r="AN100" s="385"/>
      <c r="AO100" s="385"/>
      <c r="AP100" s="385"/>
      <c r="AQ100" s="385"/>
      <c r="AR100" s="385"/>
      <c r="AS100" s="385"/>
    </row>
    <row r="101" spans="20:45" x14ac:dyDescent="0.25"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5"/>
      <c r="AL101" s="385"/>
      <c r="AM101" s="385"/>
      <c r="AN101" s="385"/>
      <c r="AO101" s="385"/>
      <c r="AP101" s="385"/>
      <c r="AQ101" s="385"/>
      <c r="AR101" s="385"/>
      <c r="AS101" s="385"/>
    </row>
    <row r="102" spans="20:45" x14ac:dyDescent="0.25"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5"/>
      <c r="AG102" s="385"/>
      <c r="AH102" s="385"/>
      <c r="AL102" s="385"/>
      <c r="AM102" s="385"/>
      <c r="AN102" s="385"/>
      <c r="AO102" s="385"/>
      <c r="AP102" s="385"/>
      <c r="AQ102" s="385"/>
      <c r="AR102" s="385"/>
      <c r="AS102" s="385"/>
    </row>
    <row r="103" spans="20:45" x14ac:dyDescent="0.25"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L103" s="385"/>
      <c r="AM103" s="385"/>
      <c r="AN103" s="385"/>
      <c r="AO103" s="385"/>
      <c r="AP103" s="385"/>
      <c r="AQ103" s="385"/>
      <c r="AR103" s="385"/>
      <c r="AS103" s="385"/>
    </row>
    <row r="104" spans="20:45" x14ac:dyDescent="0.25"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5"/>
      <c r="AG104" s="385"/>
      <c r="AH104" s="385"/>
      <c r="AL104" s="385"/>
      <c r="AM104" s="385"/>
      <c r="AN104" s="385"/>
      <c r="AO104" s="385"/>
      <c r="AP104" s="385"/>
      <c r="AQ104" s="385"/>
      <c r="AR104" s="385"/>
      <c r="AS104" s="385"/>
    </row>
    <row r="105" spans="20:45" x14ac:dyDescent="0.25"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L105" s="385"/>
      <c r="AM105" s="385"/>
      <c r="AN105" s="385"/>
      <c r="AO105" s="385"/>
      <c r="AP105" s="385"/>
      <c r="AQ105" s="385"/>
      <c r="AR105" s="385"/>
      <c r="AS105" s="385"/>
    </row>
    <row r="106" spans="20:45" x14ac:dyDescent="0.25"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L106" s="385"/>
      <c r="AM106" s="385"/>
      <c r="AN106" s="385"/>
      <c r="AO106" s="385"/>
      <c r="AP106" s="385"/>
      <c r="AQ106" s="385"/>
      <c r="AR106" s="385"/>
      <c r="AS106" s="385"/>
    </row>
    <row r="107" spans="20:45" x14ac:dyDescent="0.25"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L107" s="385"/>
      <c r="AM107" s="385"/>
      <c r="AN107" s="385"/>
      <c r="AO107" s="385"/>
      <c r="AP107" s="385"/>
      <c r="AQ107" s="385"/>
      <c r="AR107" s="385"/>
      <c r="AS107" s="385"/>
    </row>
    <row r="108" spans="20:45" x14ac:dyDescent="0.25"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L108" s="385"/>
      <c r="AM108" s="385"/>
      <c r="AN108" s="385"/>
      <c r="AO108" s="385"/>
      <c r="AP108" s="385"/>
      <c r="AQ108" s="385"/>
      <c r="AR108" s="385"/>
      <c r="AS108" s="385"/>
    </row>
    <row r="109" spans="20:45" x14ac:dyDescent="0.25"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5"/>
      <c r="AG109" s="385"/>
      <c r="AH109" s="385"/>
      <c r="AL109" s="385"/>
      <c r="AM109" s="385"/>
      <c r="AN109" s="385"/>
      <c r="AO109" s="385"/>
      <c r="AP109" s="385"/>
      <c r="AQ109" s="385"/>
      <c r="AR109" s="385"/>
      <c r="AS109" s="385"/>
    </row>
    <row r="110" spans="20:45" x14ac:dyDescent="0.25"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5"/>
      <c r="AH110" s="385"/>
      <c r="AL110" s="385"/>
      <c r="AM110" s="385"/>
      <c r="AN110" s="385"/>
      <c r="AO110" s="385"/>
      <c r="AP110" s="385"/>
      <c r="AQ110" s="385"/>
      <c r="AR110" s="385"/>
      <c r="AS110" s="385"/>
    </row>
    <row r="111" spans="20:45" x14ac:dyDescent="0.25"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L111" s="385"/>
      <c r="AM111" s="385"/>
      <c r="AN111" s="385"/>
      <c r="AO111" s="385"/>
      <c r="AP111" s="385"/>
      <c r="AQ111" s="385"/>
      <c r="AR111" s="385"/>
      <c r="AS111" s="385"/>
    </row>
    <row r="112" spans="20:45" x14ac:dyDescent="0.25"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L112" s="385"/>
      <c r="AM112" s="385"/>
      <c r="AN112" s="385"/>
      <c r="AO112" s="385"/>
      <c r="AP112" s="385"/>
      <c r="AQ112" s="385"/>
      <c r="AR112" s="385"/>
      <c r="AS112" s="385"/>
    </row>
    <row r="113" spans="20:45" x14ac:dyDescent="0.25"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L113" s="385"/>
      <c r="AM113" s="385"/>
      <c r="AN113" s="385"/>
      <c r="AO113" s="385"/>
      <c r="AP113" s="385"/>
      <c r="AQ113" s="385"/>
      <c r="AR113" s="385"/>
      <c r="AS113" s="385"/>
    </row>
    <row r="114" spans="20:45" x14ac:dyDescent="0.25"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L114" s="385"/>
      <c r="AM114" s="385"/>
      <c r="AN114" s="385"/>
      <c r="AO114" s="385"/>
      <c r="AP114" s="385"/>
      <c r="AQ114" s="385"/>
      <c r="AR114" s="385"/>
      <c r="AS114" s="385"/>
    </row>
    <row r="115" spans="20:45" x14ac:dyDescent="0.25"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L115" s="385"/>
      <c r="AM115" s="385"/>
      <c r="AN115" s="385"/>
      <c r="AO115" s="385"/>
      <c r="AP115" s="385"/>
      <c r="AQ115" s="385"/>
      <c r="AR115" s="385"/>
      <c r="AS115" s="385"/>
    </row>
    <row r="116" spans="20:45" x14ac:dyDescent="0.25"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L116" s="385"/>
      <c r="AM116" s="385"/>
      <c r="AN116" s="385"/>
      <c r="AO116" s="385"/>
      <c r="AP116" s="385"/>
      <c r="AQ116" s="385"/>
      <c r="AR116" s="385"/>
      <c r="AS116" s="385"/>
    </row>
    <row r="117" spans="20:45" x14ac:dyDescent="0.25"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L117" s="385"/>
      <c r="AM117" s="385"/>
      <c r="AN117" s="385"/>
      <c r="AO117" s="385"/>
      <c r="AP117" s="385"/>
      <c r="AQ117" s="385"/>
      <c r="AR117" s="385"/>
      <c r="AS117" s="385"/>
    </row>
    <row r="118" spans="20:45" x14ac:dyDescent="0.25"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L118" s="385"/>
      <c r="AM118" s="385"/>
      <c r="AN118" s="385"/>
      <c r="AO118" s="385"/>
      <c r="AP118" s="385"/>
      <c r="AQ118" s="385"/>
      <c r="AR118" s="385"/>
      <c r="AS118" s="385"/>
    </row>
    <row r="119" spans="20:45" x14ac:dyDescent="0.25"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5"/>
      <c r="AG119" s="385"/>
      <c r="AH119" s="385"/>
      <c r="AL119" s="385"/>
      <c r="AM119" s="385"/>
      <c r="AN119" s="385"/>
      <c r="AO119" s="385"/>
      <c r="AP119" s="385"/>
      <c r="AQ119" s="385"/>
      <c r="AR119" s="385"/>
      <c r="AS119" s="385"/>
    </row>
    <row r="120" spans="20:45" x14ac:dyDescent="0.25"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  <c r="AG120" s="385"/>
      <c r="AH120" s="385"/>
      <c r="AL120" s="385"/>
      <c r="AM120" s="385"/>
      <c r="AN120" s="385"/>
      <c r="AO120" s="385"/>
      <c r="AP120" s="385"/>
      <c r="AQ120" s="385"/>
      <c r="AR120" s="385"/>
      <c r="AS120" s="385"/>
    </row>
    <row r="121" spans="20:45" x14ac:dyDescent="0.25"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L121" s="385"/>
      <c r="AM121" s="385"/>
      <c r="AN121" s="385"/>
      <c r="AO121" s="385"/>
      <c r="AP121" s="385"/>
      <c r="AQ121" s="385"/>
      <c r="AR121" s="385"/>
      <c r="AS121" s="385"/>
    </row>
    <row r="122" spans="20:45" x14ac:dyDescent="0.25"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L122" s="385"/>
      <c r="AM122" s="385"/>
      <c r="AN122" s="385"/>
      <c r="AO122" s="385"/>
      <c r="AP122" s="385"/>
      <c r="AQ122" s="385"/>
      <c r="AR122" s="385"/>
      <c r="AS122" s="385"/>
    </row>
    <row r="123" spans="20:45" x14ac:dyDescent="0.25"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L123" s="385"/>
      <c r="AM123" s="385"/>
      <c r="AN123" s="385"/>
      <c r="AO123" s="385"/>
      <c r="AP123" s="385"/>
      <c r="AQ123" s="385"/>
      <c r="AR123" s="385"/>
      <c r="AS123" s="385"/>
    </row>
    <row r="124" spans="20:45" x14ac:dyDescent="0.25"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L124" s="385"/>
      <c r="AM124" s="385"/>
      <c r="AN124" s="385"/>
      <c r="AO124" s="385"/>
      <c r="AP124" s="385"/>
      <c r="AQ124" s="385"/>
      <c r="AR124" s="385"/>
      <c r="AS124" s="385"/>
    </row>
    <row r="125" spans="20:45" x14ac:dyDescent="0.25"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L125" s="385"/>
      <c r="AM125" s="385"/>
      <c r="AN125" s="385"/>
      <c r="AO125" s="385"/>
      <c r="AP125" s="385"/>
      <c r="AQ125" s="385"/>
      <c r="AR125" s="385"/>
      <c r="AS125" s="385"/>
    </row>
    <row r="126" spans="20:45" x14ac:dyDescent="0.25"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L126" s="385"/>
      <c r="AM126" s="385"/>
      <c r="AN126" s="385"/>
      <c r="AO126" s="385"/>
      <c r="AP126" s="385"/>
      <c r="AQ126" s="385"/>
      <c r="AR126" s="385"/>
      <c r="AS126" s="385"/>
    </row>
    <row r="127" spans="20:45" x14ac:dyDescent="0.25"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L127" s="385"/>
      <c r="AM127" s="385"/>
      <c r="AN127" s="385"/>
      <c r="AO127" s="385"/>
      <c r="AP127" s="385"/>
      <c r="AQ127" s="385"/>
      <c r="AR127" s="385"/>
      <c r="AS127" s="385"/>
    </row>
    <row r="128" spans="20:45" x14ac:dyDescent="0.25"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L128" s="385"/>
      <c r="AM128" s="385"/>
      <c r="AN128" s="385"/>
      <c r="AO128" s="385"/>
      <c r="AP128" s="385"/>
      <c r="AQ128" s="385"/>
      <c r="AR128" s="385"/>
      <c r="AS128" s="385"/>
    </row>
    <row r="129" spans="20:45" x14ac:dyDescent="0.25"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L129" s="385"/>
      <c r="AM129" s="385"/>
      <c r="AN129" s="385"/>
      <c r="AO129" s="385"/>
      <c r="AP129" s="385"/>
      <c r="AQ129" s="385"/>
      <c r="AR129" s="385"/>
      <c r="AS129" s="385"/>
    </row>
    <row r="130" spans="20:45" x14ac:dyDescent="0.25"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L130" s="385"/>
      <c r="AM130" s="385"/>
      <c r="AN130" s="385"/>
      <c r="AO130" s="385"/>
      <c r="AP130" s="385"/>
      <c r="AQ130" s="385"/>
      <c r="AR130" s="385"/>
      <c r="AS130" s="385"/>
    </row>
    <row r="131" spans="20:45" x14ac:dyDescent="0.25"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L131" s="385"/>
      <c r="AM131" s="385"/>
      <c r="AN131" s="385"/>
      <c r="AO131" s="385"/>
      <c r="AP131" s="385"/>
      <c r="AQ131" s="385"/>
      <c r="AR131" s="385"/>
      <c r="AS131" s="385"/>
    </row>
    <row r="132" spans="20:45" x14ac:dyDescent="0.25"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L132" s="385"/>
      <c r="AM132" s="385"/>
      <c r="AN132" s="385"/>
      <c r="AO132" s="385"/>
      <c r="AP132" s="385"/>
      <c r="AQ132" s="385"/>
      <c r="AR132" s="385"/>
      <c r="AS132" s="385"/>
    </row>
    <row r="133" spans="20:45" x14ac:dyDescent="0.25"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5"/>
      <c r="AG133" s="385"/>
      <c r="AH133" s="385"/>
      <c r="AL133" s="385"/>
      <c r="AM133" s="385"/>
      <c r="AN133" s="385"/>
      <c r="AO133" s="385"/>
      <c r="AP133" s="385"/>
      <c r="AQ133" s="385"/>
      <c r="AR133" s="385"/>
      <c r="AS133" s="385"/>
    </row>
    <row r="134" spans="20:45" x14ac:dyDescent="0.25"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L134" s="385"/>
      <c r="AM134" s="385"/>
      <c r="AN134" s="385"/>
      <c r="AO134" s="385"/>
      <c r="AP134" s="385"/>
      <c r="AQ134" s="385"/>
      <c r="AR134" s="385"/>
      <c r="AS134" s="385"/>
    </row>
    <row r="135" spans="20:45" x14ac:dyDescent="0.25"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L135" s="385"/>
      <c r="AM135" s="385"/>
      <c r="AN135" s="385"/>
      <c r="AO135" s="385"/>
      <c r="AP135" s="385"/>
      <c r="AQ135" s="385"/>
      <c r="AR135" s="385"/>
      <c r="AS135" s="385"/>
    </row>
    <row r="136" spans="20:45" x14ac:dyDescent="0.25"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/>
      <c r="AG136" s="385"/>
      <c r="AH136" s="385"/>
      <c r="AL136" s="385"/>
      <c r="AM136" s="385"/>
      <c r="AN136" s="385"/>
      <c r="AO136" s="385"/>
      <c r="AP136" s="385"/>
      <c r="AQ136" s="385"/>
      <c r="AR136" s="385"/>
      <c r="AS136" s="385"/>
    </row>
    <row r="137" spans="20:45" x14ac:dyDescent="0.25"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5"/>
      <c r="AG137" s="385"/>
      <c r="AH137" s="385"/>
      <c r="AL137" s="385"/>
      <c r="AM137" s="385"/>
      <c r="AN137" s="385"/>
      <c r="AO137" s="385"/>
      <c r="AP137" s="385"/>
      <c r="AQ137" s="385"/>
      <c r="AR137" s="385"/>
      <c r="AS137" s="385"/>
    </row>
    <row r="138" spans="20:45" x14ac:dyDescent="0.25"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5"/>
      <c r="AG138" s="385"/>
      <c r="AH138" s="385"/>
      <c r="AL138" s="385"/>
      <c r="AM138" s="385"/>
      <c r="AN138" s="385"/>
      <c r="AO138" s="385"/>
      <c r="AP138" s="385"/>
      <c r="AQ138" s="385"/>
      <c r="AR138" s="385"/>
      <c r="AS138" s="385"/>
    </row>
    <row r="139" spans="20:45" x14ac:dyDescent="0.25"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L139" s="385"/>
      <c r="AM139" s="385"/>
      <c r="AN139" s="385"/>
      <c r="AO139" s="385"/>
      <c r="AP139" s="385"/>
      <c r="AQ139" s="385"/>
      <c r="AR139" s="385"/>
      <c r="AS139" s="385"/>
    </row>
    <row r="140" spans="20:45" x14ac:dyDescent="0.25"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L140" s="385"/>
      <c r="AM140" s="385"/>
      <c r="AN140" s="385"/>
      <c r="AO140" s="385"/>
      <c r="AP140" s="385"/>
      <c r="AQ140" s="385"/>
      <c r="AR140" s="385"/>
      <c r="AS140" s="385"/>
    </row>
  </sheetData>
  <mergeCells count="1">
    <mergeCell ref="A4:C4"/>
  </mergeCells>
  <conditionalFormatting sqref="B22 B24 B26 B28 B30 B32 B34 B36 B38 B40 B42 B44 B46 B48 B50 B52">
    <cfRule type="cellIs" dxfId="121" priority="13" stopIfTrue="1" operator="equal">
      <formula>"QA"</formula>
    </cfRule>
    <cfRule type="cellIs" dxfId="120" priority="14" stopIfTrue="1" operator="equal">
      <formula>"DA"</formula>
    </cfRule>
  </conditionalFormatting>
  <conditionalFormatting sqref="E7 E21">
    <cfRule type="expression" dxfId="119" priority="16" stopIfTrue="1">
      <formula>$E7&lt;5</formula>
    </cfRule>
  </conditionalFormatting>
  <conditionalFormatting sqref="E22 E24 E26 E28 E30 E32 E34 E36 E38 E40 E42 E44 E46 E48 E50 E52">
    <cfRule type="expression" dxfId="118" priority="8" stopIfTrue="1">
      <formula>AND($E22&lt;9,$C22&gt;0)</formula>
    </cfRule>
  </conditionalFormatting>
  <conditionalFormatting sqref="F7 F9 F11 F13 F15 F17 F19">
    <cfRule type="cellIs" dxfId="117" priority="17" stopIfTrue="1" operator="equal">
      <formula>"Bye"</formula>
    </cfRule>
  </conditionalFormatting>
  <conditionalFormatting sqref="F21:F22 F24 F26 F28 F30 F32 F34 F36 F38 F40 F42 F44 F46 F48 F50">
    <cfRule type="cellIs" dxfId="116" priority="9" stopIfTrue="1" operator="equal">
      <formula>"Bye"</formula>
    </cfRule>
  </conditionalFormatting>
  <conditionalFormatting sqref="F22 F24 F26 F28 F30 F32 F34 F36 F38 F40 F42 F44 F46 F48 F50">
    <cfRule type="expression" dxfId="115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14" priority="4" stopIfTrue="1">
      <formula>AND($E7&lt;9,$C7&gt;0)</formula>
    </cfRule>
  </conditionalFormatting>
  <conditionalFormatting sqref="I8 K10 I12 M14 I16 K18 I20 I23 K25 I27 M29 I31 K33 I35 I39 K41 I43 M45 I47 K49 I51">
    <cfRule type="expression" dxfId="113" priority="5" stopIfTrue="1">
      <formula>AND($O$1="CU",I8="Umpire")</formula>
    </cfRule>
    <cfRule type="expression" dxfId="112" priority="6" stopIfTrue="1">
      <formula>AND($O$1="CU",I8&lt;&gt;"Umpire",J8&lt;&gt;"")</formula>
    </cfRule>
    <cfRule type="expression" dxfId="111" priority="7" stopIfTrue="1">
      <formula>AND($O$1="CU",I8&lt;&gt;"Umpire")</formula>
    </cfRule>
  </conditionalFormatting>
  <conditionalFormatting sqref="J8 L10 J12 N14 J16 L18 J20 R62">
    <cfRule type="expression" dxfId="110" priority="15" stopIfTrue="1">
      <formula>$O$1="CU"</formula>
    </cfRule>
  </conditionalFormatting>
  <conditionalFormatting sqref="K8 M10 K12 O14 K16 M18 K20 K23 M25 K27 O29 K31 M33 K35 K39 M41 K43 O45 K47 M49 K51">
    <cfRule type="expression" dxfId="109" priority="11" stopIfTrue="1">
      <formula>J8="as"</formula>
    </cfRule>
    <cfRule type="expression" dxfId="108" priority="12" stopIfTrue="1">
      <formula>J8="bs"</formula>
    </cfRule>
  </conditionalFormatting>
  <conditionalFormatting sqref="O16">
    <cfRule type="expression" dxfId="107" priority="1" stopIfTrue="1">
      <formula>AND($O$1="CU",O16="Umpire")</formula>
    </cfRule>
    <cfRule type="expression" dxfId="106" priority="2" stopIfTrue="1">
      <formula>AND($O$1="CU",O16&lt;&gt;"Umpire",P16&lt;&gt;"")</formula>
    </cfRule>
    <cfRule type="expression" dxfId="105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A4798BB7-B9B8-43F9-B46C-D5580259639A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69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9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968B-B8A9-4ED5-AAEA-A6C41041D919}">
  <sheetPr>
    <tabColor indexed="11"/>
  </sheetPr>
  <dimension ref="A1:AS140"/>
  <sheetViews>
    <sheetView workbookViewId="0">
      <selection activeCell="O14" sqref="O14"/>
    </sheetView>
  </sheetViews>
  <sheetFormatPr defaultColWidth="8.77734375" defaultRowHeight="13.2" x14ac:dyDescent="0.25"/>
  <cols>
    <col min="1" max="2" width="3.33203125" style="303" customWidth="1"/>
    <col min="3" max="3" width="4.6640625" style="303" customWidth="1"/>
    <col min="4" max="4" width="7.33203125" style="303" customWidth="1"/>
    <col min="5" max="5" width="4.33203125" style="303" customWidth="1"/>
    <col min="6" max="6" width="17" style="303" customWidth="1"/>
    <col min="7" max="7" width="2.6640625" style="303" customWidth="1"/>
    <col min="8" max="8" width="24.77734375" style="303" bestFit="1" customWidth="1"/>
    <col min="9" max="9" width="5.77734375" style="303" customWidth="1"/>
    <col min="10" max="10" width="1.6640625" style="383" customWidth="1"/>
    <col min="11" max="11" width="10.6640625" style="303" customWidth="1"/>
    <col min="12" max="12" width="1.6640625" style="383" customWidth="1"/>
    <col min="13" max="13" width="10.6640625" style="303" customWidth="1"/>
    <col min="14" max="14" width="1.6640625" style="384" customWidth="1"/>
    <col min="15" max="15" width="10.6640625" style="303" customWidth="1"/>
    <col min="16" max="16" width="1.6640625" style="383" customWidth="1"/>
    <col min="17" max="17" width="10.6640625" style="303" customWidth="1"/>
    <col min="18" max="18" width="1.6640625" style="384" customWidth="1"/>
    <col min="19" max="19" width="9.109375" style="303" hidden="1" customWidth="1"/>
    <col min="20" max="20" width="8.6640625" style="303" customWidth="1"/>
    <col min="21" max="21" width="9.109375" style="303" hidden="1" customWidth="1"/>
    <col min="22" max="24" width="8.77734375" style="303"/>
    <col min="25" max="27" width="0" style="303" hidden="1" customWidth="1"/>
    <col min="28" max="28" width="10.33203125" style="303" hidden="1" customWidth="1"/>
    <col min="29" max="34" width="0" style="303" hidden="1" customWidth="1"/>
    <col min="35" max="37" width="9.109375" style="385" customWidth="1"/>
    <col min="38" max="16384" width="8.77734375" style="303"/>
  </cols>
  <sheetData>
    <row r="1" spans="1:45" s="224" customFormat="1" ht="21.75" customHeight="1" x14ac:dyDescent="0.25">
      <c r="A1" s="217" t="str">
        <f>[6]Altalanos!$A$6</f>
        <v>OB</v>
      </c>
      <c r="B1" s="217"/>
      <c r="C1" s="218"/>
      <c r="D1" s="218"/>
      <c r="E1" s="218"/>
      <c r="F1" s="218"/>
      <c r="G1" s="218"/>
      <c r="H1" s="217"/>
      <c r="I1" s="219"/>
      <c r="J1" s="220"/>
      <c r="K1" s="221" t="s">
        <v>39</v>
      </c>
      <c r="L1" s="222"/>
      <c r="M1" s="223"/>
      <c r="N1" s="220"/>
      <c r="O1" s="220" t="s">
        <v>12</v>
      </c>
      <c r="P1" s="220"/>
      <c r="Q1" s="218"/>
      <c r="R1" s="220"/>
      <c r="T1" s="225"/>
      <c r="U1" s="225"/>
      <c r="V1" s="225"/>
      <c r="W1" s="225"/>
      <c r="X1" s="225"/>
      <c r="Y1" s="225"/>
      <c r="Z1" s="225"/>
      <c r="AA1" s="225"/>
      <c r="AB1" s="226" t="e">
        <f>IF($Y$5=1,CONCATENATE(VLOOKUP($Y$3,$AA$2:$AH$14,2)),CONCATENATE(VLOOKUP($Y$3,$AA$16:$AH$25,2)))</f>
        <v>#N/A</v>
      </c>
      <c r="AC1" s="226" t="e">
        <f>IF($Y$5=1,CONCATENATE(VLOOKUP($Y$3,$AA$2:$AH$14,3)),CONCATENATE(VLOOKUP($Y$3,$AA$16:$AH$25,3)))</f>
        <v>#N/A</v>
      </c>
      <c r="AD1" s="226" t="e">
        <f>IF($Y$5=1,CONCATENATE(VLOOKUP($Y$3,$AA$2:$AH$14,4)),CONCATENATE(VLOOKUP($Y$3,$AA$16:$AH$25,4)))</f>
        <v>#N/A</v>
      </c>
      <c r="AE1" s="226" t="e">
        <f>IF($Y$5=1,CONCATENATE(VLOOKUP($Y$3,$AA$2:$AH$14,5)),CONCATENATE(VLOOKUP($Y$3,$AA$16:$AH$25,5)))</f>
        <v>#N/A</v>
      </c>
      <c r="AF1" s="226" t="e">
        <f>IF($Y$5=1,CONCATENATE(VLOOKUP($Y$3,$AA$2:$AH$14,6)),CONCATENATE(VLOOKUP($Y$3,$AA$16:$AH$25,6)))</f>
        <v>#N/A</v>
      </c>
      <c r="AG1" s="226" t="e">
        <f>IF($Y$5=1,CONCATENATE(VLOOKUP($Y$3,$AA$2:$AH$14,7)),CONCATENATE(VLOOKUP($Y$3,$AA$16:$AH$25,7)))</f>
        <v>#N/A</v>
      </c>
      <c r="AH1" s="226" t="e">
        <f>IF($Y$5=1,CONCATENATE(VLOOKUP($Y$3,$AA$2:$AH$14,8)),CONCATENATE(VLOOKUP($Y$3,$AA$16:$AH$25,8)))</f>
        <v>#N/A</v>
      </c>
      <c r="AI1" s="227"/>
      <c r="AJ1" s="227"/>
      <c r="AK1" s="227"/>
    </row>
    <row r="2" spans="1:45" s="233" customFormat="1" x14ac:dyDescent="0.25">
      <c r="A2" s="228" t="s">
        <v>38</v>
      </c>
      <c r="B2" s="229"/>
      <c r="C2" s="229"/>
      <c r="D2" s="229"/>
      <c r="E2" s="229">
        <f>[6]Altalanos!$A$8</f>
        <v>0</v>
      </c>
      <c r="F2" s="229"/>
      <c r="G2" s="230"/>
      <c r="H2" s="231"/>
      <c r="I2" s="231"/>
      <c r="J2" s="232"/>
      <c r="K2" s="222"/>
      <c r="L2" s="222"/>
      <c r="M2" s="222"/>
      <c r="N2" s="232"/>
      <c r="O2" s="231"/>
      <c r="P2" s="232"/>
      <c r="Q2" s="231"/>
      <c r="R2" s="232"/>
      <c r="T2" s="234"/>
      <c r="U2" s="234"/>
      <c r="V2" s="234"/>
      <c r="W2" s="234"/>
      <c r="X2" s="234"/>
      <c r="Y2" s="235"/>
      <c r="Z2" s="236"/>
      <c r="AA2" s="236" t="s">
        <v>52</v>
      </c>
      <c r="AB2" s="237">
        <v>300</v>
      </c>
      <c r="AC2" s="237">
        <v>250</v>
      </c>
      <c r="AD2" s="237">
        <v>200</v>
      </c>
      <c r="AE2" s="237">
        <v>150</v>
      </c>
      <c r="AF2" s="237">
        <v>120</v>
      </c>
      <c r="AG2" s="237">
        <v>90</v>
      </c>
      <c r="AH2" s="237">
        <v>40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</row>
    <row r="3" spans="1:45" s="241" customFormat="1" ht="11.25" customHeight="1" x14ac:dyDescent="0.25">
      <c r="A3" s="238" t="s">
        <v>20</v>
      </c>
      <c r="B3" s="238"/>
      <c r="C3" s="238"/>
      <c r="D3" s="238"/>
      <c r="E3" s="238"/>
      <c r="F3" s="238"/>
      <c r="G3" s="238" t="s">
        <v>17</v>
      </c>
      <c r="H3" s="238"/>
      <c r="I3" s="238"/>
      <c r="J3" s="239"/>
      <c r="K3" s="238" t="s">
        <v>25</v>
      </c>
      <c r="L3" s="239"/>
      <c r="M3" s="238"/>
      <c r="N3" s="239"/>
      <c r="O3" s="238"/>
      <c r="P3" s="239"/>
      <c r="Q3" s="238"/>
      <c r="R3" s="240" t="s">
        <v>26</v>
      </c>
      <c r="T3" s="242"/>
      <c r="U3" s="242"/>
      <c r="V3" s="242"/>
      <c r="W3" s="242"/>
      <c r="X3" s="242"/>
      <c r="Y3" s="236" t="str">
        <f>IF(K4="OB","A",IF(K4="IX","W",IF(K4="","",K4)))</f>
        <v/>
      </c>
      <c r="Z3" s="236"/>
      <c r="AA3" s="236" t="s">
        <v>53</v>
      </c>
      <c r="AB3" s="237">
        <v>280</v>
      </c>
      <c r="AC3" s="237">
        <v>230</v>
      </c>
      <c r="AD3" s="237">
        <v>180</v>
      </c>
      <c r="AE3" s="237">
        <v>140</v>
      </c>
      <c r="AF3" s="237">
        <v>80</v>
      </c>
      <c r="AG3" s="237">
        <v>0</v>
      </c>
      <c r="AH3" s="237">
        <v>0</v>
      </c>
      <c r="AI3" s="234"/>
      <c r="AJ3" s="234"/>
      <c r="AK3" s="234"/>
      <c r="AL3" s="242"/>
      <c r="AM3" s="242"/>
      <c r="AN3" s="242"/>
      <c r="AO3" s="242"/>
      <c r="AP3" s="242"/>
      <c r="AQ3" s="242"/>
      <c r="AR3" s="242"/>
      <c r="AS3" s="242"/>
    </row>
    <row r="4" spans="1:45" s="250" customFormat="1" ht="11.25" customHeight="1" thickBot="1" x14ac:dyDescent="0.3">
      <c r="A4" s="243">
        <f>[6]Altalanos!$A$10</f>
        <v>0</v>
      </c>
      <c r="B4" s="243"/>
      <c r="C4" s="243"/>
      <c r="D4" s="244"/>
      <c r="E4" s="245"/>
      <c r="F4" s="245"/>
      <c r="G4" s="245">
        <f>[6]Altalanos!$C$10</f>
        <v>0</v>
      </c>
      <c r="H4" s="246"/>
      <c r="I4" s="245"/>
      <c r="J4" s="247"/>
      <c r="K4" s="137"/>
      <c r="L4" s="247"/>
      <c r="M4" s="248"/>
      <c r="N4" s="247"/>
      <c r="O4" s="245"/>
      <c r="P4" s="247"/>
      <c r="Q4" s="245"/>
      <c r="R4" s="249">
        <f>[6]Altalanos!$E$10</f>
        <v>0</v>
      </c>
      <c r="T4" s="251"/>
      <c r="U4" s="251"/>
      <c r="V4" s="251"/>
      <c r="W4" s="251"/>
      <c r="X4" s="251"/>
      <c r="Y4" s="236"/>
      <c r="Z4" s="236"/>
      <c r="AA4" s="236" t="s">
        <v>82</v>
      </c>
      <c r="AB4" s="237">
        <v>250</v>
      </c>
      <c r="AC4" s="237">
        <v>200</v>
      </c>
      <c r="AD4" s="237">
        <v>150</v>
      </c>
      <c r="AE4" s="237">
        <v>120</v>
      </c>
      <c r="AF4" s="237">
        <v>90</v>
      </c>
      <c r="AG4" s="237">
        <v>60</v>
      </c>
      <c r="AH4" s="237">
        <v>25</v>
      </c>
      <c r="AI4" s="234"/>
      <c r="AJ4" s="234"/>
      <c r="AK4" s="234"/>
      <c r="AL4" s="251"/>
      <c r="AM4" s="251"/>
      <c r="AN4" s="251"/>
      <c r="AO4" s="251"/>
      <c r="AP4" s="251"/>
      <c r="AQ4" s="251"/>
      <c r="AR4" s="251"/>
      <c r="AS4" s="251"/>
    </row>
    <row r="5" spans="1:45" s="241" customFormat="1" x14ac:dyDescent="0.25">
      <c r="A5" s="252"/>
      <c r="B5" s="253" t="s">
        <v>2</v>
      </c>
      <c r="C5" s="254" t="s">
        <v>32</v>
      </c>
      <c r="D5" s="253" t="s">
        <v>31</v>
      </c>
      <c r="E5" s="253" t="s">
        <v>29</v>
      </c>
      <c r="F5" s="255" t="s">
        <v>23</v>
      </c>
      <c r="G5" s="255" t="s">
        <v>24</v>
      </c>
      <c r="H5" s="255"/>
      <c r="I5" s="255" t="s">
        <v>27</v>
      </c>
      <c r="J5" s="255"/>
      <c r="K5" s="253" t="s">
        <v>30</v>
      </c>
      <c r="L5" s="256"/>
      <c r="M5" s="253" t="s">
        <v>45</v>
      </c>
      <c r="N5" s="256"/>
      <c r="O5" s="253" t="s">
        <v>44</v>
      </c>
      <c r="P5" s="256"/>
      <c r="Q5" s="253"/>
      <c r="R5" s="257"/>
      <c r="T5" s="242"/>
      <c r="U5" s="242"/>
      <c r="V5" s="242"/>
      <c r="W5" s="242"/>
      <c r="X5" s="242"/>
      <c r="Y5" s="236">
        <f>IF(OR([6]Altalanos!$A$8="F1",[6]Altalanos!$A$8="F2",[6]Altalanos!$A$8="N1",[6]Altalanos!$A$8="N2"),1,2)</f>
        <v>2</v>
      </c>
      <c r="Z5" s="236"/>
      <c r="AA5" s="236" t="s">
        <v>83</v>
      </c>
      <c r="AB5" s="237">
        <v>200</v>
      </c>
      <c r="AC5" s="237">
        <v>150</v>
      </c>
      <c r="AD5" s="237">
        <v>120</v>
      </c>
      <c r="AE5" s="237">
        <v>90</v>
      </c>
      <c r="AF5" s="237">
        <v>60</v>
      </c>
      <c r="AG5" s="237">
        <v>40</v>
      </c>
      <c r="AH5" s="237">
        <v>15</v>
      </c>
      <c r="AI5" s="234"/>
      <c r="AJ5" s="234"/>
      <c r="AK5" s="234"/>
      <c r="AL5" s="242"/>
      <c r="AM5" s="242"/>
      <c r="AN5" s="242"/>
      <c r="AO5" s="242"/>
      <c r="AP5" s="242"/>
      <c r="AQ5" s="242"/>
      <c r="AR5" s="242"/>
      <c r="AS5" s="242"/>
    </row>
    <row r="6" spans="1:45" s="264" customFormat="1" ht="10.95" customHeight="1" thickBot="1" x14ac:dyDescent="0.3">
      <c r="A6" s="258"/>
      <c r="B6" s="259"/>
      <c r="C6" s="259"/>
      <c r="D6" s="259"/>
      <c r="E6" s="259"/>
      <c r="F6" s="258" t="str">
        <f>IF(Y3="","",CONCATENATE(VLOOKUP(Y3,AB1:AH1,4)," pont"))</f>
        <v/>
      </c>
      <c r="G6" s="260"/>
      <c r="H6" s="261"/>
      <c r="I6" s="260"/>
      <c r="J6" s="262"/>
      <c r="K6" s="259" t="str">
        <f>IF(Y3="","",CONCATENATE(VLOOKUP(Y3,AB1:AH1,3)," pont"))</f>
        <v/>
      </c>
      <c r="L6" s="262"/>
      <c r="M6" s="259" t="str">
        <f>IF(Y3="","",CONCATENATE(VLOOKUP(Y3,AB1:AH1,2)," pont"))</f>
        <v/>
      </c>
      <c r="N6" s="262"/>
      <c r="O6" s="259" t="str">
        <f>IF(Y3="","",CONCATENATE(VLOOKUP(Y3,AB1:AH1,1)," pont"))</f>
        <v/>
      </c>
      <c r="P6" s="262"/>
      <c r="Q6" s="259"/>
      <c r="R6" s="263"/>
      <c r="T6" s="265"/>
      <c r="U6" s="265"/>
      <c r="V6" s="265"/>
      <c r="W6" s="265"/>
      <c r="X6" s="265"/>
      <c r="Y6" s="266"/>
      <c r="Z6" s="266"/>
      <c r="AA6" s="266" t="s">
        <v>84</v>
      </c>
      <c r="AB6" s="267">
        <v>150</v>
      </c>
      <c r="AC6" s="267">
        <v>120</v>
      </c>
      <c r="AD6" s="267">
        <v>90</v>
      </c>
      <c r="AE6" s="267">
        <v>60</v>
      </c>
      <c r="AF6" s="267">
        <v>40</v>
      </c>
      <c r="AG6" s="267">
        <v>25</v>
      </c>
      <c r="AH6" s="267">
        <v>10</v>
      </c>
      <c r="AI6" s="268"/>
      <c r="AJ6" s="268"/>
      <c r="AK6" s="268"/>
      <c r="AL6" s="265"/>
      <c r="AM6" s="265"/>
      <c r="AN6" s="265"/>
      <c r="AO6" s="265"/>
      <c r="AP6" s="265"/>
      <c r="AQ6" s="265"/>
      <c r="AR6" s="265"/>
      <c r="AS6" s="265"/>
    </row>
    <row r="7" spans="1:45" s="282" customFormat="1" ht="13.05" customHeight="1" x14ac:dyDescent="0.25">
      <c r="A7" s="269">
        <v>1</v>
      </c>
      <c r="B7" s="270" t="str">
        <f>IF($E7="","",VLOOKUP($E7,'[6]1MD ELO'!$A$7:$O$22,14))</f>
        <v/>
      </c>
      <c r="C7" s="271" t="str">
        <f>IF($E7="","",VLOOKUP($E7,'[6]1MD ELO'!$A$7:$O$22,15))</f>
        <v/>
      </c>
      <c r="D7" s="271" t="str">
        <f>IF($E7="","",VLOOKUP($E7,'[6]1MD ELO'!$A$7:$O$22,5))</f>
        <v/>
      </c>
      <c r="E7" s="272"/>
      <c r="F7" s="273"/>
      <c r="G7" s="273"/>
      <c r="H7" s="273"/>
      <c r="I7" s="273" t="str">
        <f>IF($E7="","",VLOOKUP($E7,'[6]1MD ELO'!$A$7:$O$22,4))</f>
        <v/>
      </c>
      <c r="J7" s="274"/>
      <c r="K7" s="275"/>
      <c r="L7" s="275"/>
      <c r="M7" s="275"/>
      <c r="N7" s="275"/>
      <c r="O7" s="276"/>
      <c r="P7" s="277"/>
      <c r="Q7" s="278"/>
      <c r="R7" s="279"/>
      <c r="S7" s="280"/>
      <c r="T7" s="280"/>
      <c r="U7" s="281" t="str">
        <f>[6]Birók!P21</f>
        <v>Bíró</v>
      </c>
      <c r="V7" s="280"/>
      <c r="W7" s="280"/>
      <c r="X7" s="280"/>
      <c r="Y7" s="236"/>
      <c r="Z7" s="236"/>
      <c r="AA7" s="236" t="s">
        <v>85</v>
      </c>
      <c r="AB7" s="237">
        <v>120</v>
      </c>
      <c r="AC7" s="237">
        <v>90</v>
      </c>
      <c r="AD7" s="237">
        <v>60</v>
      </c>
      <c r="AE7" s="237">
        <v>40</v>
      </c>
      <c r="AF7" s="237">
        <v>25</v>
      </c>
      <c r="AG7" s="237">
        <v>10</v>
      </c>
      <c r="AH7" s="237">
        <v>5</v>
      </c>
      <c r="AI7" s="234"/>
      <c r="AJ7" s="234"/>
      <c r="AK7" s="234"/>
      <c r="AL7" s="280"/>
      <c r="AM7" s="280"/>
      <c r="AN7" s="280"/>
      <c r="AO7" s="280"/>
      <c r="AP7" s="280"/>
      <c r="AQ7" s="280"/>
      <c r="AR7" s="280"/>
      <c r="AS7" s="280"/>
    </row>
    <row r="8" spans="1:45" s="282" customFormat="1" ht="13.05" customHeight="1" x14ac:dyDescent="0.25">
      <c r="A8" s="283"/>
      <c r="B8" s="284"/>
      <c r="C8" s="285"/>
      <c r="D8" s="285"/>
      <c r="E8" s="286"/>
      <c r="F8" s="287"/>
      <c r="G8" s="287"/>
      <c r="H8" s="288"/>
      <c r="I8" s="289" t="s">
        <v>0</v>
      </c>
      <c r="J8" s="290"/>
      <c r="K8" s="291" t="str">
        <f>UPPER(IF(OR(J8="a",J8="as"),F7,IF(OR(J8="b",J8="bs"),F9,)))</f>
        <v/>
      </c>
      <c r="L8" s="291"/>
      <c r="M8" s="275"/>
      <c r="N8" s="275"/>
      <c r="O8" s="276"/>
      <c r="P8" s="277"/>
      <c r="Q8" s="278"/>
      <c r="R8" s="279"/>
      <c r="S8" s="280"/>
      <c r="T8" s="280"/>
      <c r="U8" s="292" t="str">
        <f>[6]Birók!P22</f>
        <v xml:space="preserve"> </v>
      </c>
      <c r="V8" s="280"/>
      <c r="W8" s="280"/>
      <c r="X8" s="280"/>
      <c r="Y8" s="236"/>
      <c r="Z8" s="236"/>
      <c r="AA8" s="236" t="s">
        <v>86</v>
      </c>
      <c r="AB8" s="237">
        <v>90</v>
      </c>
      <c r="AC8" s="237">
        <v>60</v>
      </c>
      <c r="AD8" s="237">
        <v>40</v>
      </c>
      <c r="AE8" s="237">
        <v>25</v>
      </c>
      <c r="AF8" s="237">
        <v>10</v>
      </c>
      <c r="AG8" s="237">
        <v>5</v>
      </c>
      <c r="AH8" s="237">
        <v>2</v>
      </c>
      <c r="AI8" s="234"/>
      <c r="AJ8" s="234"/>
      <c r="AK8" s="234"/>
      <c r="AL8" s="280"/>
      <c r="AM8" s="280"/>
      <c r="AN8" s="280"/>
      <c r="AO8" s="280"/>
      <c r="AP8" s="280"/>
      <c r="AQ8" s="280"/>
      <c r="AR8" s="280"/>
      <c r="AS8" s="280"/>
    </row>
    <row r="9" spans="1:45" s="282" customFormat="1" ht="13.05" customHeight="1" x14ac:dyDescent="0.25">
      <c r="A9" s="283">
        <v>2</v>
      </c>
      <c r="B9" s="270" t="str">
        <f>IF($E9="","",VLOOKUP($E9,'[6]1MD ELO'!$A$7:$O$22,14))</f>
        <v/>
      </c>
      <c r="C9" s="271" t="str">
        <f>IF($E9="","",VLOOKUP($E9,'[6]1MD ELO'!$A$7:$O$22,15))</f>
        <v/>
      </c>
      <c r="D9" s="271" t="str">
        <f>IF($E9="","",VLOOKUP($E9,'[6]1MD ELO'!$A$7:$O$22,5))</f>
        <v/>
      </c>
      <c r="E9" s="293"/>
      <c r="F9" s="294"/>
      <c r="G9" s="294"/>
      <c r="H9" s="294"/>
      <c r="I9" s="294" t="str">
        <f>IF($E9="","",VLOOKUP($E9,'[6]1MD ELO'!$A$7:$O$22,4))</f>
        <v/>
      </c>
      <c r="J9" s="295"/>
      <c r="K9" s="275"/>
      <c r="L9" s="296"/>
      <c r="M9" s="275"/>
      <c r="N9" s="275"/>
      <c r="O9" s="276"/>
      <c r="P9" s="277"/>
      <c r="Q9" s="278"/>
      <c r="R9" s="279"/>
      <c r="S9" s="280"/>
      <c r="T9" s="280"/>
      <c r="U9" s="292" t="str">
        <f>[6]Birók!P23</f>
        <v xml:space="preserve"> </v>
      </c>
      <c r="V9" s="280"/>
      <c r="W9" s="280"/>
      <c r="X9" s="280"/>
      <c r="Y9" s="236"/>
      <c r="Z9" s="236"/>
      <c r="AA9" s="236" t="s">
        <v>87</v>
      </c>
      <c r="AB9" s="237">
        <v>60</v>
      </c>
      <c r="AC9" s="237">
        <v>40</v>
      </c>
      <c r="AD9" s="237">
        <v>25</v>
      </c>
      <c r="AE9" s="237">
        <v>10</v>
      </c>
      <c r="AF9" s="237">
        <v>5</v>
      </c>
      <c r="AG9" s="237">
        <v>2</v>
      </c>
      <c r="AH9" s="237">
        <v>1</v>
      </c>
      <c r="AI9" s="234"/>
      <c r="AJ9" s="234"/>
      <c r="AK9" s="234"/>
      <c r="AL9" s="280"/>
      <c r="AM9" s="280"/>
      <c r="AN9" s="280"/>
      <c r="AO9" s="280"/>
      <c r="AP9" s="280"/>
      <c r="AQ9" s="280"/>
      <c r="AR9" s="280"/>
      <c r="AS9" s="280"/>
    </row>
    <row r="10" spans="1:45" s="282" customFormat="1" ht="13.05" customHeight="1" x14ac:dyDescent="0.25">
      <c r="A10" s="283"/>
      <c r="B10" s="284"/>
      <c r="C10" s="285"/>
      <c r="D10" s="285"/>
      <c r="E10" s="297"/>
      <c r="F10" s="287"/>
      <c r="G10" s="287"/>
      <c r="H10" s="288"/>
      <c r="I10" s="287"/>
      <c r="J10" s="298"/>
      <c r="K10" s="289" t="s">
        <v>0</v>
      </c>
      <c r="L10" s="299"/>
      <c r="M10" s="291"/>
      <c r="N10" s="300"/>
      <c r="O10" s="301"/>
      <c r="P10" s="301"/>
      <c r="Q10" s="278"/>
      <c r="R10" s="279"/>
      <c r="S10" s="280"/>
      <c r="T10" s="280"/>
      <c r="U10" s="292" t="str">
        <f>[6]Birók!P24</f>
        <v xml:space="preserve"> </v>
      </c>
      <c r="V10" s="280"/>
      <c r="W10" s="280"/>
      <c r="X10" s="280"/>
      <c r="Y10" s="236"/>
      <c r="Z10" s="236"/>
      <c r="AA10" s="236" t="s">
        <v>88</v>
      </c>
      <c r="AB10" s="237">
        <v>40</v>
      </c>
      <c r="AC10" s="237">
        <v>25</v>
      </c>
      <c r="AD10" s="237">
        <v>15</v>
      </c>
      <c r="AE10" s="237">
        <v>7</v>
      </c>
      <c r="AF10" s="237">
        <v>4</v>
      </c>
      <c r="AG10" s="237">
        <v>1</v>
      </c>
      <c r="AH10" s="237">
        <v>0</v>
      </c>
      <c r="AI10" s="234"/>
      <c r="AJ10" s="234"/>
      <c r="AK10" s="234"/>
      <c r="AL10" s="280"/>
      <c r="AM10" s="280"/>
      <c r="AN10" s="280"/>
      <c r="AO10" s="280"/>
      <c r="AP10" s="280"/>
      <c r="AQ10" s="280"/>
      <c r="AR10" s="280"/>
      <c r="AS10" s="280"/>
    </row>
    <row r="11" spans="1:45" s="282" customFormat="1" ht="13.05" customHeight="1" x14ac:dyDescent="0.25">
      <c r="A11" s="283">
        <v>3</v>
      </c>
      <c r="B11" s="270" t="str">
        <f>IF($E11="","",VLOOKUP($E11,'[6]1MD ELO'!$A$7:$O$22,14))</f>
        <v/>
      </c>
      <c r="C11" s="271" t="str">
        <f>IF($E11="","",VLOOKUP($E11,'[6]1MD ELO'!$A$7:$O$22,15))</f>
        <v/>
      </c>
      <c r="D11" s="271" t="str">
        <f>IF($E11="","",VLOOKUP($E11,'[6]1MD ELO'!$A$7:$O$22,5))</f>
        <v/>
      </c>
      <c r="E11" s="293"/>
      <c r="F11" s="294"/>
      <c r="G11" s="294"/>
      <c r="H11" s="294"/>
      <c r="I11" s="294" t="str">
        <f>IF($E11="","",VLOOKUP($E11,'[6]1MD ELO'!$A$7:$O$22,4))</f>
        <v/>
      </c>
      <c r="J11" s="274"/>
      <c r="K11" s="275"/>
      <c r="L11" s="302"/>
      <c r="M11" s="275"/>
      <c r="N11" s="304"/>
      <c r="O11" s="301"/>
      <c r="P11" s="301"/>
      <c r="Q11" s="278"/>
      <c r="R11" s="279"/>
      <c r="S11" s="280"/>
      <c r="T11" s="280"/>
      <c r="U11" s="292" t="str">
        <f>[6]Birók!P25</f>
        <v xml:space="preserve"> </v>
      </c>
      <c r="V11" s="280"/>
      <c r="W11" s="280"/>
      <c r="X11" s="280"/>
      <c r="Y11" s="236"/>
      <c r="Z11" s="236"/>
      <c r="AA11" s="236" t="s">
        <v>89</v>
      </c>
      <c r="AB11" s="237">
        <v>25</v>
      </c>
      <c r="AC11" s="237">
        <v>15</v>
      </c>
      <c r="AD11" s="237">
        <v>10</v>
      </c>
      <c r="AE11" s="237">
        <v>6</v>
      </c>
      <c r="AF11" s="237">
        <v>3</v>
      </c>
      <c r="AG11" s="237">
        <v>1</v>
      </c>
      <c r="AH11" s="237">
        <v>0</v>
      </c>
      <c r="AI11" s="234"/>
      <c r="AJ11" s="234"/>
      <c r="AK11" s="234"/>
      <c r="AL11" s="280"/>
      <c r="AM11" s="280"/>
      <c r="AN11" s="280"/>
      <c r="AO11" s="280"/>
      <c r="AP11" s="280"/>
      <c r="AQ11" s="280"/>
      <c r="AR11" s="280"/>
      <c r="AS11" s="280"/>
    </row>
    <row r="12" spans="1:45" s="282" customFormat="1" ht="13.05" customHeight="1" x14ac:dyDescent="0.25">
      <c r="A12" s="283"/>
      <c r="B12" s="284"/>
      <c r="C12" s="285"/>
      <c r="D12" s="285"/>
      <c r="E12" s="297"/>
      <c r="F12" s="287"/>
      <c r="G12" s="287"/>
      <c r="H12" s="288"/>
      <c r="I12" s="289" t="s">
        <v>0</v>
      </c>
      <c r="J12" s="290"/>
      <c r="K12" s="291" t="str">
        <f>UPPER(IF(OR(J12="a",J12="as"),F11,IF(OR(J12="b",J12="bs"),F13,)))</f>
        <v/>
      </c>
      <c r="L12" s="305"/>
      <c r="M12" s="275"/>
      <c r="N12" s="304"/>
      <c r="O12" s="301"/>
      <c r="P12" s="301"/>
      <c r="Q12" s="278"/>
      <c r="R12" s="279"/>
      <c r="S12" s="280"/>
      <c r="T12" s="280"/>
      <c r="U12" s="292" t="str">
        <f>[6]Birók!P26</f>
        <v xml:space="preserve"> </v>
      </c>
      <c r="V12" s="280"/>
      <c r="W12" s="280"/>
      <c r="X12" s="280"/>
      <c r="Y12" s="236"/>
      <c r="Z12" s="236"/>
      <c r="AA12" s="236" t="s">
        <v>94</v>
      </c>
      <c r="AB12" s="237">
        <v>15</v>
      </c>
      <c r="AC12" s="237">
        <v>10</v>
      </c>
      <c r="AD12" s="237">
        <v>6</v>
      </c>
      <c r="AE12" s="237">
        <v>3</v>
      </c>
      <c r="AF12" s="237">
        <v>1</v>
      </c>
      <c r="AG12" s="237">
        <v>0</v>
      </c>
      <c r="AH12" s="237">
        <v>0</v>
      </c>
      <c r="AI12" s="234"/>
      <c r="AJ12" s="234"/>
      <c r="AK12" s="234"/>
      <c r="AL12" s="280"/>
      <c r="AM12" s="280"/>
      <c r="AN12" s="280"/>
      <c r="AO12" s="280"/>
      <c r="AP12" s="280"/>
      <c r="AQ12" s="280"/>
      <c r="AR12" s="280"/>
      <c r="AS12" s="280"/>
    </row>
    <row r="13" spans="1:45" s="282" customFormat="1" ht="13.05" customHeight="1" x14ac:dyDescent="0.25">
      <c r="A13" s="283">
        <v>4</v>
      </c>
      <c r="B13" s="270" t="str">
        <f>IF($E13="","",VLOOKUP($E13,'[6]1MD ELO'!$A$7:$O$22,14))</f>
        <v/>
      </c>
      <c r="C13" s="271" t="str">
        <f>IF($E13="","",VLOOKUP($E13,'[6]1MD ELO'!$A$7:$O$22,15))</f>
        <v/>
      </c>
      <c r="D13" s="271" t="str">
        <f>IF($E13="","",VLOOKUP($E13,'[6]1MD ELO'!$A$7:$O$22,5))</f>
        <v/>
      </c>
      <c r="E13" s="293"/>
      <c r="F13" s="294"/>
      <c r="G13" s="294"/>
      <c r="H13" s="294"/>
      <c r="I13" s="294" t="str">
        <f>IF($E13="","",VLOOKUP($E13,'[6]1MD ELO'!$A$7:$O$22,4))</f>
        <v/>
      </c>
      <c r="J13" s="306"/>
      <c r="K13" s="275"/>
      <c r="L13" s="275"/>
      <c r="M13" s="275"/>
      <c r="N13" s="304"/>
      <c r="O13" s="301"/>
      <c r="P13" s="301"/>
      <c r="Q13" s="278"/>
      <c r="R13" s="279"/>
      <c r="S13" s="280"/>
      <c r="T13" s="280"/>
      <c r="U13" s="292" t="str">
        <f>[6]Birók!P27</f>
        <v xml:space="preserve"> </v>
      </c>
      <c r="V13" s="280"/>
      <c r="W13" s="280"/>
      <c r="X13" s="280"/>
      <c r="Y13" s="236"/>
      <c r="Z13" s="236"/>
      <c r="AA13" s="236" t="s">
        <v>90</v>
      </c>
      <c r="AB13" s="237">
        <v>10</v>
      </c>
      <c r="AC13" s="237">
        <v>6</v>
      </c>
      <c r="AD13" s="237">
        <v>3</v>
      </c>
      <c r="AE13" s="237">
        <v>1</v>
      </c>
      <c r="AF13" s="237">
        <v>0</v>
      </c>
      <c r="AG13" s="237">
        <v>0</v>
      </c>
      <c r="AH13" s="237">
        <v>0</v>
      </c>
      <c r="AI13" s="234"/>
      <c r="AJ13" s="234"/>
      <c r="AK13" s="234"/>
      <c r="AL13" s="280"/>
      <c r="AM13" s="280"/>
      <c r="AN13" s="280"/>
      <c r="AO13" s="280"/>
      <c r="AP13" s="280"/>
      <c r="AQ13" s="280"/>
      <c r="AR13" s="280"/>
      <c r="AS13" s="280"/>
    </row>
    <row r="14" spans="1:45" s="282" customFormat="1" ht="13.05" customHeight="1" x14ac:dyDescent="0.25">
      <c r="A14" s="283"/>
      <c r="B14" s="284"/>
      <c r="C14" s="285"/>
      <c r="D14" s="285"/>
      <c r="E14" s="297"/>
      <c r="F14" s="287"/>
      <c r="G14" s="287"/>
      <c r="H14" s="288"/>
      <c r="I14" s="287"/>
      <c r="J14" s="298"/>
      <c r="K14" s="275"/>
      <c r="L14" s="275"/>
      <c r="M14" s="289" t="s">
        <v>0</v>
      </c>
      <c r="N14" s="299"/>
      <c r="O14" s="291" t="s">
        <v>186</v>
      </c>
      <c r="P14" s="300"/>
      <c r="Q14" s="278"/>
      <c r="R14" s="279"/>
      <c r="S14" s="280"/>
      <c r="T14" s="280"/>
      <c r="U14" s="292" t="str">
        <f>[6]Birók!P28</f>
        <v xml:space="preserve"> </v>
      </c>
      <c r="V14" s="280"/>
      <c r="W14" s="280"/>
      <c r="X14" s="280"/>
      <c r="Y14" s="236"/>
      <c r="Z14" s="236"/>
      <c r="AA14" s="236" t="s">
        <v>91</v>
      </c>
      <c r="AB14" s="237">
        <v>3</v>
      </c>
      <c r="AC14" s="237">
        <v>2</v>
      </c>
      <c r="AD14" s="237">
        <v>1</v>
      </c>
      <c r="AE14" s="237">
        <v>0</v>
      </c>
      <c r="AF14" s="237">
        <v>0</v>
      </c>
      <c r="AG14" s="237">
        <v>0</v>
      </c>
      <c r="AH14" s="237">
        <v>0</v>
      </c>
      <c r="AI14" s="234"/>
      <c r="AJ14" s="234"/>
      <c r="AK14" s="234"/>
      <c r="AL14" s="280"/>
      <c r="AM14" s="280"/>
      <c r="AN14" s="280"/>
      <c r="AO14" s="280"/>
      <c r="AP14" s="280"/>
      <c r="AQ14" s="280"/>
      <c r="AR14" s="280"/>
      <c r="AS14" s="280"/>
    </row>
    <row r="15" spans="1:45" s="282" customFormat="1" ht="13.05" customHeight="1" x14ac:dyDescent="0.25">
      <c r="A15" s="307">
        <v>5</v>
      </c>
      <c r="B15" s="270" t="str">
        <f>IF($E15="","",VLOOKUP($E15,'[6]1MD ELO'!$A$7:$O$22,14))</f>
        <v/>
      </c>
      <c r="C15" s="271" t="str">
        <f>IF($E15="","",VLOOKUP($E15,'[6]1MD ELO'!$A$7:$O$22,15))</f>
        <v/>
      </c>
      <c r="D15" s="271" t="str">
        <f>IF($E15="","",VLOOKUP($E15,'[6]1MD ELO'!$A$7:$O$22,5))</f>
        <v/>
      </c>
      <c r="E15" s="293"/>
      <c r="F15" s="294"/>
      <c r="G15" s="294"/>
      <c r="H15" s="294"/>
      <c r="I15" s="294" t="str">
        <f>IF($E15="","",VLOOKUP($E15,'[6]1MD ELO'!$A$7:$O$22,4))</f>
        <v/>
      </c>
      <c r="J15" s="308"/>
      <c r="K15" s="275"/>
      <c r="L15" s="275"/>
      <c r="M15" s="275"/>
      <c r="N15" s="304"/>
      <c r="O15" s="275" t="s">
        <v>187</v>
      </c>
      <c r="P15" s="301"/>
      <c r="Q15" s="278"/>
      <c r="R15" s="279"/>
      <c r="S15" s="280"/>
      <c r="T15" s="280"/>
      <c r="U15" s="292" t="str">
        <f>[6]Birók!P29</f>
        <v xml:space="preserve"> </v>
      </c>
      <c r="V15" s="280"/>
      <c r="W15" s="280"/>
      <c r="X15" s="280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4"/>
      <c r="AJ15" s="234"/>
      <c r="AK15" s="234"/>
      <c r="AL15" s="280"/>
      <c r="AM15" s="280"/>
      <c r="AN15" s="280"/>
      <c r="AO15" s="280"/>
      <c r="AP15" s="280"/>
      <c r="AQ15" s="280"/>
      <c r="AR15" s="280"/>
      <c r="AS15" s="280"/>
    </row>
    <row r="16" spans="1:45" s="282" customFormat="1" ht="13.05" customHeight="1" thickBot="1" x14ac:dyDescent="0.3">
      <c r="A16" s="283"/>
      <c r="B16" s="284"/>
      <c r="C16" s="285"/>
      <c r="D16" s="285"/>
      <c r="E16" s="297"/>
      <c r="F16" s="287"/>
      <c r="G16" s="287"/>
      <c r="H16" s="288"/>
      <c r="I16" s="289" t="s">
        <v>0</v>
      </c>
      <c r="J16" s="290"/>
      <c r="K16" s="291" t="str">
        <f>UPPER(IF(OR(J16="a",J16="as"),F15,IF(OR(J16="b",J16="bs"),F17,)))</f>
        <v/>
      </c>
      <c r="L16" s="291"/>
      <c r="M16" s="275"/>
      <c r="N16" s="304"/>
      <c r="O16" s="289"/>
      <c r="P16" s="301"/>
      <c r="Q16" s="278"/>
      <c r="R16" s="279"/>
      <c r="S16" s="280"/>
      <c r="T16" s="280"/>
      <c r="U16" s="309" t="str">
        <f>[6]Birók!P30</f>
        <v>Egyik sem</v>
      </c>
      <c r="V16" s="280"/>
      <c r="W16" s="280"/>
      <c r="X16" s="280"/>
      <c r="Y16" s="236"/>
      <c r="Z16" s="236"/>
      <c r="AA16" s="236" t="s">
        <v>52</v>
      </c>
      <c r="AB16" s="237">
        <v>150</v>
      </c>
      <c r="AC16" s="237">
        <v>120</v>
      </c>
      <c r="AD16" s="237">
        <v>90</v>
      </c>
      <c r="AE16" s="237">
        <v>60</v>
      </c>
      <c r="AF16" s="237">
        <v>40</v>
      </c>
      <c r="AG16" s="237">
        <v>25</v>
      </c>
      <c r="AH16" s="237">
        <v>15</v>
      </c>
      <c r="AI16" s="234"/>
      <c r="AJ16" s="234"/>
      <c r="AK16" s="234"/>
      <c r="AL16" s="280"/>
      <c r="AM16" s="280"/>
      <c r="AN16" s="280"/>
      <c r="AO16" s="280"/>
      <c r="AP16" s="280"/>
      <c r="AQ16" s="280"/>
      <c r="AR16" s="280"/>
      <c r="AS16" s="280"/>
    </row>
    <row r="17" spans="1:45" s="282" customFormat="1" ht="13.05" customHeight="1" x14ac:dyDescent="0.25">
      <c r="A17" s="283">
        <v>6</v>
      </c>
      <c r="B17" s="270" t="str">
        <f>IF($E17="","",VLOOKUP($E17,'[6]1MD ELO'!$A$7:$O$22,14))</f>
        <v/>
      </c>
      <c r="C17" s="271" t="str">
        <f>IF($E17="","",VLOOKUP($E17,'[6]1MD ELO'!$A$7:$O$22,15))</f>
        <v/>
      </c>
      <c r="D17" s="271" t="str">
        <f>IF($E17="","",VLOOKUP($E17,'[6]1MD ELO'!$A$7:$O$22,5))</f>
        <v/>
      </c>
      <c r="E17" s="293"/>
      <c r="F17" s="294"/>
      <c r="G17" s="294"/>
      <c r="H17" s="294"/>
      <c r="I17" s="294" t="str">
        <f>IF($E17="","",VLOOKUP($E17,'[6]1MD ELO'!$A$7:$O$22,4))</f>
        <v/>
      </c>
      <c r="J17" s="295"/>
      <c r="K17" s="275"/>
      <c r="L17" s="296"/>
      <c r="M17" s="275"/>
      <c r="N17" s="304"/>
      <c r="O17" s="301"/>
      <c r="P17" s="301"/>
      <c r="Q17" s="278"/>
      <c r="R17" s="279"/>
      <c r="S17" s="280"/>
      <c r="T17" s="280"/>
      <c r="U17" s="280"/>
      <c r="V17" s="280"/>
      <c r="W17" s="280"/>
      <c r="X17" s="280"/>
      <c r="Y17" s="236"/>
      <c r="Z17" s="236"/>
      <c r="AA17" s="236" t="s">
        <v>82</v>
      </c>
      <c r="AB17" s="237">
        <v>120</v>
      </c>
      <c r="AC17" s="237">
        <v>90</v>
      </c>
      <c r="AD17" s="237">
        <v>60</v>
      </c>
      <c r="AE17" s="237">
        <v>40</v>
      </c>
      <c r="AF17" s="237">
        <v>25</v>
      </c>
      <c r="AG17" s="237">
        <v>15</v>
      </c>
      <c r="AH17" s="237">
        <v>8</v>
      </c>
      <c r="AI17" s="234"/>
      <c r="AJ17" s="234"/>
      <c r="AK17" s="234"/>
      <c r="AL17" s="280"/>
      <c r="AM17" s="280"/>
      <c r="AN17" s="280"/>
      <c r="AO17" s="280"/>
      <c r="AP17" s="280"/>
      <c r="AQ17" s="280"/>
      <c r="AR17" s="280"/>
      <c r="AS17" s="280"/>
    </row>
    <row r="18" spans="1:45" s="282" customFormat="1" ht="13.05" customHeight="1" x14ac:dyDescent="0.25">
      <c r="A18" s="283"/>
      <c r="B18" s="284"/>
      <c r="C18" s="285"/>
      <c r="D18" s="285"/>
      <c r="E18" s="297"/>
      <c r="F18" s="287"/>
      <c r="G18" s="287"/>
      <c r="H18" s="288"/>
      <c r="I18" s="287"/>
      <c r="J18" s="298"/>
      <c r="K18" s="289" t="s">
        <v>0</v>
      </c>
      <c r="L18" s="299"/>
      <c r="M18" s="291"/>
      <c r="N18" s="310"/>
      <c r="O18" s="301"/>
      <c r="P18" s="301"/>
      <c r="Q18" s="278"/>
      <c r="R18" s="279"/>
      <c r="S18" s="280"/>
      <c r="T18" s="280"/>
      <c r="U18" s="280"/>
      <c r="V18" s="280"/>
      <c r="W18" s="280"/>
      <c r="X18" s="280"/>
      <c r="Y18" s="236"/>
      <c r="Z18" s="236"/>
      <c r="AA18" s="236" t="s">
        <v>83</v>
      </c>
      <c r="AB18" s="237">
        <v>90</v>
      </c>
      <c r="AC18" s="237">
        <v>60</v>
      </c>
      <c r="AD18" s="237">
        <v>40</v>
      </c>
      <c r="AE18" s="237">
        <v>25</v>
      </c>
      <c r="AF18" s="237">
        <v>15</v>
      </c>
      <c r="AG18" s="237">
        <v>8</v>
      </c>
      <c r="AH18" s="237">
        <v>4</v>
      </c>
      <c r="AI18" s="234"/>
      <c r="AJ18" s="234"/>
      <c r="AK18" s="234"/>
      <c r="AL18" s="280"/>
      <c r="AM18" s="280"/>
      <c r="AN18" s="280"/>
      <c r="AO18" s="280"/>
      <c r="AP18" s="280"/>
      <c r="AQ18" s="280"/>
      <c r="AR18" s="280"/>
      <c r="AS18" s="280"/>
    </row>
    <row r="19" spans="1:45" s="282" customFormat="1" ht="13.05" customHeight="1" x14ac:dyDescent="0.25">
      <c r="A19" s="283">
        <v>7</v>
      </c>
      <c r="B19" s="270" t="str">
        <f>IF($E19="","",VLOOKUP($E19,'[6]1MD ELO'!$A$7:$O$22,14))</f>
        <v/>
      </c>
      <c r="C19" s="271" t="str">
        <f>IF($E19="","",VLOOKUP($E19,'[6]1MD ELO'!$A$7:$O$22,15))</f>
        <v/>
      </c>
      <c r="D19" s="271" t="str">
        <f>IF($E19="","",VLOOKUP($E19,'[6]1MD ELO'!$A$7:$O$22,5))</f>
        <v/>
      </c>
      <c r="E19" s="293"/>
      <c r="F19" s="294"/>
      <c r="G19" s="294"/>
      <c r="H19" s="294"/>
      <c r="I19" s="294" t="str">
        <f>IF($E19="","",VLOOKUP($E19,'[6]1MD ELO'!$A$7:$O$22,4))</f>
        <v/>
      </c>
      <c r="J19" s="274"/>
      <c r="K19" s="275"/>
      <c r="L19" s="302"/>
      <c r="M19" s="275"/>
      <c r="N19" s="301"/>
      <c r="O19" s="301"/>
      <c r="P19" s="301"/>
      <c r="Q19" s="278"/>
      <c r="R19" s="279"/>
      <c r="S19" s="280"/>
      <c r="T19" s="280"/>
      <c r="U19" s="280"/>
      <c r="V19" s="280"/>
      <c r="W19" s="280"/>
      <c r="X19" s="280"/>
      <c r="Y19" s="236"/>
      <c r="Z19" s="236"/>
      <c r="AA19" s="236" t="s">
        <v>84</v>
      </c>
      <c r="AB19" s="237">
        <v>60</v>
      </c>
      <c r="AC19" s="237">
        <v>40</v>
      </c>
      <c r="AD19" s="237">
        <v>25</v>
      </c>
      <c r="AE19" s="237">
        <v>15</v>
      </c>
      <c r="AF19" s="237">
        <v>8</v>
      </c>
      <c r="AG19" s="237">
        <v>4</v>
      </c>
      <c r="AH19" s="237">
        <v>2</v>
      </c>
      <c r="AI19" s="234"/>
      <c r="AJ19" s="234"/>
      <c r="AK19" s="234"/>
      <c r="AL19" s="280"/>
      <c r="AM19" s="280"/>
      <c r="AN19" s="280"/>
      <c r="AO19" s="280"/>
      <c r="AP19" s="280"/>
      <c r="AQ19" s="280"/>
      <c r="AR19" s="280"/>
      <c r="AS19" s="280"/>
    </row>
    <row r="20" spans="1:45" s="282" customFormat="1" ht="13.05" customHeight="1" x14ac:dyDescent="0.25">
      <c r="A20" s="283"/>
      <c r="B20" s="284"/>
      <c r="C20" s="285"/>
      <c r="D20" s="285"/>
      <c r="E20" s="286"/>
      <c r="F20" s="287"/>
      <c r="G20" s="287"/>
      <c r="H20" s="288"/>
      <c r="I20" s="289" t="s">
        <v>0</v>
      </c>
      <c r="J20" s="290"/>
      <c r="K20" s="291" t="str">
        <f>UPPER(IF(OR(J20="a",J20="as"),F19,IF(OR(J20="b",J20="bs"),F21,)))</f>
        <v/>
      </c>
      <c r="L20" s="305"/>
      <c r="M20" s="275"/>
      <c r="N20" s="301"/>
      <c r="O20" s="301"/>
      <c r="P20" s="301"/>
      <c r="Q20" s="278"/>
      <c r="R20" s="279"/>
      <c r="S20" s="280"/>
      <c r="T20" s="280"/>
      <c r="U20" s="280"/>
      <c r="V20" s="280"/>
      <c r="W20" s="280"/>
      <c r="X20" s="280"/>
      <c r="Y20" s="236"/>
      <c r="Z20" s="236"/>
      <c r="AA20" s="236" t="s">
        <v>85</v>
      </c>
      <c r="AB20" s="237">
        <v>40</v>
      </c>
      <c r="AC20" s="237">
        <v>25</v>
      </c>
      <c r="AD20" s="237">
        <v>15</v>
      </c>
      <c r="AE20" s="237">
        <v>8</v>
      </c>
      <c r="AF20" s="237">
        <v>4</v>
      </c>
      <c r="AG20" s="237">
        <v>2</v>
      </c>
      <c r="AH20" s="237">
        <v>1</v>
      </c>
      <c r="AI20" s="234"/>
      <c r="AJ20" s="234"/>
      <c r="AK20" s="234"/>
      <c r="AL20" s="280"/>
      <c r="AM20" s="280"/>
      <c r="AN20" s="280"/>
      <c r="AO20" s="280"/>
      <c r="AP20" s="280"/>
      <c r="AQ20" s="280"/>
      <c r="AR20" s="280"/>
      <c r="AS20" s="280"/>
    </row>
    <row r="21" spans="1:45" s="282" customFormat="1" ht="13.05" customHeight="1" x14ac:dyDescent="0.25">
      <c r="A21" s="311">
        <v>8</v>
      </c>
      <c r="B21" s="270" t="str">
        <f>IF($E21="","",VLOOKUP($E21,'[6]1MD ELO'!$A$7:$O$22,14))</f>
        <v/>
      </c>
      <c r="C21" s="271" t="str">
        <f>IF($E21="","",VLOOKUP($E21,'[6]1MD ELO'!$A$7:$O$22,15))</f>
        <v/>
      </c>
      <c r="D21" s="271" t="str">
        <f>IF($E21="","",VLOOKUP($E21,'[6]1MD ELO'!$A$7:$O$22,5))</f>
        <v/>
      </c>
      <c r="E21" s="272"/>
      <c r="F21" s="312"/>
      <c r="G21" s="312"/>
      <c r="H21" s="312"/>
      <c r="I21" s="312" t="str">
        <f>IF($E21="","",VLOOKUP($E21,'[6]1MD ELO'!$A$7:$O$22,4))</f>
        <v/>
      </c>
      <c r="J21" s="306"/>
      <c r="K21" s="275"/>
      <c r="L21" s="275"/>
      <c r="M21" s="275"/>
      <c r="N21" s="301"/>
      <c r="O21" s="301"/>
      <c r="P21" s="301"/>
      <c r="Q21" s="278"/>
      <c r="R21" s="279"/>
      <c r="S21" s="280"/>
      <c r="T21" s="280"/>
      <c r="U21" s="280"/>
      <c r="V21" s="280"/>
      <c r="W21" s="280"/>
      <c r="X21" s="280"/>
      <c r="Y21" s="236"/>
      <c r="Z21" s="236"/>
      <c r="AA21" s="236" t="s">
        <v>86</v>
      </c>
      <c r="AB21" s="237">
        <v>25</v>
      </c>
      <c r="AC21" s="237">
        <v>15</v>
      </c>
      <c r="AD21" s="237">
        <v>10</v>
      </c>
      <c r="AE21" s="237">
        <v>6</v>
      </c>
      <c r="AF21" s="237">
        <v>3</v>
      </c>
      <c r="AG21" s="237">
        <v>1</v>
      </c>
      <c r="AH21" s="237">
        <v>0</v>
      </c>
      <c r="AI21" s="234"/>
      <c r="AJ21" s="234"/>
      <c r="AK21" s="234"/>
      <c r="AL21" s="280"/>
      <c r="AM21" s="280"/>
      <c r="AN21" s="280"/>
      <c r="AO21" s="280"/>
      <c r="AP21" s="280"/>
      <c r="AQ21" s="280"/>
      <c r="AR21" s="280"/>
      <c r="AS21" s="280"/>
    </row>
    <row r="22" spans="1:45" s="282" customFormat="1" ht="9.4499999999999993" customHeight="1" x14ac:dyDescent="0.25">
      <c r="A22" s="313"/>
      <c r="B22" s="276"/>
      <c r="C22" s="276"/>
      <c r="D22" s="276"/>
      <c r="E22" s="286"/>
      <c r="F22" s="276"/>
      <c r="G22" s="276"/>
      <c r="H22" s="276"/>
      <c r="I22" s="276"/>
      <c r="J22" s="286"/>
      <c r="K22" s="276"/>
      <c r="L22" s="276"/>
      <c r="M22" s="276"/>
      <c r="N22" s="278"/>
      <c r="O22" s="278"/>
      <c r="P22" s="278"/>
      <c r="Q22" s="278"/>
      <c r="R22" s="279"/>
      <c r="S22" s="280"/>
      <c r="T22" s="280"/>
      <c r="U22" s="280"/>
      <c r="V22" s="280"/>
      <c r="W22" s="280"/>
      <c r="X22" s="280"/>
      <c r="Y22" s="236"/>
      <c r="Z22" s="236"/>
      <c r="AA22" s="236" t="s">
        <v>87</v>
      </c>
      <c r="AB22" s="237">
        <v>15</v>
      </c>
      <c r="AC22" s="237">
        <v>10</v>
      </c>
      <c r="AD22" s="237">
        <v>6</v>
      </c>
      <c r="AE22" s="237">
        <v>3</v>
      </c>
      <c r="AF22" s="237">
        <v>1</v>
      </c>
      <c r="AG22" s="237">
        <v>0</v>
      </c>
      <c r="AH22" s="237">
        <v>0</v>
      </c>
      <c r="AI22" s="234"/>
      <c r="AJ22" s="234"/>
      <c r="AK22" s="234"/>
      <c r="AL22" s="280"/>
      <c r="AM22" s="280"/>
      <c r="AN22" s="280"/>
      <c r="AO22" s="280"/>
      <c r="AP22" s="280"/>
      <c r="AQ22" s="280"/>
      <c r="AR22" s="280"/>
      <c r="AS22" s="280"/>
    </row>
    <row r="23" spans="1:45" s="282" customFormat="1" ht="9.4499999999999993" customHeight="1" x14ac:dyDescent="0.25">
      <c r="A23" s="314"/>
      <c r="B23" s="286"/>
      <c r="C23" s="286"/>
      <c r="D23" s="286"/>
      <c r="E23" s="286"/>
      <c r="F23" s="276"/>
      <c r="G23" s="276"/>
      <c r="H23" s="280"/>
      <c r="I23" s="315"/>
      <c r="J23" s="286"/>
      <c r="K23" s="276"/>
      <c r="L23" s="276"/>
      <c r="M23" s="276"/>
      <c r="N23" s="278"/>
      <c r="O23" s="278"/>
      <c r="P23" s="278"/>
      <c r="Q23" s="278"/>
      <c r="R23" s="279"/>
      <c r="S23" s="280"/>
      <c r="T23" s="280"/>
      <c r="U23" s="280"/>
      <c r="V23" s="280"/>
      <c r="W23" s="280"/>
      <c r="X23" s="280"/>
      <c r="Y23" s="236"/>
      <c r="Z23" s="236"/>
      <c r="AA23" s="236" t="s">
        <v>88</v>
      </c>
      <c r="AB23" s="237">
        <v>10</v>
      </c>
      <c r="AC23" s="237">
        <v>6</v>
      </c>
      <c r="AD23" s="237">
        <v>3</v>
      </c>
      <c r="AE23" s="237">
        <v>1</v>
      </c>
      <c r="AF23" s="237">
        <v>0</v>
      </c>
      <c r="AG23" s="237">
        <v>0</v>
      </c>
      <c r="AH23" s="237">
        <v>0</v>
      </c>
      <c r="AI23" s="234"/>
      <c r="AJ23" s="234"/>
      <c r="AK23" s="234"/>
      <c r="AL23" s="280"/>
      <c r="AM23" s="280"/>
      <c r="AN23" s="280"/>
      <c r="AO23" s="280"/>
      <c r="AP23" s="280"/>
      <c r="AQ23" s="280"/>
      <c r="AR23" s="280"/>
      <c r="AS23" s="280"/>
    </row>
    <row r="24" spans="1:45" s="282" customFormat="1" ht="9.4499999999999993" customHeight="1" x14ac:dyDescent="0.25">
      <c r="A24" s="314"/>
      <c r="B24" s="276"/>
      <c r="C24" s="276"/>
      <c r="D24" s="276"/>
      <c r="E24" s="286"/>
      <c r="F24" s="276"/>
      <c r="G24" s="276"/>
      <c r="H24" s="276"/>
      <c r="I24" s="276"/>
      <c r="J24" s="286"/>
      <c r="K24" s="276"/>
      <c r="L24" s="316"/>
      <c r="M24" s="276"/>
      <c r="N24" s="278"/>
      <c r="O24" s="278"/>
      <c r="P24" s="278"/>
      <c r="Q24" s="278"/>
      <c r="R24" s="279"/>
      <c r="S24" s="280"/>
      <c r="T24" s="280"/>
      <c r="U24" s="280"/>
      <c r="V24" s="280"/>
      <c r="W24" s="280"/>
      <c r="X24" s="280"/>
      <c r="Y24" s="236"/>
      <c r="Z24" s="236"/>
      <c r="AA24" s="236" t="s">
        <v>89</v>
      </c>
      <c r="AB24" s="237">
        <v>6</v>
      </c>
      <c r="AC24" s="237">
        <v>3</v>
      </c>
      <c r="AD24" s="237">
        <v>1</v>
      </c>
      <c r="AE24" s="237">
        <v>0</v>
      </c>
      <c r="AF24" s="237">
        <v>0</v>
      </c>
      <c r="AG24" s="237">
        <v>0</v>
      </c>
      <c r="AH24" s="237">
        <v>0</v>
      </c>
      <c r="AI24" s="234"/>
      <c r="AJ24" s="234"/>
      <c r="AK24" s="234"/>
      <c r="AL24" s="280"/>
      <c r="AM24" s="280"/>
      <c r="AN24" s="280"/>
      <c r="AO24" s="280"/>
      <c r="AP24" s="280"/>
      <c r="AQ24" s="280"/>
      <c r="AR24" s="280"/>
      <c r="AS24" s="280"/>
    </row>
    <row r="25" spans="1:45" s="282" customFormat="1" ht="9.4499999999999993" customHeight="1" x14ac:dyDescent="0.25">
      <c r="A25" s="314"/>
      <c r="B25" s="286"/>
      <c r="C25" s="286"/>
      <c r="D25" s="286"/>
      <c r="E25" s="286"/>
      <c r="F25" s="276"/>
      <c r="G25" s="276"/>
      <c r="H25" s="280"/>
      <c r="I25" s="276"/>
      <c r="J25" s="286"/>
      <c r="K25" s="315"/>
      <c r="L25" s="286"/>
      <c r="M25" s="276"/>
      <c r="N25" s="278"/>
      <c r="O25" s="278"/>
      <c r="P25" s="278"/>
      <c r="Q25" s="278"/>
      <c r="R25" s="279"/>
      <c r="S25" s="280"/>
      <c r="T25" s="280"/>
      <c r="U25" s="280"/>
      <c r="V25" s="280"/>
      <c r="W25" s="280"/>
      <c r="X25" s="280"/>
      <c r="Y25" s="236"/>
      <c r="Z25" s="236"/>
      <c r="AA25" s="236" t="s">
        <v>94</v>
      </c>
      <c r="AB25" s="237">
        <v>3</v>
      </c>
      <c r="AC25" s="237">
        <v>2</v>
      </c>
      <c r="AD25" s="237">
        <v>1</v>
      </c>
      <c r="AE25" s="237">
        <v>0</v>
      </c>
      <c r="AF25" s="237">
        <v>0</v>
      </c>
      <c r="AG25" s="237">
        <v>0</v>
      </c>
      <c r="AH25" s="237">
        <v>0</v>
      </c>
      <c r="AI25" s="234"/>
      <c r="AJ25" s="234"/>
      <c r="AK25" s="234"/>
      <c r="AL25" s="280"/>
      <c r="AM25" s="280"/>
      <c r="AN25" s="280"/>
      <c r="AO25" s="280"/>
      <c r="AP25" s="280"/>
      <c r="AQ25" s="280"/>
      <c r="AR25" s="280"/>
      <c r="AS25" s="280"/>
    </row>
    <row r="26" spans="1:45" s="282" customFormat="1" ht="9.4499999999999993" customHeight="1" x14ac:dyDescent="0.25">
      <c r="A26" s="314"/>
      <c r="B26" s="276"/>
      <c r="C26" s="276"/>
      <c r="D26" s="276"/>
      <c r="E26" s="286"/>
      <c r="F26" s="276"/>
      <c r="G26" s="276"/>
      <c r="H26" s="276"/>
      <c r="I26" s="276"/>
      <c r="J26" s="286"/>
      <c r="K26" s="276"/>
      <c r="L26" s="276"/>
      <c r="M26" s="276"/>
      <c r="N26" s="278"/>
      <c r="O26" s="278"/>
      <c r="P26" s="278"/>
      <c r="Q26" s="278"/>
      <c r="R26" s="279"/>
      <c r="S26" s="317"/>
      <c r="T26" s="280"/>
      <c r="U26" s="280"/>
      <c r="V26" s="280"/>
      <c r="W26" s="280"/>
      <c r="X26" s="28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234"/>
      <c r="AJ26" s="234"/>
      <c r="AK26" s="234"/>
      <c r="AL26" s="280"/>
      <c r="AM26" s="280"/>
      <c r="AN26" s="280"/>
      <c r="AO26" s="280"/>
      <c r="AP26" s="280"/>
      <c r="AQ26" s="280"/>
      <c r="AR26" s="280"/>
      <c r="AS26" s="280"/>
    </row>
    <row r="27" spans="1:45" s="282" customFormat="1" ht="9.4499999999999993" customHeight="1" x14ac:dyDescent="0.25">
      <c r="A27" s="314"/>
      <c r="B27" s="286"/>
      <c r="C27" s="286"/>
      <c r="D27" s="286"/>
      <c r="E27" s="286"/>
      <c r="F27" s="276"/>
      <c r="G27" s="276"/>
      <c r="H27" s="280"/>
      <c r="I27" s="315"/>
      <c r="J27" s="286"/>
      <c r="K27" s="276"/>
      <c r="L27" s="276"/>
      <c r="M27" s="276"/>
      <c r="N27" s="278"/>
      <c r="O27" s="278"/>
      <c r="P27" s="278"/>
      <c r="Q27" s="278"/>
      <c r="R27" s="279"/>
      <c r="S27" s="280"/>
      <c r="T27" s="280"/>
      <c r="U27" s="280"/>
      <c r="V27" s="280"/>
      <c r="W27" s="280"/>
      <c r="X27" s="28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234"/>
      <c r="AJ27" s="234"/>
      <c r="AK27" s="234"/>
      <c r="AL27" s="280"/>
      <c r="AM27" s="280"/>
      <c r="AN27" s="280"/>
      <c r="AO27" s="280"/>
      <c r="AP27" s="280"/>
      <c r="AQ27" s="280"/>
      <c r="AR27" s="280"/>
      <c r="AS27" s="280"/>
    </row>
    <row r="28" spans="1:45" s="282" customFormat="1" ht="9.4499999999999993" customHeight="1" x14ac:dyDescent="0.25">
      <c r="A28" s="314"/>
      <c r="B28" s="276"/>
      <c r="C28" s="276"/>
      <c r="D28" s="276"/>
      <c r="E28" s="286"/>
      <c r="F28" s="276"/>
      <c r="G28" s="276"/>
      <c r="H28" s="276"/>
      <c r="I28" s="276"/>
      <c r="J28" s="286"/>
      <c r="K28" s="276"/>
      <c r="L28" s="276"/>
      <c r="M28" s="276"/>
      <c r="N28" s="278"/>
      <c r="O28" s="278"/>
      <c r="P28" s="278"/>
      <c r="Q28" s="278"/>
      <c r="R28" s="279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</row>
    <row r="29" spans="1:45" s="282" customFormat="1" ht="9.4499999999999993" customHeight="1" x14ac:dyDescent="0.25">
      <c r="A29" s="314"/>
      <c r="B29" s="286"/>
      <c r="C29" s="286"/>
      <c r="D29" s="286"/>
      <c r="E29" s="286"/>
      <c r="F29" s="276"/>
      <c r="G29" s="276"/>
      <c r="H29" s="280"/>
      <c r="I29" s="276"/>
      <c r="J29" s="286"/>
      <c r="K29" s="276"/>
      <c r="L29" s="276"/>
      <c r="M29" s="315"/>
      <c r="N29" s="286"/>
      <c r="O29" s="276"/>
      <c r="P29" s="278"/>
      <c r="Q29" s="278"/>
      <c r="R29" s="279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</row>
    <row r="30" spans="1:45" s="282" customFormat="1" ht="9.4499999999999993" customHeight="1" x14ac:dyDescent="0.25">
      <c r="A30" s="314"/>
      <c r="B30" s="276"/>
      <c r="C30" s="276"/>
      <c r="D30" s="276"/>
      <c r="E30" s="286"/>
      <c r="F30" s="276"/>
      <c r="G30" s="276"/>
      <c r="H30" s="276"/>
      <c r="I30" s="276"/>
      <c r="J30" s="286"/>
      <c r="K30" s="276"/>
      <c r="L30" s="276"/>
      <c r="M30" s="276"/>
      <c r="N30" s="278"/>
      <c r="O30" s="276"/>
      <c r="P30" s="278"/>
      <c r="Q30" s="278"/>
      <c r="R30" s="279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</row>
    <row r="31" spans="1:45" s="282" customFormat="1" ht="9.4499999999999993" customHeight="1" x14ac:dyDescent="0.25">
      <c r="A31" s="314"/>
      <c r="B31" s="286"/>
      <c r="C31" s="286"/>
      <c r="D31" s="286"/>
      <c r="E31" s="286"/>
      <c r="F31" s="276"/>
      <c r="G31" s="276"/>
      <c r="H31" s="280"/>
      <c r="I31" s="315"/>
      <c r="J31" s="286"/>
      <c r="K31" s="276"/>
      <c r="L31" s="276"/>
      <c r="M31" s="276"/>
      <c r="N31" s="278"/>
      <c r="O31" s="278"/>
      <c r="P31" s="278"/>
      <c r="Q31" s="278"/>
      <c r="R31" s="279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</row>
    <row r="32" spans="1:45" s="282" customFormat="1" ht="9.4499999999999993" customHeight="1" x14ac:dyDescent="0.25">
      <c r="A32" s="314"/>
      <c r="B32" s="276"/>
      <c r="C32" s="276"/>
      <c r="D32" s="276"/>
      <c r="E32" s="286"/>
      <c r="F32" s="276"/>
      <c r="G32" s="276"/>
      <c r="H32" s="276"/>
      <c r="I32" s="276"/>
      <c r="J32" s="286"/>
      <c r="K32" s="276"/>
      <c r="L32" s="316"/>
      <c r="M32" s="276"/>
      <c r="N32" s="278"/>
      <c r="O32" s="278"/>
      <c r="P32" s="278"/>
      <c r="Q32" s="278"/>
      <c r="R32" s="279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</row>
    <row r="33" spans="1:45" s="282" customFormat="1" ht="9.4499999999999993" customHeight="1" x14ac:dyDescent="0.25">
      <c r="A33" s="314"/>
      <c r="B33" s="286"/>
      <c r="C33" s="286"/>
      <c r="D33" s="286"/>
      <c r="E33" s="286"/>
      <c r="F33" s="276"/>
      <c r="G33" s="276"/>
      <c r="H33" s="280"/>
      <c r="I33" s="276"/>
      <c r="J33" s="286"/>
      <c r="K33" s="315"/>
      <c r="L33" s="286"/>
      <c r="M33" s="276"/>
      <c r="N33" s="278"/>
      <c r="O33" s="278"/>
      <c r="P33" s="278"/>
      <c r="Q33" s="278"/>
      <c r="R33" s="279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</row>
    <row r="34" spans="1:45" s="282" customFormat="1" ht="9.4499999999999993" customHeight="1" x14ac:dyDescent="0.25">
      <c r="A34" s="314"/>
      <c r="B34" s="276"/>
      <c r="C34" s="276"/>
      <c r="D34" s="276"/>
      <c r="E34" s="286"/>
      <c r="F34" s="276"/>
      <c r="G34" s="276"/>
      <c r="H34" s="276"/>
      <c r="I34" s="276"/>
      <c r="J34" s="286"/>
      <c r="K34" s="276"/>
      <c r="L34" s="276"/>
      <c r="M34" s="276"/>
      <c r="N34" s="278"/>
      <c r="O34" s="278"/>
      <c r="P34" s="278"/>
      <c r="Q34" s="278"/>
      <c r="R34" s="279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</row>
    <row r="35" spans="1:45" s="282" customFormat="1" ht="9.4499999999999993" customHeight="1" x14ac:dyDescent="0.25">
      <c r="A35" s="314"/>
      <c r="B35" s="286"/>
      <c r="C35" s="286"/>
      <c r="D35" s="286"/>
      <c r="E35" s="286"/>
      <c r="F35" s="276"/>
      <c r="G35" s="276"/>
      <c r="H35" s="280"/>
      <c r="I35" s="315"/>
      <c r="J35" s="286"/>
      <c r="K35" s="276"/>
      <c r="L35" s="276"/>
      <c r="M35" s="276"/>
      <c r="N35" s="278"/>
      <c r="O35" s="278"/>
      <c r="P35" s="278"/>
      <c r="Q35" s="278"/>
      <c r="R35" s="279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</row>
    <row r="36" spans="1:45" s="282" customFormat="1" ht="9.4499999999999993" customHeight="1" x14ac:dyDescent="0.25">
      <c r="A36" s="313"/>
      <c r="B36" s="276"/>
      <c r="C36" s="276"/>
      <c r="D36" s="276"/>
      <c r="E36" s="286"/>
      <c r="F36" s="276"/>
      <c r="G36" s="276"/>
      <c r="H36" s="276"/>
      <c r="I36" s="276"/>
      <c r="J36" s="286"/>
      <c r="K36" s="276"/>
      <c r="L36" s="276"/>
      <c r="M36" s="276"/>
      <c r="N36" s="276"/>
      <c r="O36" s="276"/>
      <c r="P36" s="276"/>
      <c r="Q36" s="278"/>
      <c r="R36" s="279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</row>
    <row r="37" spans="1:45" s="282" customFormat="1" ht="9.4499999999999993" customHeight="1" x14ac:dyDescent="0.25">
      <c r="A37" s="314"/>
      <c r="B37" s="286"/>
      <c r="C37" s="286"/>
      <c r="D37" s="286"/>
      <c r="E37" s="286"/>
      <c r="F37" s="318"/>
      <c r="G37" s="318"/>
      <c r="H37" s="319"/>
      <c r="I37" s="275"/>
      <c r="J37" s="298"/>
      <c r="K37" s="275"/>
      <c r="L37" s="275"/>
      <c r="M37" s="275"/>
      <c r="N37" s="301"/>
      <c r="O37" s="301"/>
      <c r="P37" s="301"/>
      <c r="Q37" s="278"/>
      <c r="R37" s="279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</row>
    <row r="38" spans="1:45" s="282" customFormat="1" ht="9.4499999999999993" customHeight="1" x14ac:dyDescent="0.25">
      <c r="A38" s="313"/>
      <c r="B38" s="276"/>
      <c r="C38" s="276"/>
      <c r="D38" s="276"/>
      <c r="E38" s="286"/>
      <c r="F38" s="276"/>
      <c r="G38" s="276"/>
      <c r="H38" s="276"/>
      <c r="I38" s="276"/>
      <c r="J38" s="286"/>
      <c r="K38" s="276"/>
      <c r="L38" s="276"/>
      <c r="M38" s="276"/>
      <c r="N38" s="278"/>
      <c r="O38" s="278"/>
      <c r="P38" s="278"/>
      <c r="Q38" s="278"/>
      <c r="R38" s="279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</row>
    <row r="39" spans="1:45" s="282" customFormat="1" ht="9.4499999999999993" customHeight="1" x14ac:dyDescent="0.25">
      <c r="A39" s="314"/>
      <c r="B39" s="286"/>
      <c r="C39" s="286"/>
      <c r="D39" s="286"/>
      <c r="E39" s="286"/>
      <c r="F39" s="276"/>
      <c r="G39" s="276"/>
      <c r="H39" s="280"/>
      <c r="I39" s="315"/>
      <c r="J39" s="286"/>
      <c r="K39" s="276"/>
      <c r="L39" s="276"/>
      <c r="M39" s="276"/>
      <c r="N39" s="278"/>
      <c r="O39" s="278"/>
      <c r="P39" s="278"/>
      <c r="Q39" s="278"/>
      <c r="R39" s="279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</row>
    <row r="40" spans="1:45" s="282" customFormat="1" ht="9.4499999999999993" customHeight="1" x14ac:dyDescent="0.25">
      <c r="A40" s="314"/>
      <c r="B40" s="276"/>
      <c r="C40" s="276"/>
      <c r="D40" s="276"/>
      <c r="E40" s="286"/>
      <c r="F40" s="276"/>
      <c r="G40" s="276"/>
      <c r="H40" s="276"/>
      <c r="I40" s="276"/>
      <c r="J40" s="286"/>
      <c r="K40" s="276"/>
      <c r="L40" s="316"/>
      <c r="M40" s="276"/>
      <c r="N40" s="278"/>
      <c r="O40" s="278"/>
      <c r="P40" s="278"/>
      <c r="Q40" s="278"/>
      <c r="R40" s="279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</row>
    <row r="41" spans="1:45" s="282" customFormat="1" ht="9.4499999999999993" customHeight="1" x14ac:dyDescent="0.25">
      <c r="A41" s="314"/>
      <c r="B41" s="286"/>
      <c r="C41" s="286"/>
      <c r="D41" s="286"/>
      <c r="E41" s="286"/>
      <c r="F41" s="276"/>
      <c r="G41" s="276"/>
      <c r="H41" s="280"/>
      <c r="I41" s="276"/>
      <c r="J41" s="286"/>
      <c r="K41" s="315"/>
      <c r="L41" s="286"/>
      <c r="M41" s="276"/>
      <c r="N41" s="278"/>
      <c r="O41" s="278"/>
      <c r="P41" s="278"/>
      <c r="Q41" s="278"/>
      <c r="R41" s="279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</row>
    <row r="42" spans="1:45" s="282" customFormat="1" ht="9.4499999999999993" customHeight="1" x14ac:dyDescent="0.25">
      <c r="A42" s="314"/>
      <c r="B42" s="276"/>
      <c r="C42" s="276"/>
      <c r="D42" s="276"/>
      <c r="E42" s="286"/>
      <c r="F42" s="276"/>
      <c r="G42" s="276"/>
      <c r="H42" s="276"/>
      <c r="I42" s="276"/>
      <c r="J42" s="286"/>
      <c r="K42" s="276"/>
      <c r="L42" s="276"/>
      <c r="M42" s="276"/>
      <c r="N42" s="278"/>
      <c r="O42" s="278"/>
      <c r="P42" s="278"/>
      <c r="Q42" s="278"/>
      <c r="R42" s="279"/>
      <c r="S42" s="317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</row>
    <row r="43" spans="1:45" s="282" customFormat="1" ht="9.4499999999999993" customHeight="1" x14ac:dyDescent="0.25">
      <c r="A43" s="314"/>
      <c r="B43" s="286"/>
      <c r="C43" s="286"/>
      <c r="D43" s="286"/>
      <c r="E43" s="286"/>
      <c r="F43" s="276"/>
      <c r="G43" s="276"/>
      <c r="H43" s="280"/>
      <c r="I43" s="315"/>
      <c r="J43" s="286"/>
      <c r="K43" s="276"/>
      <c r="L43" s="276"/>
      <c r="M43" s="276"/>
      <c r="N43" s="278"/>
      <c r="O43" s="278"/>
      <c r="P43" s="278"/>
      <c r="Q43" s="278"/>
      <c r="R43" s="279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</row>
    <row r="44" spans="1:45" s="282" customFormat="1" ht="9.4499999999999993" customHeight="1" x14ac:dyDescent="0.25">
      <c r="A44" s="314"/>
      <c r="B44" s="276"/>
      <c r="C44" s="276"/>
      <c r="D44" s="276"/>
      <c r="E44" s="286"/>
      <c r="F44" s="276"/>
      <c r="G44" s="276"/>
      <c r="H44" s="276"/>
      <c r="I44" s="276"/>
      <c r="J44" s="286"/>
      <c r="K44" s="276"/>
      <c r="L44" s="276"/>
      <c r="M44" s="276"/>
      <c r="N44" s="278"/>
      <c r="O44" s="278"/>
      <c r="P44" s="278"/>
      <c r="Q44" s="278"/>
      <c r="R44" s="279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</row>
    <row r="45" spans="1:45" s="282" customFormat="1" ht="9.4499999999999993" customHeight="1" x14ac:dyDescent="0.25">
      <c r="A45" s="314"/>
      <c r="B45" s="286"/>
      <c r="C45" s="286"/>
      <c r="D45" s="286"/>
      <c r="E45" s="286"/>
      <c r="F45" s="276"/>
      <c r="G45" s="276"/>
      <c r="H45" s="280"/>
      <c r="I45" s="276"/>
      <c r="J45" s="286"/>
      <c r="K45" s="276"/>
      <c r="L45" s="276"/>
      <c r="M45" s="315"/>
      <c r="N45" s="286"/>
      <c r="O45" s="276"/>
      <c r="P45" s="278"/>
      <c r="Q45" s="278"/>
      <c r="R45" s="279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</row>
    <row r="46" spans="1:45" s="282" customFormat="1" ht="9.4499999999999993" customHeight="1" x14ac:dyDescent="0.25">
      <c r="A46" s="314"/>
      <c r="B46" s="276"/>
      <c r="C46" s="276"/>
      <c r="D46" s="276"/>
      <c r="E46" s="286"/>
      <c r="F46" s="276"/>
      <c r="G46" s="276"/>
      <c r="H46" s="276"/>
      <c r="I46" s="276"/>
      <c r="J46" s="286"/>
      <c r="K46" s="276"/>
      <c r="L46" s="276"/>
      <c r="M46" s="276"/>
      <c r="N46" s="278"/>
      <c r="O46" s="276"/>
      <c r="P46" s="278"/>
      <c r="Q46" s="278"/>
      <c r="R46" s="279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</row>
    <row r="47" spans="1:45" s="282" customFormat="1" ht="9.4499999999999993" customHeight="1" x14ac:dyDescent="0.25">
      <c r="A47" s="314"/>
      <c r="B47" s="286"/>
      <c r="C47" s="286"/>
      <c r="D47" s="286"/>
      <c r="E47" s="286"/>
      <c r="F47" s="276"/>
      <c r="G47" s="276"/>
      <c r="H47" s="280"/>
      <c r="I47" s="315"/>
      <c r="J47" s="286"/>
      <c r="K47" s="276"/>
      <c r="L47" s="276"/>
      <c r="M47" s="276"/>
      <c r="N47" s="278"/>
      <c r="O47" s="278"/>
      <c r="P47" s="278"/>
      <c r="Q47" s="278"/>
      <c r="R47" s="279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</row>
    <row r="48" spans="1:45" s="282" customFormat="1" ht="9.4499999999999993" customHeight="1" x14ac:dyDescent="0.25">
      <c r="A48" s="314"/>
      <c r="B48" s="276"/>
      <c r="C48" s="276"/>
      <c r="D48" s="276"/>
      <c r="E48" s="286"/>
      <c r="F48" s="276"/>
      <c r="G48" s="276"/>
      <c r="H48" s="276"/>
      <c r="I48" s="276"/>
      <c r="J48" s="286"/>
      <c r="K48" s="276"/>
      <c r="L48" s="316"/>
      <c r="M48" s="276"/>
      <c r="N48" s="278"/>
      <c r="O48" s="278"/>
      <c r="P48" s="278"/>
      <c r="Q48" s="278"/>
      <c r="R48" s="279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</row>
    <row r="49" spans="1:45" s="282" customFormat="1" ht="9.4499999999999993" customHeight="1" x14ac:dyDescent="0.25">
      <c r="A49" s="314"/>
      <c r="B49" s="286"/>
      <c r="C49" s="286"/>
      <c r="D49" s="286"/>
      <c r="E49" s="286"/>
      <c r="F49" s="276"/>
      <c r="G49" s="276"/>
      <c r="H49" s="280"/>
      <c r="I49" s="276"/>
      <c r="J49" s="286"/>
      <c r="K49" s="315"/>
      <c r="L49" s="286"/>
      <c r="M49" s="276"/>
      <c r="N49" s="278"/>
      <c r="O49" s="278"/>
      <c r="P49" s="278"/>
      <c r="Q49" s="278"/>
      <c r="R49" s="279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</row>
    <row r="50" spans="1:45" s="282" customFormat="1" ht="9.4499999999999993" customHeight="1" x14ac:dyDescent="0.25">
      <c r="A50" s="314"/>
      <c r="B50" s="276"/>
      <c r="C50" s="276"/>
      <c r="D50" s="276"/>
      <c r="E50" s="286"/>
      <c r="F50" s="276"/>
      <c r="G50" s="276"/>
      <c r="H50" s="276"/>
      <c r="I50" s="276"/>
      <c r="J50" s="286"/>
      <c r="K50" s="276"/>
      <c r="L50" s="276"/>
      <c r="M50" s="276"/>
      <c r="N50" s="278"/>
      <c r="O50" s="278"/>
      <c r="P50" s="278"/>
      <c r="Q50" s="278"/>
      <c r="R50" s="279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</row>
    <row r="51" spans="1:45" s="282" customFormat="1" ht="9.4499999999999993" customHeight="1" x14ac:dyDescent="0.25">
      <c r="A51" s="314"/>
      <c r="B51" s="286"/>
      <c r="C51" s="286"/>
      <c r="D51" s="286"/>
      <c r="E51" s="286"/>
      <c r="F51" s="276"/>
      <c r="G51" s="276"/>
      <c r="H51" s="280"/>
      <c r="I51" s="315"/>
      <c r="J51" s="286"/>
      <c r="K51" s="276"/>
      <c r="L51" s="276"/>
      <c r="M51" s="276"/>
      <c r="N51" s="278"/>
      <c r="O51" s="278"/>
      <c r="P51" s="278"/>
      <c r="Q51" s="278"/>
      <c r="R51" s="279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</row>
    <row r="52" spans="1:45" s="282" customFormat="1" ht="9.4499999999999993" customHeight="1" x14ac:dyDescent="0.25">
      <c r="A52" s="313"/>
      <c r="B52" s="276"/>
      <c r="C52" s="276"/>
      <c r="D52" s="276"/>
      <c r="E52" s="286"/>
      <c r="F52" s="320"/>
      <c r="G52" s="320"/>
      <c r="H52" s="320"/>
      <c r="I52" s="320"/>
      <c r="J52" s="286"/>
      <c r="K52" s="276"/>
      <c r="L52" s="276"/>
      <c r="M52" s="276"/>
      <c r="N52" s="276"/>
      <c r="O52" s="276"/>
      <c r="P52" s="276"/>
      <c r="Q52" s="278"/>
      <c r="R52" s="279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</row>
    <row r="53" spans="1:45" s="327" customFormat="1" ht="6.75" customHeight="1" x14ac:dyDescent="0.25">
      <c r="A53" s="321"/>
      <c r="B53" s="321"/>
      <c r="C53" s="321"/>
      <c r="D53" s="321"/>
      <c r="E53" s="321"/>
      <c r="F53" s="322"/>
      <c r="G53" s="322"/>
      <c r="H53" s="322"/>
      <c r="I53" s="322"/>
      <c r="J53" s="323"/>
      <c r="K53" s="324"/>
      <c r="L53" s="325"/>
      <c r="M53" s="324"/>
      <c r="N53" s="325"/>
      <c r="O53" s="324"/>
      <c r="P53" s="325"/>
      <c r="Q53" s="324"/>
      <c r="R53" s="325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280"/>
      <c r="AJ53" s="280"/>
      <c r="AK53" s="280"/>
      <c r="AL53" s="326"/>
      <c r="AM53" s="326"/>
      <c r="AN53" s="326"/>
      <c r="AO53" s="326"/>
      <c r="AP53" s="326"/>
      <c r="AQ53" s="326"/>
      <c r="AR53" s="326"/>
      <c r="AS53" s="326"/>
    </row>
    <row r="54" spans="1:45" s="340" customFormat="1" ht="10.5" customHeight="1" x14ac:dyDescent="0.25">
      <c r="A54" s="328" t="s">
        <v>32</v>
      </c>
      <c r="B54" s="329"/>
      <c r="C54" s="329"/>
      <c r="D54" s="330"/>
      <c r="E54" s="331" t="s">
        <v>3</v>
      </c>
      <c r="F54" s="332" t="s">
        <v>34</v>
      </c>
      <c r="G54" s="331"/>
      <c r="H54" s="333"/>
      <c r="I54" s="334"/>
      <c r="J54" s="331" t="s">
        <v>3</v>
      </c>
      <c r="K54" s="332" t="s">
        <v>41</v>
      </c>
      <c r="L54" s="335"/>
      <c r="M54" s="332" t="s">
        <v>42</v>
      </c>
      <c r="N54" s="336"/>
      <c r="O54" s="337" t="s">
        <v>43</v>
      </c>
      <c r="P54" s="337"/>
      <c r="Q54" s="338"/>
      <c r="R54" s="339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2"/>
      <c r="AJ54" s="342"/>
      <c r="AK54" s="342"/>
      <c r="AL54" s="341"/>
      <c r="AM54" s="341"/>
      <c r="AN54" s="341"/>
      <c r="AO54" s="341"/>
      <c r="AP54" s="341"/>
      <c r="AQ54" s="341"/>
      <c r="AR54" s="341"/>
      <c r="AS54" s="341"/>
    </row>
    <row r="55" spans="1:45" s="340" customFormat="1" ht="9" customHeight="1" x14ac:dyDescent="0.25">
      <c r="A55" s="343" t="s">
        <v>33</v>
      </c>
      <c r="B55" s="344"/>
      <c r="C55" s="345"/>
      <c r="D55" s="346"/>
      <c r="E55" s="347">
        <v>1</v>
      </c>
      <c r="F55" s="341" t="str">
        <f>IF(E55&gt;$R$62,,UPPER(VLOOKUP(E55,'[6]1MD ELO'!$A$7:$Q$134,2)))</f>
        <v/>
      </c>
      <c r="G55" s="347"/>
      <c r="H55" s="341"/>
      <c r="I55" s="348"/>
      <c r="J55" s="349" t="s">
        <v>4</v>
      </c>
      <c r="K55" s="350"/>
      <c r="L55" s="351"/>
      <c r="M55" s="350"/>
      <c r="N55" s="352"/>
      <c r="O55" s="353" t="s">
        <v>35</v>
      </c>
      <c r="P55" s="354"/>
      <c r="Q55" s="354"/>
      <c r="R55" s="352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2"/>
      <c r="AJ55" s="342"/>
      <c r="AK55" s="342"/>
      <c r="AL55" s="341"/>
      <c r="AM55" s="341"/>
      <c r="AN55" s="341"/>
      <c r="AO55" s="341"/>
      <c r="AP55" s="341"/>
      <c r="AQ55" s="341"/>
      <c r="AR55" s="341"/>
      <c r="AS55" s="341"/>
    </row>
    <row r="56" spans="1:45" s="340" customFormat="1" ht="9" customHeight="1" x14ac:dyDescent="0.25">
      <c r="A56" s="355" t="s">
        <v>40</v>
      </c>
      <c r="B56" s="356"/>
      <c r="C56" s="357"/>
      <c r="D56" s="358"/>
      <c r="E56" s="347">
        <v>2</v>
      </c>
      <c r="F56" s="341" t="str">
        <f>IF(E56&gt;$R$62,,UPPER(VLOOKUP(E56,'[6]1MD ELO'!$A$7:$Q$134,2)))</f>
        <v/>
      </c>
      <c r="G56" s="347"/>
      <c r="H56" s="341"/>
      <c r="I56" s="348"/>
      <c r="J56" s="349" t="s">
        <v>5</v>
      </c>
      <c r="K56" s="350"/>
      <c r="L56" s="351"/>
      <c r="M56" s="350"/>
      <c r="N56" s="352"/>
      <c r="O56" s="359"/>
      <c r="P56" s="360"/>
      <c r="Q56" s="356"/>
      <c r="R56" s="36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2"/>
      <c r="AJ56" s="342"/>
      <c r="AK56" s="342"/>
      <c r="AL56" s="341"/>
      <c r="AM56" s="341"/>
      <c r="AN56" s="341"/>
      <c r="AO56" s="341"/>
      <c r="AP56" s="341"/>
      <c r="AQ56" s="341"/>
      <c r="AR56" s="341"/>
      <c r="AS56" s="341"/>
    </row>
    <row r="57" spans="1:45" s="340" customFormat="1" ht="9" customHeight="1" x14ac:dyDescent="0.25">
      <c r="A57" s="362"/>
      <c r="B57" s="363"/>
      <c r="C57" s="364"/>
      <c r="D57" s="365"/>
      <c r="E57" s="347"/>
      <c r="F57" s="341"/>
      <c r="G57" s="347"/>
      <c r="H57" s="341"/>
      <c r="I57" s="348"/>
      <c r="J57" s="349" t="s">
        <v>6</v>
      </c>
      <c r="K57" s="350"/>
      <c r="L57" s="351"/>
      <c r="M57" s="350"/>
      <c r="N57" s="352"/>
      <c r="O57" s="353" t="s">
        <v>36</v>
      </c>
      <c r="P57" s="354"/>
      <c r="Q57" s="354"/>
      <c r="R57" s="352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2"/>
      <c r="AJ57" s="342"/>
      <c r="AK57" s="342"/>
      <c r="AL57" s="341"/>
      <c r="AM57" s="341"/>
      <c r="AN57" s="341"/>
      <c r="AO57" s="341"/>
      <c r="AP57" s="341"/>
      <c r="AQ57" s="341"/>
      <c r="AR57" s="341"/>
      <c r="AS57" s="341"/>
    </row>
    <row r="58" spans="1:45" s="340" customFormat="1" ht="9" customHeight="1" x14ac:dyDescent="0.25">
      <c r="A58" s="366"/>
      <c r="B58" s="252"/>
      <c r="C58" s="252"/>
      <c r="D58" s="367"/>
      <c r="E58" s="347"/>
      <c r="F58" s="341"/>
      <c r="G58" s="347"/>
      <c r="H58" s="341"/>
      <c r="I58" s="348"/>
      <c r="J58" s="349" t="s">
        <v>7</v>
      </c>
      <c r="K58" s="350"/>
      <c r="L58" s="351"/>
      <c r="M58" s="350"/>
      <c r="N58" s="352"/>
      <c r="O58" s="350"/>
      <c r="P58" s="351"/>
      <c r="Q58" s="350"/>
      <c r="R58" s="352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2"/>
      <c r="AJ58" s="342"/>
      <c r="AK58" s="342"/>
      <c r="AL58" s="341"/>
      <c r="AM58" s="341"/>
      <c r="AN58" s="341"/>
      <c r="AO58" s="341"/>
      <c r="AP58" s="341"/>
      <c r="AQ58" s="341"/>
      <c r="AR58" s="341"/>
      <c r="AS58" s="341"/>
    </row>
    <row r="59" spans="1:45" s="340" customFormat="1" ht="9" customHeight="1" x14ac:dyDescent="0.25">
      <c r="A59" s="368"/>
      <c r="B59" s="369"/>
      <c r="C59" s="369"/>
      <c r="D59" s="370"/>
      <c r="E59" s="347"/>
      <c r="F59" s="341"/>
      <c r="G59" s="347"/>
      <c r="H59" s="341"/>
      <c r="I59" s="348"/>
      <c r="J59" s="349" t="s">
        <v>8</v>
      </c>
      <c r="K59" s="350"/>
      <c r="L59" s="351"/>
      <c r="M59" s="350"/>
      <c r="N59" s="352"/>
      <c r="O59" s="356"/>
      <c r="P59" s="360"/>
      <c r="Q59" s="356"/>
      <c r="R59" s="36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2"/>
      <c r="AJ59" s="342"/>
      <c r="AK59" s="342"/>
      <c r="AL59" s="341"/>
      <c r="AM59" s="341"/>
      <c r="AN59" s="341"/>
      <c r="AO59" s="341"/>
      <c r="AP59" s="341"/>
      <c r="AQ59" s="341"/>
      <c r="AR59" s="341"/>
      <c r="AS59" s="341"/>
    </row>
    <row r="60" spans="1:45" s="340" customFormat="1" ht="9" customHeight="1" x14ac:dyDescent="0.25">
      <c r="A60" s="371"/>
      <c r="B60" s="372"/>
      <c r="C60" s="252"/>
      <c r="D60" s="367"/>
      <c r="E60" s="347"/>
      <c r="F60" s="341"/>
      <c r="G60" s="347"/>
      <c r="H60" s="341"/>
      <c r="I60" s="348"/>
      <c r="J60" s="349" t="s">
        <v>9</v>
      </c>
      <c r="K60" s="350"/>
      <c r="L60" s="351"/>
      <c r="M60" s="350"/>
      <c r="N60" s="352"/>
      <c r="O60" s="353" t="s">
        <v>28</v>
      </c>
      <c r="P60" s="354"/>
      <c r="Q60" s="354"/>
      <c r="R60" s="352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2"/>
      <c r="AJ60" s="342"/>
      <c r="AK60" s="342"/>
      <c r="AL60" s="341"/>
      <c r="AM60" s="341"/>
      <c r="AN60" s="341"/>
      <c r="AO60" s="341"/>
      <c r="AP60" s="341"/>
      <c r="AQ60" s="341"/>
      <c r="AR60" s="341"/>
      <c r="AS60" s="341"/>
    </row>
    <row r="61" spans="1:45" s="340" customFormat="1" ht="9" customHeight="1" x14ac:dyDescent="0.25">
      <c r="A61" s="371"/>
      <c r="B61" s="372"/>
      <c r="C61" s="373"/>
      <c r="D61" s="374"/>
      <c r="E61" s="347"/>
      <c r="F61" s="341"/>
      <c r="G61" s="347"/>
      <c r="H61" s="341"/>
      <c r="I61" s="348"/>
      <c r="J61" s="349" t="s">
        <v>10</v>
      </c>
      <c r="K61" s="350"/>
      <c r="L61" s="351"/>
      <c r="M61" s="350"/>
      <c r="N61" s="352"/>
      <c r="O61" s="350"/>
      <c r="P61" s="351"/>
      <c r="Q61" s="350"/>
      <c r="R61" s="352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2"/>
      <c r="AJ61" s="342"/>
      <c r="AK61" s="342"/>
      <c r="AL61" s="341"/>
      <c r="AM61" s="341"/>
      <c r="AN61" s="341"/>
      <c r="AO61" s="341"/>
      <c r="AP61" s="341"/>
      <c r="AQ61" s="341"/>
      <c r="AR61" s="341"/>
      <c r="AS61" s="341"/>
    </row>
    <row r="62" spans="1:45" s="340" customFormat="1" ht="9" customHeight="1" x14ac:dyDescent="0.25">
      <c r="A62" s="375"/>
      <c r="B62" s="376"/>
      <c r="C62" s="377"/>
      <c r="D62" s="378"/>
      <c r="E62" s="379"/>
      <c r="F62" s="359"/>
      <c r="G62" s="379"/>
      <c r="H62" s="359"/>
      <c r="I62" s="380"/>
      <c r="J62" s="381" t="s">
        <v>11</v>
      </c>
      <c r="K62" s="356"/>
      <c r="L62" s="360"/>
      <c r="M62" s="356"/>
      <c r="N62" s="361"/>
      <c r="O62" s="356">
        <f>R4</f>
        <v>0</v>
      </c>
      <c r="P62" s="360"/>
      <c r="Q62" s="356"/>
      <c r="R62" s="382">
        <f>MIN(4,'[6]1MD ELO'!Q5)</f>
        <v>4</v>
      </c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2"/>
      <c r="AJ62" s="342"/>
      <c r="AK62" s="342"/>
      <c r="AL62" s="341"/>
      <c r="AM62" s="341"/>
      <c r="AN62" s="341"/>
      <c r="AO62" s="341"/>
      <c r="AP62" s="341"/>
      <c r="AQ62" s="341"/>
      <c r="AR62" s="341"/>
      <c r="AS62" s="341"/>
    </row>
    <row r="63" spans="1:45" x14ac:dyDescent="0.25"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L63" s="385"/>
      <c r="AM63" s="385"/>
      <c r="AN63" s="385"/>
      <c r="AO63" s="385"/>
      <c r="AP63" s="385"/>
      <c r="AQ63" s="385"/>
      <c r="AR63" s="385"/>
      <c r="AS63" s="385"/>
    </row>
    <row r="64" spans="1:45" x14ac:dyDescent="0.25"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L64" s="385"/>
      <c r="AM64" s="385"/>
      <c r="AN64" s="385"/>
      <c r="AO64" s="385"/>
      <c r="AP64" s="385"/>
      <c r="AQ64" s="385"/>
      <c r="AR64" s="385"/>
      <c r="AS64" s="385"/>
    </row>
    <row r="65" spans="20:45" x14ac:dyDescent="0.25"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L65" s="385"/>
      <c r="AM65" s="385"/>
      <c r="AN65" s="385"/>
      <c r="AO65" s="385"/>
      <c r="AP65" s="385"/>
      <c r="AQ65" s="385"/>
      <c r="AR65" s="385"/>
      <c r="AS65" s="385"/>
    </row>
    <row r="66" spans="20:45" x14ac:dyDescent="0.25"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5"/>
      <c r="AF66" s="385"/>
      <c r="AG66" s="385"/>
      <c r="AH66" s="385"/>
      <c r="AL66" s="385"/>
      <c r="AM66" s="385"/>
      <c r="AN66" s="385"/>
      <c r="AO66" s="385"/>
      <c r="AP66" s="385"/>
      <c r="AQ66" s="385"/>
      <c r="AR66" s="385"/>
      <c r="AS66" s="385"/>
    </row>
    <row r="67" spans="20:45" x14ac:dyDescent="0.25"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385"/>
      <c r="AH67" s="385"/>
      <c r="AL67" s="385"/>
      <c r="AM67" s="385"/>
      <c r="AN67" s="385"/>
      <c r="AO67" s="385"/>
      <c r="AP67" s="385"/>
      <c r="AQ67" s="385"/>
      <c r="AR67" s="385"/>
      <c r="AS67" s="385"/>
    </row>
    <row r="68" spans="20:45" x14ac:dyDescent="0.25"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385"/>
      <c r="AH68" s="385"/>
      <c r="AL68" s="385"/>
      <c r="AM68" s="385"/>
      <c r="AN68" s="385"/>
      <c r="AO68" s="385"/>
      <c r="AP68" s="385"/>
      <c r="AQ68" s="385"/>
      <c r="AR68" s="385"/>
      <c r="AS68" s="385"/>
    </row>
    <row r="69" spans="20:45" x14ac:dyDescent="0.25">
      <c r="T69" s="385"/>
      <c r="U69" s="385"/>
      <c r="V69" s="385"/>
      <c r="W69" s="385"/>
      <c r="X69" s="385"/>
      <c r="Y69" s="385"/>
      <c r="Z69" s="385"/>
      <c r="AA69" s="385"/>
      <c r="AB69" s="385"/>
      <c r="AC69" s="385"/>
      <c r="AD69" s="385"/>
      <c r="AE69" s="385"/>
      <c r="AF69" s="385"/>
      <c r="AG69" s="385"/>
      <c r="AH69" s="385"/>
      <c r="AL69" s="385"/>
      <c r="AM69" s="385"/>
      <c r="AN69" s="385"/>
      <c r="AO69" s="385"/>
      <c r="AP69" s="385"/>
      <c r="AQ69" s="385"/>
      <c r="AR69" s="385"/>
      <c r="AS69" s="385"/>
    </row>
    <row r="70" spans="20:45" x14ac:dyDescent="0.25"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L70" s="385"/>
      <c r="AM70" s="385"/>
      <c r="AN70" s="385"/>
      <c r="AO70" s="385"/>
      <c r="AP70" s="385"/>
      <c r="AQ70" s="385"/>
      <c r="AR70" s="385"/>
      <c r="AS70" s="385"/>
    </row>
    <row r="71" spans="20:45" x14ac:dyDescent="0.25">
      <c r="T71" s="385"/>
      <c r="U71" s="385"/>
      <c r="V71" s="385"/>
      <c r="W71" s="385"/>
      <c r="X71" s="385"/>
      <c r="Y71" s="385"/>
      <c r="Z71" s="385"/>
      <c r="AA71" s="385"/>
      <c r="AB71" s="385"/>
      <c r="AC71" s="385"/>
      <c r="AD71" s="385"/>
      <c r="AE71" s="385"/>
      <c r="AF71" s="385"/>
      <c r="AG71" s="385"/>
      <c r="AH71" s="385"/>
      <c r="AL71" s="385"/>
      <c r="AM71" s="385"/>
      <c r="AN71" s="385"/>
      <c r="AO71" s="385"/>
      <c r="AP71" s="385"/>
      <c r="AQ71" s="385"/>
      <c r="AR71" s="385"/>
      <c r="AS71" s="385"/>
    </row>
    <row r="72" spans="20:45" x14ac:dyDescent="0.25">
      <c r="T72" s="385"/>
      <c r="U72" s="385"/>
      <c r="V72" s="385"/>
      <c r="W72" s="385"/>
      <c r="X72" s="385"/>
      <c r="Y72" s="385"/>
      <c r="Z72" s="385"/>
      <c r="AA72" s="385"/>
      <c r="AB72" s="385"/>
      <c r="AC72" s="385"/>
      <c r="AD72" s="385"/>
      <c r="AE72" s="385"/>
      <c r="AF72" s="385"/>
      <c r="AG72" s="385"/>
      <c r="AH72" s="385"/>
      <c r="AL72" s="385"/>
      <c r="AM72" s="385"/>
      <c r="AN72" s="385"/>
      <c r="AO72" s="385"/>
      <c r="AP72" s="385"/>
      <c r="AQ72" s="385"/>
      <c r="AR72" s="385"/>
      <c r="AS72" s="385"/>
    </row>
    <row r="73" spans="20:45" x14ac:dyDescent="0.25"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L73" s="385"/>
      <c r="AM73" s="385"/>
      <c r="AN73" s="385"/>
      <c r="AO73" s="385"/>
      <c r="AP73" s="385"/>
      <c r="AQ73" s="385"/>
      <c r="AR73" s="385"/>
      <c r="AS73" s="385"/>
    </row>
    <row r="74" spans="20:45" x14ac:dyDescent="0.25">
      <c r="T74" s="385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5"/>
      <c r="AL74" s="385"/>
      <c r="AM74" s="385"/>
      <c r="AN74" s="385"/>
      <c r="AO74" s="385"/>
      <c r="AP74" s="385"/>
      <c r="AQ74" s="385"/>
      <c r="AR74" s="385"/>
      <c r="AS74" s="385"/>
    </row>
    <row r="75" spans="20:45" x14ac:dyDescent="0.25">
      <c r="T75" s="385"/>
      <c r="U75" s="385"/>
      <c r="V75" s="385"/>
      <c r="W75" s="385"/>
      <c r="X75" s="385"/>
      <c r="Y75" s="385"/>
      <c r="Z75" s="385"/>
      <c r="AA75" s="385"/>
      <c r="AB75" s="385"/>
      <c r="AC75" s="385"/>
      <c r="AD75" s="385"/>
      <c r="AE75" s="385"/>
      <c r="AF75" s="385"/>
      <c r="AG75" s="385"/>
      <c r="AH75" s="385"/>
      <c r="AL75" s="385"/>
      <c r="AM75" s="385"/>
      <c r="AN75" s="385"/>
      <c r="AO75" s="385"/>
      <c r="AP75" s="385"/>
      <c r="AQ75" s="385"/>
      <c r="AR75" s="385"/>
      <c r="AS75" s="385"/>
    </row>
    <row r="76" spans="20:45" x14ac:dyDescent="0.25"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L76" s="385"/>
      <c r="AM76" s="385"/>
      <c r="AN76" s="385"/>
      <c r="AO76" s="385"/>
      <c r="AP76" s="385"/>
      <c r="AQ76" s="385"/>
      <c r="AR76" s="385"/>
      <c r="AS76" s="385"/>
    </row>
    <row r="77" spans="20:45" x14ac:dyDescent="0.25"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L77" s="385"/>
      <c r="AM77" s="385"/>
      <c r="AN77" s="385"/>
      <c r="AO77" s="385"/>
      <c r="AP77" s="385"/>
      <c r="AQ77" s="385"/>
      <c r="AR77" s="385"/>
      <c r="AS77" s="385"/>
    </row>
    <row r="78" spans="20:45" x14ac:dyDescent="0.25">
      <c r="T78" s="385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L78" s="385"/>
      <c r="AM78" s="385"/>
      <c r="AN78" s="385"/>
      <c r="AO78" s="385"/>
      <c r="AP78" s="385"/>
      <c r="AQ78" s="385"/>
      <c r="AR78" s="385"/>
      <c r="AS78" s="385"/>
    </row>
    <row r="79" spans="20:45" x14ac:dyDescent="0.25">
      <c r="T79" s="385"/>
      <c r="U79" s="385"/>
      <c r="V79" s="385"/>
      <c r="W79" s="385"/>
      <c r="X79" s="385"/>
      <c r="Y79" s="385"/>
      <c r="Z79" s="385"/>
      <c r="AA79" s="385"/>
      <c r="AB79" s="385"/>
      <c r="AC79" s="385"/>
      <c r="AD79" s="385"/>
      <c r="AE79" s="385"/>
      <c r="AF79" s="385"/>
      <c r="AG79" s="385"/>
      <c r="AH79" s="385"/>
      <c r="AL79" s="385"/>
      <c r="AM79" s="385"/>
      <c r="AN79" s="385"/>
      <c r="AO79" s="385"/>
      <c r="AP79" s="385"/>
      <c r="AQ79" s="385"/>
      <c r="AR79" s="385"/>
      <c r="AS79" s="385"/>
    </row>
    <row r="80" spans="20:45" x14ac:dyDescent="0.25">
      <c r="T80" s="385"/>
      <c r="U80" s="385"/>
      <c r="V80" s="385"/>
      <c r="W80" s="385"/>
      <c r="X80" s="385"/>
      <c r="Y80" s="385"/>
      <c r="Z80" s="385"/>
      <c r="AA80" s="385"/>
      <c r="AB80" s="385"/>
      <c r="AC80" s="385"/>
      <c r="AD80" s="385"/>
      <c r="AE80" s="385"/>
      <c r="AF80" s="385"/>
      <c r="AG80" s="385"/>
      <c r="AH80" s="385"/>
      <c r="AL80" s="385"/>
      <c r="AM80" s="385"/>
      <c r="AN80" s="385"/>
      <c r="AO80" s="385"/>
      <c r="AP80" s="385"/>
      <c r="AQ80" s="385"/>
      <c r="AR80" s="385"/>
      <c r="AS80" s="385"/>
    </row>
    <row r="81" spans="20:45" x14ac:dyDescent="0.25"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L81" s="385"/>
      <c r="AM81" s="385"/>
      <c r="AN81" s="385"/>
      <c r="AO81" s="385"/>
      <c r="AP81" s="385"/>
      <c r="AQ81" s="385"/>
      <c r="AR81" s="385"/>
      <c r="AS81" s="385"/>
    </row>
    <row r="82" spans="20:45" x14ac:dyDescent="0.25">
      <c r="T82" s="385"/>
      <c r="U82" s="385"/>
      <c r="V82" s="385"/>
      <c r="W82" s="385"/>
      <c r="X82" s="385"/>
      <c r="Y82" s="385"/>
      <c r="Z82" s="385"/>
      <c r="AA82" s="385"/>
      <c r="AB82" s="385"/>
      <c r="AC82" s="385"/>
      <c r="AD82" s="385"/>
      <c r="AE82" s="385"/>
      <c r="AF82" s="385"/>
      <c r="AG82" s="385"/>
      <c r="AH82" s="385"/>
      <c r="AL82" s="385"/>
      <c r="AM82" s="385"/>
      <c r="AN82" s="385"/>
      <c r="AO82" s="385"/>
      <c r="AP82" s="385"/>
      <c r="AQ82" s="385"/>
      <c r="AR82" s="385"/>
      <c r="AS82" s="385"/>
    </row>
    <row r="83" spans="20:45" x14ac:dyDescent="0.25">
      <c r="T83" s="385"/>
      <c r="U83" s="385"/>
      <c r="V83" s="385"/>
      <c r="W83" s="385"/>
      <c r="X83" s="385"/>
      <c r="Y83" s="385"/>
      <c r="Z83" s="385"/>
      <c r="AA83" s="385"/>
      <c r="AB83" s="385"/>
      <c r="AC83" s="385"/>
      <c r="AD83" s="385"/>
      <c r="AE83" s="385"/>
      <c r="AF83" s="385"/>
      <c r="AG83" s="385"/>
      <c r="AH83" s="385"/>
      <c r="AL83" s="385"/>
      <c r="AM83" s="385"/>
      <c r="AN83" s="385"/>
      <c r="AO83" s="385"/>
      <c r="AP83" s="385"/>
      <c r="AQ83" s="385"/>
      <c r="AR83" s="385"/>
      <c r="AS83" s="385"/>
    </row>
    <row r="84" spans="20:45" x14ac:dyDescent="0.25">
      <c r="T84" s="385"/>
      <c r="U84" s="385"/>
      <c r="V84" s="385"/>
      <c r="W84" s="385"/>
      <c r="X84" s="385"/>
      <c r="Y84" s="385"/>
      <c r="Z84" s="385"/>
      <c r="AA84" s="385"/>
      <c r="AB84" s="385"/>
      <c r="AC84" s="385"/>
      <c r="AD84" s="385"/>
      <c r="AE84" s="385"/>
      <c r="AF84" s="385"/>
      <c r="AG84" s="385"/>
      <c r="AH84" s="385"/>
      <c r="AL84" s="385"/>
      <c r="AM84" s="385"/>
      <c r="AN84" s="385"/>
      <c r="AO84" s="385"/>
      <c r="AP84" s="385"/>
      <c r="AQ84" s="385"/>
      <c r="AR84" s="385"/>
      <c r="AS84" s="385"/>
    </row>
    <row r="85" spans="20:45" x14ac:dyDescent="0.25"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L85" s="385"/>
      <c r="AM85" s="385"/>
      <c r="AN85" s="385"/>
      <c r="AO85" s="385"/>
      <c r="AP85" s="385"/>
      <c r="AQ85" s="385"/>
      <c r="AR85" s="385"/>
      <c r="AS85" s="385"/>
    </row>
    <row r="86" spans="20:45" x14ac:dyDescent="0.25"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5"/>
      <c r="AG86" s="385"/>
      <c r="AH86" s="385"/>
      <c r="AL86" s="385"/>
      <c r="AM86" s="385"/>
      <c r="AN86" s="385"/>
      <c r="AO86" s="385"/>
      <c r="AP86" s="385"/>
      <c r="AQ86" s="385"/>
      <c r="AR86" s="385"/>
      <c r="AS86" s="385"/>
    </row>
    <row r="87" spans="20:45" x14ac:dyDescent="0.25"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5"/>
      <c r="AG87" s="385"/>
      <c r="AH87" s="385"/>
      <c r="AL87" s="385"/>
      <c r="AM87" s="385"/>
      <c r="AN87" s="385"/>
      <c r="AO87" s="385"/>
      <c r="AP87" s="385"/>
      <c r="AQ87" s="385"/>
      <c r="AR87" s="385"/>
      <c r="AS87" s="385"/>
    </row>
    <row r="88" spans="20:45" x14ac:dyDescent="0.25"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L88" s="385"/>
      <c r="AM88" s="385"/>
      <c r="AN88" s="385"/>
      <c r="AO88" s="385"/>
      <c r="AP88" s="385"/>
      <c r="AQ88" s="385"/>
      <c r="AR88" s="385"/>
      <c r="AS88" s="385"/>
    </row>
    <row r="89" spans="20:45" x14ac:dyDescent="0.25"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5"/>
      <c r="AG89" s="385"/>
      <c r="AH89" s="385"/>
      <c r="AL89" s="385"/>
      <c r="AM89" s="385"/>
      <c r="AN89" s="385"/>
      <c r="AO89" s="385"/>
      <c r="AP89" s="385"/>
      <c r="AQ89" s="385"/>
      <c r="AR89" s="385"/>
      <c r="AS89" s="385"/>
    </row>
    <row r="90" spans="20:45" x14ac:dyDescent="0.25"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5"/>
      <c r="AG90" s="385"/>
      <c r="AH90" s="385"/>
      <c r="AL90" s="385"/>
      <c r="AM90" s="385"/>
      <c r="AN90" s="385"/>
      <c r="AO90" s="385"/>
      <c r="AP90" s="385"/>
      <c r="AQ90" s="385"/>
      <c r="AR90" s="385"/>
      <c r="AS90" s="385"/>
    </row>
    <row r="91" spans="20:45" x14ac:dyDescent="0.25"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5"/>
      <c r="AG91" s="385"/>
      <c r="AH91" s="385"/>
      <c r="AL91" s="385"/>
      <c r="AM91" s="385"/>
      <c r="AN91" s="385"/>
      <c r="AO91" s="385"/>
      <c r="AP91" s="385"/>
      <c r="AQ91" s="385"/>
      <c r="AR91" s="385"/>
      <c r="AS91" s="385"/>
    </row>
    <row r="92" spans="20:45" x14ac:dyDescent="0.25"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5"/>
      <c r="AG92" s="385"/>
      <c r="AH92" s="385"/>
      <c r="AL92" s="385"/>
      <c r="AM92" s="385"/>
      <c r="AN92" s="385"/>
      <c r="AO92" s="385"/>
      <c r="AP92" s="385"/>
      <c r="AQ92" s="385"/>
      <c r="AR92" s="385"/>
      <c r="AS92" s="385"/>
    </row>
    <row r="93" spans="20:45" x14ac:dyDescent="0.25"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5"/>
      <c r="AG93" s="385"/>
      <c r="AH93" s="385"/>
      <c r="AL93" s="385"/>
      <c r="AM93" s="385"/>
      <c r="AN93" s="385"/>
      <c r="AO93" s="385"/>
      <c r="AP93" s="385"/>
      <c r="AQ93" s="385"/>
      <c r="AR93" s="385"/>
      <c r="AS93" s="385"/>
    </row>
    <row r="94" spans="20:45" x14ac:dyDescent="0.25"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L94" s="385"/>
      <c r="AM94" s="385"/>
      <c r="AN94" s="385"/>
      <c r="AO94" s="385"/>
      <c r="AP94" s="385"/>
      <c r="AQ94" s="385"/>
      <c r="AR94" s="385"/>
      <c r="AS94" s="385"/>
    </row>
    <row r="95" spans="20:45" x14ac:dyDescent="0.25"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L95" s="385"/>
      <c r="AM95" s="385"/>
      <c r="AN95" s="385"/>
      <c r="AO95" s="385"/>
      <c r="AP95" s="385"/>
      <c r="AQ95" s="385"/>
      <c r="AR95" s="385"/>
      <c r="AS95" s="385"/>
    </row>
    <row r="96" spans="20:45" x14ac:dyDescent="0.25"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L96" s="385"/>
      <c r="AM96" s="385"/>
      <c r="AN96" s="385"/>
      <c r="AO96" s="385"/>
      <c r="AP96" s="385"/>
      <c r="AQ96" s="385"/>
      <c r="AR96" s="385"/>
      <c r="AS96" s="385"/>
    </row>
    <row r="97" spans="20:45" x14ac:dyDescent="0.25"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5"/>
      <c r="AG97" s="385"/>
      <c r="AH97" s="385"/>
      <c r="AL97" s="385"/>
      <c r="AM97" s="385"/>
      <c r="AN97" s="385"/>
      <c r="AO97" s="385"/>
      <c r="AP97" s="385"/>
      <c r="AQ97" s="385"/>
      <c r="AR97" s="385"/>
      <c r="AS97" s="385"/>
    </row>
    <row r="98" spans="20:45" x14ac:dyDescent="0.25"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L98" s="385"/>
      <c r="AM98" s="385"/>
      <c r="AN98" s="385"/>
      <c r="AO98" s="385"/>
      <c r="AP98" s="385"/>
      <c r="AQ98" s="385"/>
      <c r="AR98" s="385"/>
      <c r="AS98" s="385"/>
    </row>
    <row r="99" spans="20:45" x14ac:dyDescent="0.25"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L99" s="385"/>
      <c r="AM99" s="385"/>
      <c r="AN99" s="385"/>
      <c r="AO99" s="385"/>
      <c r="AP99" s="385"/>
      <c r="AQ99" s="385"/>
      <c r="AR99" s="385"/>
      <c r="AS99" s="385"/>
    </row>
    <row r="100" spans="20:45" x14ac:dyDescent="0.25"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5"/>
      <c r="AG100" s="385"/>
      <c r="AH100" s="385"/>
      <c r="AL100" s="385"/>
      <c r="AM100" s="385"/>
      <c r="AN100" s="385"/>
      <c r="AO100" s="385"/>
      <c r="AP100" s="385"/>
      <c r="AQ100" s="385"/>
      <c r="AR100" s="385"/>
      <c r="AS100" s="385"/>
    </row>
    <row r="101" spans="20:45" x14ac:dyDescent="0.25"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5"/>
      <c r="AG101" s="385"/>
      <c r="AH101" s="385"/>
      <c r="AL101" s="385"/>
      <c r="AM101" s="385"/>
      <c r="AN101" s="385"/>
      <c r="AO101" s="385"/>
      <c r="AP101" s="385"/>
      <c r="AQ101" s="385"/>
      <c r="AR101" s="385"/>
      <c r="AS101" s="385"/>
    </row>
    <row r="102" spans="20:45" x14ac:dyDescent="0.25"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5"/>
      <c r="AG102" s="385"/>
      <c r="AH102" s="385"/>
      <c r="AL102" s="385"/>
      <c r="AM102" s="385"/>
      <c r="AN102" s="385"/>
      <c r="AO102" s="385"/>
      <c r="AP102" s="385"/>
      <c r="AQ102" s="385"/>
      <c r="AR102" s="385"/>
      <c r="AS102" s="385"/>
    </row>
    <row r="103" spans="20:45" x14ac:dyDescent="0.25"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L103" s="385"/>
      <c r="AM103" s="385"/>
      <c r="AN103" s="385"/>
      <c r="AO103" s="385"/>
      <c r="AP103" s="385"/>
      <c r="AQ103" s="385"/>
      <c r="AR103" s="385"/>
      <c r="AS103" s="385"/>
    </row>
    <row r="104" spans="20:45" x14ac:dyDescent="0.25"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5"/>
      <c r="AG104" s="385"/>
      <c r="AH104" s="385"/>
      <c r="AL104" s="385"/>
      <c r="AM104" s="385"/>
      <c r="AN104" s="385"/>
      <c r="AO104" s="385"/>
      <c r="AP104" s="385"/>
      <c r="AQ104" s="385"/>
      <c r="AR104" s="385"/>
      <c r="AS104" s="385"/>
    </row>
    <row r="105" spans="20:45" x14ac:dyDescent="0.25"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L105" s="385"/>
      <c r="AM105" s="385"/>
      <c r="AN105" s="385"/>
      <c r="AO105" s="385"/>
      <c r="AP105" s="385"/>
      <c r="AQ105" s="385"/>
      <c r="AR105" s="385"/>
      <c r="AS105" s="385"/>
    </row>
    <row r="106" spans="20:45" x14ac:dyDescent="0.25"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5"/>
      <c r="AG106" s="385"/>
      <c r="AH106" s="385"/>
      <c r="AL106" s="385"/>
      <c r="AM106" s="385"/>
      <c r="AN106" s="385"/>
      <c r="AO106" s="385"/>
      <c r="AP106" s="385"/>
      <c r="AQ106" s="385"/>
      <c r="AR106" s="385"/>
      <c r="AS106" s="385"/>
    </row>
    <row r="107" spans="20:45" x14ac:dyDescent="0.25"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L107" s="385"/>
      <c r="AM107" s="385"/>
      <c r="AN107" s="385"/>
      <c r="AO107" s="385"/>
      <c r="AP107" s="385"/>
      <c r="AQ107" s="385"/>
      <c r="AR107" s="385"/>
      <c r="AS107" s="385"/>
    </row>
    <row r="108" spans="20:45" x14ac:dyDescent="0.25"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5"/>
      <c r="AG108" s="385"/>
      <c r="AH108" s="385"/>
      <c r="AL108" s="385"/>
      <c r="AM108" s="385"/>
      <c r="AN108" s="385"/>
      <c r="AO108" s="385"/>
      <c r="AP108" s="385"/>
      <c r="AQ108" s="385"/>
      <c r="AR108" s="385"/>
      <c r="AS108" s="385"/>
    </row>
    <row r="109" spans="20:45" x14ac:dyDescent="0.25"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5"/>
      <c r="AG109" s="385"/>
      <c r="AH109" s="385"/>
      <c r="AL109" s="385"/>
      <c r="AM109" s="385"/>
      <c r="AN109" s="385"/>
      <c r="AO109" s="385"/>
      <c r="AP109" s="385"/>
      <c r="AQ109" s="385"/>
      <c r="AR109" s="385"/>
      <c r="AS109" s="385"/>
    </row>
    <row r="110" spans="20:45" x14ac:dyDescent="0.25"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5"/>
      <c r="AG110" s="385"/>
      <c r="AH110" s="385"/>
      <c r="AL110" s="385"/>
      <c r="AM110" s="385"/>
      <c r="AN110" s="385"/>
      <c r="AO110" s="385"/>
      <c r="AP110" s="385"/>
      <c r="AQ110" s="385"/>
      <c r="AR110" s="385"/>
      <c r="AS110" s="385"/>
    </row>
    <row r="111" spans="20:45" x14ac:dyDescent="0.25"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L111" s="385"/>
      <c r="AM111" s="385"/>
      <c r="AN111" s="385"/>
      <c r="AO111" s="385"/>
      <c r="AP111" s="385"/>
      <c r="AQ111" s="385"/>
      <c r="AR111" s="385"/>
      <c r="AS111" s="385"/>
    </row>
    <row r="112" spans="20:45" x14ac:dyDescent="0.25"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L112" s="385"/>
      <c r="AM112" s="385"/>
      <c r="AN112" s="385"/>
      <c r="AO112" s="385"/>
      <c r="AP112" s="385"/>
      <c r="AQ112" s="385"/>
      <c r="AR112" s="385"/>
      <c r="AS112" s="385"/>
    </row>
    <row r="113" spans="20:45" x14ac:dyDescent="0.25"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L113" s="385"/>
      <c r="AM113" s="385"/>
      <c r="AN113" s="385"/>
      <c r="AO113" s="385"/>
      <c r="AP113" s="385"/>
      <c r="AQ113" s="385"/>
      <c r="AR113" s="385"/>
      <c r="AS113" s="385"/>
    </row>
    <row r="114" spans="20:45" x14ac:dyDescent="0.25"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L114" s="385"/>
      <c r="AM114" s="385"/>
      <c r="AN114" s="385"/>
      <c r="AO114" s="385"/>
      <c r="AP114" s="385"/>
      <c r="AQ114" s="385"/>
      <c r="AR114" s="385"/>
      <c r="AS114" s="385"/>
    </row>
    <row r="115" spans="20:45" x14ac:dyDescent="0.25"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L115" s="385"/>
      <c r="AM115" s="385"/>
      <c r="AN115" s="385"/>
      <c r="AO115" s="385"/>
      <c r="AP115" s="385"/>
      <c r="AQ115" s="385"/>
      <c r="AR115" s="385"/>
      <c r="AS115" s="385"/>
    </row>
    <row r="116" spans="20:45" x14ac:dyDescent="0.25"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L116" s="385"/>
      <c r="AM116" s="385"/>
      <c r="AN116" s="385"/>
      <c r="AO116" s="385"/>
      <c r="AP116" s="385"/>
      <c r="AQ116" s="385"/>
      <c r="AR116" s="385"/>
      <c r="AS116" s="385"/>
    </row>
    <row r="117" spans="20:45" x14ac:dyDescent="0.25"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5"/>
      <c r="AG117" s="385"/>
      <c r="AH117" s="385"/>
      <c r="AL117" s="385"/>
      <c r="AM117" s="385"/>
      <c r="AN117" s="385"/>
      <c r="AO117" s="385"/>
      <c r="AP117" s="385"/>
      <c r="AQ117" s="385"/>
      <c r="AR117" s="385"/>
      <c r="AS117" s="385"/>
    </row>
    <row r="118" spans="20:45" x14ac:dyDescent="0.25"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5"/>
      <c r="AG118" s="385"/>
      <c r="AH118" s="385"/>
      <c r="AL118" s="385"/>
      <c r="AM118" s="385"/>
      <c r="AN118" s="385"/>
      <c r="AO118" s="385"/>
      <c r="AP118" s="385"/>
      <c r="AQ118" s="385"/>
      <c r="AR118" s="385"/>
      <c r="AS118" s="385"/>
    </row>
    <row r="119" spans="20:45" x14ac:dyDescent="0.25"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5"/>
      <c r="AG119" s="385"/>
      <c r="AH119" s="385"/>
      <c r="AL119" s="385"/>
      <c r="AM119" s="385"/>
      <c r="AN119" s="385"/>
      <c r="AO119" s="385"/>
      <c r="AP119" s="385"/>
      <c r="AQ119" s="385"/>
      <c r="AR119" s="385"/>
      <c r="AS119" s="385"/>
    </row>
    <row r="120" spans="20:45" x14ac:dyDescent="0.25"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  <c r="AG120" s="385"/>
      <c r="AH120" s="385"/>
      <c r="AL120" s="385"/>
      <c r="AM120" s="385"/>
      <c r="AN120" s="385"/>
      <c r="AO120" s="385"/>
      <c r="AP120" s="385"/>
      <c r="AQ120" s="385"/>
      <c r="AR120" s="385"/>
      <c r="AS120" s="385"/>
    </row>
    <row r="121" spans="20:45" x14ac:dyDescent="0.25"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L121" s="385"/>
      <c r="AM121" s="385"/>
      <c r="AN121" s="385"/>
      <c r="AO121" s="385"/>
      <c r="AP121" s="385"/>
      <c r="AQ121" s="385"/>
      <c r="AR121" s="385"/>
      <c r="AS121" s="385"/>
    </row>
    <row r="122" spans="20:45" x14ac:dyDescent="0.25"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L122" s="385"/>
      <c r="AM122" s="385"/>
      <c r="AN122" s="385"/>
      <c r="AO122" s="385"/>
      <c r="AP122" s="385"/>
      <c r="AQ122" s="385"/>
      <c r="AR122" s="385"/>
      <c r="AS122" s="385"/>
    </row>
    <row r="123" spans="20:45" x14ac:dyDescent="0.25"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L123" s="385"/>
      <c r="AM123" s="385"/>
      <c r="AN123" s="385"/>
      <c r="AO123" s="385"/>
      <c r="AP123" s="385"/>
      <c r="AQ123" s="385"/>
      <c r="AR123" s="385"/>
      <c r="AS123" s="385"/>
    </row>
    <row r="124" spans="20:45" x14ac:dyDescent="0.25"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L124" s="385"/>
      <c r="AM124" s="385"/>
      <c r="AN124" s="385"/>
      <c r="AO124" s="385"/>
      <c r="AP124" s="385"/>
      <c r="AQ124" s="385"/>
      <c r="AR124" s="385"/>
      <c r="AS124" s="385"/>
    </row>
    <row r="125" spans="20:45" x14ac:dyDescent="0.25"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L125" s="385"/>
      <c r="AM125" s="385"/>
      <c r="AN125" s="385"/>
      <c r="AO125" s="385"/>
      <c r="AP125" s="385"/>
      <c r="AQ125" s="385"/>
      <c r="AR125" s="385"/>
      <c r="AS125" s="385"/>
    </row>
    <row r="126" spans="20:45" x14ac:dyDescent="0.25"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L126" s="385"/>
      <c r="AM126" s="385"/>
      <c r="AN126" s="385"/>
      <c r="AO126" s="385"/>
      <c r="AP126" s="385"/>
      <c r="AQ126" s="385"/>
      <c r="AR126" s="385"/>
      <c r="AS126" s="385"/>
    </row>
    <row r="127" spans="20:45" x14ac:dyDescent="0.25"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5"/>
      <c r="AG127" s="385"/>
      <c r="AH127" s="385"/>
      <c r="AL127" s="385"/>
      <c r="AM127" s="385"/>
      <c r="AN127" s="385"/>
      <c r="AO127" s="385"/>
      <c r="AP127" s="385"/>
      <c r="AQ127" s="385"/>
      <c r="AR127" s="385"/>
      <c r="AS127" s="385"/>
    </row>
    <row r="128" spans="20:45" x14ac:dyDescent="0.25"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5"/>
      <c r="AG128" s="385"/>
      <c r="AH128" s="385"/>
      <c r="AL128" s="385"/>
      <c r="AM128" s="385"/>
      <c r="AN128" s="385"/>
      <c r="AO128" s="385"/>
      <c r="AP128" s="385"/>
      <c r="AQ128" s="385"/>
      <c r="AR128" s="385"/>
      <c r="AS128" s="385"/>
    </row>
    <row r="129" spans="20:45" x14ac:dyDescent="0.25"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L129" s="385"/>
      <c r="AM129" s="385"/>
      <c r="AN129" s="385"/>
      <c r="AO129" s="385"/>
      <c r="AP129" s="385"/>
      <c r="AQ129" s="385"/>
      <c r="AR129" s="385"/>
      <c r="AS129" s="385"/>
    </row>
    <row r="130" spans="20:45" x14ac:dyDescent="0.25"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5"/>
      <c r="AG130" s="385"/>
      <c r="AH130" s="385"/>
      <c r="AL130" s="385"/>
      <c r="AM130" s="385"/>
      <c r="AN130" s="385"/>
      <c r="AO130" s="385"/>
      <c r="AP130" s="385"/>
      <c r="AQ130" s="385"/>
      <c r="AR130" s="385"/>
      <c r="AS130" s="385"/>
    </row>
    <row r="131" spans="20:45" x14ac:dyDescent="0.25"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L131" s="385"/>
      <c r="AM131" s="385"/>
      <c r="AN131" s="385"/>
      <c r="AO131" s="385"/>
      <c r="AP131" s="385"/>
      <c r="AQ131" s="385"/>
      <c r="AR131" s="385"/>
      <c r="AS131" s="385"/>
    </row>
    <row r="132" spans="20:45" x14ac:dyDescent="0.25"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5"/>
      <c r="AG132" s="385"/>
      <c r="AH132" s="385"/>
      <c r="AL132" s="385"/>
      <c r="AM132" s="385"/>
      <c r="AN132" s="385"/>
      <c r="AO132" s="385"/>
      <c r="AP132" s="385"/>
      <c r="AQ132" s="385"/>
      <c r="AR132" s="385"/>
      <c r="AS132" s="385"/>
    </row>
    <row r="133" spans="20:45" x14ac:dyDescent="0.25"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5"/>
      <c r="AG133" s="385"/>
      <c r="AH133" s="385"/>
      <c r="AL133" s="385"/>
      <c r="AM133" s="385"/>
      <c r="AN133" s="385"/>
      <c r="AO133" s="385"/>
      <c r="AP133" s="385"/>
      <c r="AQ133" s="385"/>
      <c r="AR133" s="385"/>
      <c r="AS133" s="385"/>
    </row>
    <row r="134" spans="20:45" x14ac:dyDescent="0.25"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5"/>
      <c r="AG134" s="385"/>
      <c r="AH134" s="385"/>
      <c r="AL134" s="385"/>
      <c r="AM134" s="385"/>
      <c r="AN134" s="385"/>
      <c r="AO134" s="385"/>
      <c r="AP134" s="385"/>
      <c r="AQ134" s="385"/>
      <c r="AR134" s="385"/>
      <c r="AS134" s="385"/>
    </row>
    <row r="135" spans="20:45" x14ac:dyDescent="0.25"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5"/>
      <c r="AG135" s="385"/>
      <c r="AH135" s="385"/>
      <c r="AL135" s="385"/>
      <c r="AM135" s="385"/>
      <c r="AN135" s="385"/>
      <c r="AO135" s="385"/>
      <c r="AP135" s="385"/>
      <c r="AQ135" s="385"/>
      <c r="AR135" s="385"/>
      <c r="AS135" s="385"/>
    </row>
    <row r="136" spans="20:45" x14ac:dyDescent="0.25"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/>
      <c r="AG136" s="385"/>
      <c r="AH136" s="385"/>
      <c r="AL136" s="385"/>
      <c r="AM136" s="385"/>
      <c r="AN136" s="385"/>
      <c r="AO136" s="385"/>
      <c r="AP136" s="385"/>
      <c r="AQ136" s="385"/>
      <c r="AR136" s="385"/>
      <c r="AS136" s="385"/>
    </row>
    <row r="137" spans="20:45" x14ac:dyDescent="0.25"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5"/>
      <c r="AG137" s="385"/>
      <c r="AH137" s="385"/>
      <c r="AL137" s="385"/>
      <c r="AM137" s="385"/>
      <c r="AN137" s="385"/>
      <c r="AO137" s="385"/>
      <c r="AP137" s="385"/>
      <c r="AQ137" s="385"/>
      <c r="AR137" s="385"/>
      <c r="AS137" s="385"/>
    </row>
    <row r="138" spans="20:45" x14ac:dyDescent="0.25"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5"/>
      <c r="AG138" s="385"/>
      <c r="AH138" s="385"/>
      <c r="AL138" s="385"/>
      <c r="AM138" s="385"/>
      <c r="AN138" s="385"/>
      <c r="AO138" s="385"/>
      <c r="AP138" s="385"/>
      <c r="AQ138" s="385"/>
      <c r="AR138" s="385"/>
      <c r="AS138" s="385"/>
    </row>
    <row r="139" spans="20:45" x14ac:dyDescent="0.25"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5"/>
      <c r="AG139" s="385"/>
      <c r="AH139" s="385"/>
      <c r="AL139" s="385"/>
      <c r="AM139" s="385"/>
      <c r="AN139" s="385"/>
      <c r="AO139" s="385"/>
      <c r="AP139" s="385"/>
      <c r="AQ139" s="385"/>
      <c r="AR139" s="385"/>
      <c r="AS139" s="385"/>
    </row>
    <row r="140" spans="20:45" x14ac:dyDescent="0.25"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L140" s="385"/>
      <c r="AM140" s="385"/>
      <c r="AN140" s="385"/>
      <c r="AO140" s="385"/>
      <c r="AP140" s="385"/>
      <c r="AQ140" s="385"/>
      <c r="AR140" s="385"/>
      <c r="AS140" s="385"/>
    </row>
  </sheetData>
  <mergeCells count="1">
    <mergeCell ref="A4:C4"/>
  </mergeCells>
  <conditionalFormatting sqref="B22 B24 B26 B28 B30 B32 B34 B36 B38 B40 B42 B44 B46 B48 B50 B52">
    <cfRule type="cellIs" dxfId="104" priority="13" stopIfTrue="1" operator="equal">
      <formula>"QA"</formula>
    </cfRule>
    <cfRule type="cellIs" dxfId="103" priority="14" stopIfTrue="1" operator="equal">
      <formula>"DA"</formula>
    </cfRule>
  </conditionalFormatting>
  <conditionalFormatting sqref="E7 E21">
    <cfRule type="expression" dxfId="102" priority="16" stopIfTrue="1">
      <formula>$E7&lt;5</formula>
    </cfRule>
  </conditionalFormatting>
  <conditionalFormatting sqref="E22 E24 E26 E28 E30 E32 E34 E36 E38 E40 E42 E44 E46 E48 E50 E52">
    <cfRule type="expression" dxfId="101" priority="8" stopIfTrue="1">
      <formula>AND($E22&lt;9,$C22&gt;0)</formula>
    </cfRule>
  </conditionalFormatting>
  <conditionalFormatting sqref="F7 F9 F11 F13 F15 F17 F19">
    <cfRule type="cellIs" dxfId="100" priority="17" stopIfTrue="1" operator="equal">
      <formula>"Bye"</formula>
    </cfRule>
  </conditionalFormatting>
  <conditionalFormatting sqref="F21:F22 F24 F26 F28 F30 F32 F34 F36 F38 F40 F42 F44 F46 F48 F50">
    <cfRule type="cellIs" dxfId="99" priority="9" stopIfTrue="1" operator="equal">
      <formula>"Bye"</formula>
    </cfRule>
  </conditionalFormatting>
  <conditionalFormatting sqref="F22 F24 F26 F28 F30 F32 F34 F36 F38 F40 F42 F44 F46 F48 F50">
    <cfRule type="expression" dxfId="98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97" priority="4" stopIfTrue="1">
      <formula>AND($E7&lt;9,$C7&gt;0)</formula>
    </cfRule>
  </conditionalFormatting>
  <conditionalFormatting sqref="I8 K10 I12 M14 I16 K18 I20 I23 K25 I27 M29 I31 K33 I35 I39 K41 I43 M45 I47 K49 I51">
    <cfRule type="expression" dxfId="96" priority="5" stopIfTrue="1">
      <formula>AND($O$1="CU",I8="Umpire")</formula>
    </cfRule>
    <cfRule type="expression" dxfId="95" priority="6" stopIfTrue="1">
      <formula>AND($O$1="CU",I8&lt;&gt;"Umpire",J8&lt;&gt;"")</formula>
    </cfRule>
    <cfRule type="expression" dxfId="94" priority="7" stopIfTrue="1">
      <formula>AND($O$1="CU",I8&lt;&gt;"Umpire")</formula>
    </cfRule>
  </conditionalFormatting>
  <conditionalFormatting sqref="J8 L10 J12 N14 J16 L18 J20 R62">
    <cfRule type="expression" dxfId="93" priority="15" stopIfTrue="1">
      <formula>$O$1="CU"</formula>
    </cfRule>
  </conditionalFormatting>
  <conditionalFormatting sqref="K8 M10 K12 O14 K16 M18 K20 K23 M25 K27 O29 K31 M33 K35 K39 M41 K43 O45 K47 M49 K51">
    <cfRule type="expression" dxfId="92" priority="11" stopIfTrue="1">
      <formula>J8="as"</formula>
    </cfRule>
    <cfRule type="expression" dxfId="91" priority="12" stopIfTrue="1">
      <formula>J8="bs"</formula>
    </cfRule>
  </conditionalFormatting>
  <conditionalFormatting sqref="O16">
    <cfRule type="expression" dxfId="90" priority="1" stopIfTrue="1">
      <formula>AND($O$1="CU",O16="Umpire")</formula>
    </cfRule>
    <cfRule type="expression" dxfId="89" priority="2" stopIfTrue="1">
      <formula>AND($O$1="CU",O16&lt;&gt;"Umpire",P16&lt;&gt;"")</formula>
    </cfRule>
    <cfRule type="expression" dxfId="88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3754393C-A36B-482F-8AEC-8DC81909E034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01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15240</xdr:rowOff>
                  </from>
                  <to>
                    <xdr:col>14</xdr:col>
                    <xdr:colOff>365760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02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175260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F8CEE-0B79-4ABD-9BC4-AE6D198DCE0D}">
  <sheetPr>
    <tabColor indexed="11"/>
  </sheetPr>
  <dimension ref="A1:AJ47"/>
  <sheetViews>
    <sheetView workbookViewId="0">
      <selection activeCell="G15" sqref="G15"/>
    </sheetView>
  </sheetViews>
  <sheetFormatPr defaultColWidth="8.77734375" defaultRowHeight="13.2" x14ac:dyDescent="0.25"/>
  <cols>
    <col min="1" max="1" width="6.109375" style="303" customWidth="1"/>
    <col min="2" max="2" width="4.44140625" style="303" customWidth="1"/>
    <col min="3" max="3" width="8.33203125" style="303" customWidth="1"/>
    <col min="4" max="4" width="7.109375" style="303" customWidth="1"/>
    <col min="5" max="5" width="9.33203125" style="303" customWidth="1"/>
    <col min="6" max="6" width="7.109375" style="303" customWidth="1"/>
    <col min="7" max="7" width="9.33203125" style="303" customWidth="1"/>
    <col min="8" max="8" width="7.109375" style="303" customWidth="1"/>
    <col min="9" max="9" width="9.33203125" style="303" customWidth="1"/>
    <col min="10" max="10" width="7.77734375" style="303" customWidth="1"/>
    <col min="11" max="13" width="8.44140625" style="303" customWidth="1"/>
    <col min="14" max="14" width="8.77734375" style="303"/>
    <col min="15" max="15" width="7.44140625" style="303" customWidth="1"/>
    <col min="16" max="16" width="8.44140625" style="303" customWidth="1"/>
    <col min="17" max="17" width="6.44140625" style="303" customWidth="1"/>
    <col min="18" max="20" width="8.44140625" style="303" customWidth="1"/>
    <col min="21" max="23" width="8.77734375" style="303"/>
    <col min="24" max="36" width="0" style="303" hidden="1" customWidth="1"/>
    <col min="37" max="16384" width="8.77734375" style="303"/>
  </cols>
  <sheetData>
    <row r="1" spans="1:36" ht="24.6" x14ac:dyDescent="0.25">
      <c r="A1" s="475" t="str">
        <f>[7]Altalanos!$A$6</f>
        <v>OB</v>
      </c>
      <c r="B1" s="475"/>
      <c r="C1" s="475"/>
      <c r="D1" s="475"/>
      <c r="E1" s="475"/>
      <c r="F1" s="475"/>
      <c r="G1" s="218"/>
      <c r="H1" s="221" t="s">
        <v>39</v>
      </c>
      <c r="I1" s="219"/>
      <c r="J1" s="220"/>
      <c r="L1" s="222"/>
      <c r="M1" s="223"/>
      <c r="N1" s="389"/>
      <c r="O1" s="389" t="s">
        <v>12</v>
      </c>
      <c r="P1" s="387"/>
      <c r="Q1" s="389"/>
      <c r="AA1" s="226" t="e">
        <f>IF(X5=1,CONCATENATE(VLOOKUP(X3,Z16:AG27,2)),CONCATENATE(VLOOKUP(X3,Z2:AJ13,2)))</f>
        <v>#N/A</v>
      </c>
      <c r="AB1" s="226" t="e">
        <f>IF(X5=1,CONCATENATE(VLOOKUP(X3,Z16:AJ27,3)),CONCATENATE(VLOOKUP(X3,Z2:AJ13,3)))</f>
        <v>#N/A</v>
      </c>
      <c r="AC1" s="226" t="e">
        <f>IF(X5=1,CONCATENATE(VLOOKUP(X3,Z16:AJ27,4)),CONCATENATE(VLOOKUP(X3,Z2:AJ13,4)))</f>
        <v>#N/A</v>
      </c>
      <c r="AD1" s="226" t="e">
        <f>IF(X5=1,CONCATENATE(VLOOKUP(X3,Z16:AJ27,5)),CONCATENATE(VLOOKUP(X3,Z2:AJ13,5)))</f>
        <v>#N/A</v>
      </c>
      <c r="AE1" s="226" t="e">
        <f>IF(X5=1,CONCATENATE(VLOOKUP(X3,Z16:AJ27,6)),CONCATENATE(VLOOKUP(X3,Z2:AJ13,6)))</f>
        <v>#N/A</v>
      </c>
      <c r="AF1" s="226" t="e">
        <f>IF(X5=1,CONCATENATE(VLOOKUP(X3,Z16:AJ27,7)),CONCATENATE(VLOOKUP(X3,Z2:AJ13,7)))</f>
        <v>#N/A</v>
      </c>
      <c r="AG1" s="226" t="e">
        <f>IF(X5=1,CONCATENATE(VLOOKUP(X3,Z16:AJ27,8)),CONCATENATE(VLOOKUP(X3,Z2:AJ13,8)))</f>
        <v>#N/A</v>
      </c>
      <c r="AH1" s="226" t="e">
        <f>IF(X5=1,CONCATENATE(VLOOKUP(X3,Z16:AJ27,9)),CONCATENATE(VLOOKUP(X3,Z2:AJ13,9)))</f>
        <v>#N/A</v>
      </c>
      <c r="AI1" s="226" t="e">
        <f>IF(X5=1,CONCATENATE(VLOOKUP(X3,Z16:AJ27,10)),CONCATENATE(VLOOKUP(X3,Z2:AJ13,10)))</f>
        <v>#N/A</v>
      </c>
      <c r="AJ1" s="226" t="e">
        <f>IF(X5=1,CONCATENATE(VLOOKUP(X3,Z16:AJ27,11)),CONCATENATE(VLOOKUP(X3,Z2:AJ13,11)))</f>
        <v>#N/A</v>
      </c>
    </row>
    <row r="2" spans="1:36" x14ac:dyDescent="0.25">
      <c r="A2" s="228" t="s">
        <v>38</v>
      </c>
      <c r="B2" s="229"/>
      <c r="C2" s="229"/>
      <c r="D2" s="229"/>
      <c r="E2" s="229">
        <f>[7]Altalanos!$A$8</f>
        <v>0</v>
      </c>
      <c r="F2" s="229"/>
      <c r="G2" s="230"/>
      <c r="H2" s="231"/>
      <c r="I2" s="231"/>
      <c r="J2" s="232"/>
      <c r="K2" s="222"/>
      <c r="L2" s="222"/>
      <c r="M2" s="222"/>
      <c r="N2" s="397"/>
      <c r="O2" s="396"/>
      <c r="P2" s="396"/>
      <c r="Q2" s="397"/>
      <c r="X2" s="235"/>
      <c r="Y2" s="236"/>
      <c r="Z2" s="236" t="s">
        <v>52</v>
      </c>
      <c r="AA2" s="237">
        <v>150</v>
      </c>
      <c r="AB2" s="237">
        <v>120</v>
      </c>
      <c r="AC2" s="237">
        <v>100</v>
      </c>
      <c r="AD2" s="237">
        <v>80</v>
      </c>
      <c r="AE2" s="237">
        <v>70</v>
      </c>
      <c r="AF2" s="237">
        <v>60</v>
      </c>
      <c r="AG2" s="237">
        <v>55</v>
      </c>
      <c r="AH2" s="237">
        <v>50</v>
      </c>
      <c r="AI2" s="237">
        <v>45</v>
      </c>
      <c r="AJ2" s="237">
        <v>40</v>
      </c>
    </row>
    <row r="3" spans="1:36" x14ac:dyDescent="0.25">
      <c r="A3" s="238" t="s">
        <v>20</v>
      </c>
      <c r="B3" s="238"/>
      <c r="C3" s="238"/>
      <c r="D3" s="238"/>
      <c r="E3" s="238" t="s">
        <v>17</v>
      </c>
      <c r="F3" s="238"/>
      <c r="G3" s="238"/>
      <c r="H3" s="238" t="s">
        <v>25</v>
      </c>
      <c r="I3" s="238"/>
      <c r="J3" s="239"/>
      <c r="K3" s="238"/>
      <c r="L3" s="240" t="s">
        <v>26</v>
      </c>
      <c r="M3" s="238"/>
      <c r="N3" s="476"/>
      <c r="O3" s="477"/>
      <c r="X3" s="236">
        <f>IF(H4="OB","A",IF(H4="IX","W",H4))</f>
        <v>0</v>
      </c>
      <c r="Y3" s="236"/>
      <c r="Z3" s="236" t="s">
        <v>82</v>
      </c>
      <c r="AA3" s="237">
        <v>120</v>
      </c>
      <c r="AB3" s="237">
        <v>90</v>
      </c>
      <c r="AC3" s="237">
        <v>65</v>
      </c>
      <c r="AD3" s="237">
        <v>55</v>
      </c>
      <c r="AE3" s="237">
        <v>50</v>
      </c>
      <c r="AF3" s="237">
        <v>45</v>
      </c>
      <c r="AG3" s="237">
        <v>40</v>
      </c>
      <c r="AH3" s="237">
        <v>35</v>
      </c>
      <c r="AI3" s="237">
        <v>25</v>
      </c>
      <c r="AJ3" s="237">
        <v>20</v>
      </c>
    </row>
    <row r="4" spans="1:36" ht="13.8" thickBot="1" x14ac:dyDescent="0.3">
      <c r="A4" s="243">
        <f>[7]Altalanos!$A$10</f>
        <v>0</v>
      </c>
      <c r="B4" s="243"/>
      <c r="C4" s="243"/>
      <c r="D4" s="244"/>
      <c r="E4" s="245">
        <f>[7]Altalanos!$C$10</f>
        <v>0</v>
      </c>
      <c r="F4" s="245"/>
      <c r="G4" s="245"/>
      <c r="H4" s="137"/>
      <c r="I4" s="245"/>
      <c r="J4" s="247"/>
      <c r="K4" s="137"/>
      <c r="L4" s="249">
        <f>[7]Altalanos!$E$10</f>
        <v>0</v>
      </c>
      <c r="M4" s="137"/>
      <c r="N4" s="478"/>
      <c r="O4" s="479"/>
      <c r="X4" s="236"/>
      <c r="Y4" s="236"/>
      <c r="Z4" s="236" t="s">
        <v>83</v>
      </c>
      <c r="AA4" s="237">
        <v>90</v>
      </c>
      <c r="AB4" s="237">
        <v>60</v>
      </c>
      <c r="AC4" s="237">
        <v>45</v>
      </c>
      <c r="AD4" s="237">
        <v>34</v>
      </c>
      <c r="AE4" s="237">
        <v>27</v>
      </c>
      <c r="AF4" s="237">
        <v>22</v>
      </c>
      <c r="AG4" s="237">
        <v>18</v>
      </c>
      <c r="AH4" s="237">
        <v>15</v>
      </c>
      <c r="AI4" s="237">
        <v>12</v>
      </c>
      <c r="AJ4" s="237">
        <v>9</v>
      </c>
    </row>
    <row r="5" spans="1:36" x14ac:dyDescent="0.25">
      <c r="A5" s="480"/>
      <c r="B5" s="480" t="s">
        <v>37</v>
      </c>
      <c r="C5" s="481" t="s">
        <v>50</v>
      </c>
      <c r="D5" s="480" t="s">
        <v>32</v>
      </c>
      <c r="E5" s="480" t="s">
        <v>55</v>
      </c>
      <c r="F5" s="480"/>
      <c r="G5" s="480" t="s">
        <v>24</v>
      </c>
      <c r="H5" s="480"/>
      <c r="I5" s="480" t="s">
        <v>27</v>
      </c>
      <c r="J5" s="480"/>
      <c r="K5" s="482" t="s">
        <v>56</v>
      </c>
      <c r="L5" s="482" t="s">
        <v>57</v>
      </c>
      <c r="M5" s="482" t="s">
        <v>58</v>
      </c>
      <c r="N5" s="483" t="s">
        <v>66</v>
      </c>
      <c r="O5" s="237" t="s">
        <v>72</v>
      </c>
      <c r="P5" s="483" t="s">
        <v>66</v>
      </c>
      <c r="Q5" s="237" t="s">
        <v>101</v>
      </c>
      <c r="X5" s="236">
        <f>IF(OR([7]Altalanos!$A$8="F1",[7]Altalanos!$A$8="F2",[7]Altalanos!$A$8="N1",[7]Altalanos!$A$8="N2"),1,2)</f>
        <v>2</v>
      </c>
      <c r="Y5" s="236"/>
      <c r="Z5" s="236" t="s">
        <v>84</v>
      </c>
      <c r="AA5" s="237">
        <v>60</v>
      </c>
      <c r="AB5" s="237">
        <v>40</v>
      </c>
      <c r="AC5" s="237">
        <v>30</v>
      </c>
      <c r="AD5" s="237">
        <v>20</v>
      </c>
      <c r="AE5" s="237">
        <v>18</v>
      </c>
      <c r="AF5" s="237">
        <v>15</v>
      </c>
      <c r="AG5" s="237">
        <v>12</v>
      </c>
      <c r="AH5" s="237">
        <v>10</v>
      </c>
      <c r="AI5" s="237">
        <v>8</v>
      </c>
      <c r="AJ5" s="237">
        <v>6</v>
      </c>
    </row>
    <row r="6" spans="1:36" x14ac:dyDescent="0.25">
      <c r="A6" s="385"/>
      <c r="B6" s="385"/>
      <c r="C6" s="234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484" t="s">
        <v>73</v>
      </c>
      <c r="O6" s="485" t="s">
        <v>68</v>
      </c>
      <c r="P6" s="484" t="s">
        <v>73</v>
      </c>
      <c r="Q6" s="485" t="s">
        <v>102</v>
      </c>
      <c r="X6" s="236"/>
      <c r="Y6" s="236"/>
      <c r="Z6" s="236" t="s">
        <v>85</v>
      </c>
      <c r="AA6" s="237">
        <v>40</v>
      </c>
      <c r="AB6" s="237">
        <v>25</v>
      </c>
      <c r="AC6" s="237">
        <v>18</v>
      </c>
      <c r="AD6" s="237">
        <v>13</v>
      </c>
      <c r="AE6" s="237">
        <v>10</v>
      </c>
      <c r="AF6" s="237">
        <v>8</v>
      </c>
      <c r="AG6" s="237">
        <v>6</v>
      </c>
      <c r="AH6" s="237">
        <v>5</v>
      </c>
      <c r="AI6" s="237">
        <v>4</v>
      </c>
      <c r="AJ6" s="237">
        <v>3</v>
      </c>
    </row>
    <row r="7" spans="1:36" x14ac:dyDescent="0.25">
      <c r="A7" s="486" t="s">
        <v>52</v>
      </c>
      <c r="B7" s="487"/>
      <c r="C7" s="271" t="str">
        <f>IF($B7="","",VLOOKUP($B7,'[7]1MD ELO'!$A$7:$O$22,5))</f>
        <v/>
      </c>
      <c r="D7" s="271" t="str">
        <f>IF($B7="","",VLOOKUP($B7,'[7]1MD ELO'!$A$7:$O$22,15))</f>
        <v/>
      </c>
      <c r="E7" s="312" t="s">
        <v>188</v>
      </c>
      <c r="F7" s="488"/>
      <c r="G7" s="312" t="str">
        <f>IF($B7="","",VLOOKUP($B7,'[7]1MD ELO'!$A$7:$O$22,3))</f>
        <v/>
      </c>
      <c r="H7" s="488"/>
      <c r="I7" s="303" t="s">
        <v>112</v>
      </c>
      <c r="J7" s="385"/>
      <c r="K7" s="489">
        <v>2</v>
      </c>
      <c r="L7" s="490" t="e">
        <f>IF(K7="","",CONCATENATE(VLOOKUP($X$3,$AA$1:$AJ$1,K7)," pont"))</f>
        <v>#N/A</v>
      </c>
      <c r="M7" s="491"/>
      <c r="N7" s="492" t="s">
        <v>74</v>
      </c>
      <c r="O7" s="493" t="s">
        <v>70</v>
      </c>
      <c r="P7" s="492" t="s">
        <v>74</v>
      </c>
      <c r="Q7" s="493" t="s">
        <v>78</v>
      </c>
      <c r="X7" s="236"/>
      <c r="Y7" s="236"/>
      <c r="Z7" s="236" t="s">
        <v>86</v>
      </c>
      <c r="AA7" s="237">
        <v>25</v>
      </c>
      <c r="AB7" s="237">
        <v>15</v>
      </c>
      <c r="AC7" s="237">
        <v>13</v>
      </c>
      <c r="AD7" s="237">
        <v>8</v>
      </c>
      <c r="AE7" s="237">
        <v>6</v>
      </c>
      <c r="AF7" s="237">
        <v>4</v>
      </c>
      <c r="AG7" s="237">
        <v>3</v>
      </c>
      <c r="AH7" s="237">
        <v>2</v>
      </c>
      <c r="AI7" s="237">
        <v>1</v>
      </c>
      <c r="AJ7" s="237">
        <v>0</v>
      </c>
    </row>
    <row r="8" spans="1:36" x14ac:dyDescent="0.25">
      <c r="A8" s="494"/>
      <c r="B8" s="495"/>
      <c r="C8" s="385"/>
      <c r="D8" s="385"/>
      <c r="E8" s="385"/>
      <c r="F8" s="385"/>
      <c r="G8" s="385"/>
      <c r="H8" s="385"/>
      <c r="I8" s="385"/>
      <c r="J8" s="385"/>
      <c r="K8" s="494"/>
      <c r="L8" s="494"/>
      <c r="M8" s="496"/>
      <c r="X8" s="236"/>
      <c r="Y8" s="236"/>
      <c r="Z8" s="236" t="s">
        <v>87</v>
      </c>
      <c r="AA8" s="237">
        <v>15</v>
      </c>
      <c r="AB8" s="237">
        <v>10</v>
      </c>
      <c r="AC8" s="237">
        <v>7</v>
      </c>
      <c r="AD8" s="237">
        <v>5</v>
      </c>
      <c r="AE8" s="237">
        <v>4</v>
      </c>
      <c r="AF8" s="237">
        <v>3</v>
      </c>
      <c r="AG8" s="237">
        <v>2</v>
      </c>
      <c r="AH8" s="237">
        <v>1</v>
      </c>
      <c r="AI8" s="237">
        <v>0</v>
      </c>
      <c r="AJ8" s="237">
        <v>0</v>
      </c>
    </row>
    <row r="9" spans="1:36" x14ac:dyDescent="0.25">
      <c r="A9" s="494" t="s">
        <v>53</v>
      </c>
      <c r="B9" s="497"/>
      <c r="C9" s="271" t="str">
        <f>IF($B9="","",VLOOKUP($B9,'[7]1MD ELO'!$A$7:$O$22,5))</f>
        <v/>
      </c>
      <c r="D9" s="271" t="str">
        <f>IF($B9="","",VLOOKUP($B9,'[7]1MD ELO'!$A$7:$O$22,15))</f>
        <v/>
      </c>
      <c r="E9" s="294" t="s">
        <v>189</v>
      </c>
      <c r="F9" s="498"/>
      <c r="G9" s="294" t="str">
        <f>IF($B9="","",VLOOKUP($B9,'[7]1MD ELO'!$A$7:$O$22,3))</f>
        <v/>
      </c>
      <c r="H9" s="498"/>
      <c r="I9" s="303" t="s">
        <v>112</v>
      </c>
      <c r="J9" s="385"/>
      <c r="K9" s="489"/>
      <c r="L9" s="490" t="str">
        <f>IF(K9="","",CONCATENATE(VLOOKUP($X$3,$AA$1:$AJ$1,K9)," pont"))</f>
        <v/>
      </c>
      <c r="M9" s="491"/>
      <c r="X9" s="236"/>
      <c r="Y9" s="236"/>
      <c r="Z9" s="236" t="s">
        <v>88</v>
      </c>
      <c r="AA9" s="237">
        <v>10</v>
      </c>
      <c r="AB9" s="237">
        <v>6</v>
      </c>
      <c r="AC9" s="237">
        <v>4</v>
      </c>
      <c r="AD9" s="237">
        <v>2</v>
      </c>
      <c r="AE9" s="237">
        <v>1</v>
      </c>
      <c r="AF9" s="237">
        <v>0</v>
      </c>
      <c r="AG9" s="237">
        <v>0</v>
      </c>
      <c r="AH9" s="237">
        <v>0</v>
      </c>
      <c r="AI9" s="237">
        <v>0</v>
      </c>
      <c r="AJ9" s="237">
        <v>0</v>
      </c>
    </row>
    <row r="10" spans="1:36" x14ac:dyDescent="0.25">
      <c r="A10" s="494"/>
      <c r="B10" s="495"/>
      <c r="C10" s="385"/>
      <c r="D10" s="385"/>
      <c r="E10" s="385"/>
      <c r="F10" s="385"/>
      <c r="G10" s="385"/>
      <c r="H10" s="385"/>
      <c r="J10" s="385"/>
      <c r="K10" s="494"/>
      <c r="L10" s="494"/>
      <c r="M10" s="496"/>
      <c r="X10" s="236"/>
      <c r="Y10" s="236"/>
      <c r="Z10" s="236" t="s">
        <v>89</v>
      </c>
      <c r="AA10" s="237">
        <v>6</v>
      </c>
      <c r="AB10" s="237">
        <v>3</v>
      </c>
      <c r="AC10" s="237">
        <v>2</v>
      </c>
      <c r="AD10" s="237">
        <v>1</v>
      </c>
      <c r="AE10" s="237">
        <v>0</v>
      </c>
      <c r="AF10" s="237">
        <v>0</v>
      </c>
      <c r="AG10" s="237">
        <v>0</v>
      </c>
      <c r="AH10" s="237">
        <v>0</v>
      </c>
      <c r="AI10" s="237">
        <v>0</v>
      </c>
      <c r="AJ10" s="237">
        <v>0</v>
      </c>
    </row>
    <row r="11" spans="1:36" x14ac:dyDescent="0.25">
      <c r="A11" s="494" t="s">
        <v>54</v>
      </c>
      <c r="B11" s="497"/>
      <c r="C11" s="271" t="str">
        <f>IF($B11="","",VLOOKUP($B11,'[7]1MD ELO'!$A$7:$O$22,5))</f>
        <v/>
      </c>
      <c r="D11" s="271" t="str">
        <f>IF($B11="","",VLOOKUP($B11,'[7]1MD ELO'!$A$7:$O$22,15))</f>
        <v/>
      </c>
      <c r="E11" s="294" t="s">
        <v>190</v>
      </c>
      <c r="F11" s="498"/>
      <c r="G11" s="294" t="str">
        <f>IF($B11="","",VLOOKUP($B11,'[7]1MD ELO'!$A$7:$O$22,3))</f>
        <v/>
      </c>
      <c r="H11" s="498"/>
      <c r="I11" s="303" t="s">
        <v>112</v>
      </c>
      <c r="J11" s="385"/>
      <c r="K11" s="489"/>
      <c r="L11" s="490" t="str">
        <f>IF(K11="","",CONCATENATE(VLOOKUP($X$3,$AA$1:$AJ$1,K11)," pont"))</f>
        <v/>
      </c>
      <c r="M11" s="491"/>
      <c r="X11" s="236"/>
      <c r="Y11" s="236"/>
      <c r="Z11" s="236" t="s">
        <v>94</v>
      </c>
      <c r="AA11" s="237">
        <v>3</v>
      </c>
      <c r="AB11" s="237">
        <v>2</v>
      </c>
      <c r="AC11" s="237">
        <v>1</v>
      </c>
      <c r="AD11" s="237">
        <v>0</v>
      </c>
      <c r="AE11" s="237">
        <v>0</v>
      </c>
      <c r="AF11" s="237">
        <v>0</v>
      </c>
      <c r="AG11" s="237">
        <v>0</v>
      </c>
      <c r="AH11" s="237">
        <v>0</v>
      </c>
      <c r="AI11" s="237">
        <v>0</v>
      </c>
      <c r="AJ11" s="237">
        <v>0</v>
      </c>
    </row>
    <row r="12" spans="1:36" x14ac:dyDescent="0.25">
      <c r="A12" s="385"/>
      <c r="B12" s="486"/>
      <c r="C12" s="234"/>
      <c r="D12" s="385"/>
      <c r="E12" s="385"/>
      <c r="F12" s="385"/>
      <c r="G12" s="385"/>
      <c r="H12" s="385"/>
      <c r="I12" s="385"/>
      <c r="J12" s="385"/>
      <c r="K12" s="234"/>
      <c r="L12" s="234"/>
      <c r="M12" s="496"/>
      <c r="X12" s="236"/>
      <c r="Y12" s="236"/>
      <c r="Z12" s="236" t="s">
        <v>90</v>
      </c>
      <c r="AA12" s="499">
        <v>0</v>
      </c>
      <c r="AB12" s="499">
        <v>0</v>
      </c>
      <c r="AC12" s="499">
        <v>0</v>
      </c>
      <c r="AD12" s="499">
        <v>0</v>
      </c>
      <c r="AE12" s="499">
        <v>0</v>
      </c>
      <c r="AF12" s="499">
        <v>0</v>
      </c>
      <c r="AG12" s="499">
        <v>0</v>
      </c>
      <c r="AH12" s="499">
        <v>0</v>
      </c>
      <c r="AI12" s="499">
        <v>0</v>
      </c>
      <c r="AJ12" s="499">
        <v>0</v>
      </c>
    </row>
    <row r="13" spans="1:36" x14ac:dyDescent="0.25">
      <c r="A13" s="486" t="s">
        <v>59</v>
      </c>
      <c r="B13" s="487"/>
      <c r="C13" s="271" t="str">
        <f>IF($B13="","",VLOOKUP($B13,'[7]1MD ELO'!$A$7:$O$22,5))</f>
        <v/>
      </c>
      <c r="D13" s="271" t="str">
        <f>IF($B13="","",VLOOKUP($B13,'[7]1MD ELO'!$A$7:$O$22,15))</f>
        <v/>
      </c>
      <c r="E13" s="312" t="s">
        <v>191</v>
      </c>
      <c r="F13" s="488"/>
      <c r="G13" s="312" t="str">
        <f>IF($B13="","",VLOOKUP($B13,'[7]1MD ELO'!$A$7:$O$22,3))</f>
        <v/>
      </c>
      <c r="H13" s="488"/>
      <c r="I13" s="303" t="s">
        <v>112</v>
      </c>
      <c r="J13" s="385"/>
      <c r="K13" s="489">
        <v>3</v>
      </c>
      <c r="L13" s="490" t="e">
        <f>IF(K13="","",CONCATENATE(VLOOKUP($X$3,$AA$1:$AJ$1,K13)," pont"))</f>
        <v>#N/A</v>
      </c>
      <c r="M13" s="491"/>
      <c r="X13" s="236"/>
      <c r="Y13" s="236"/>
      <c r="Z13" s="236" t="s">
        <v>91</v>
      </c>
      <c r="AA13" s="499">
        <v>0</v>
      </c>
      <c r="AB13" s="499">
        <v>0</v>
      </c>
      <c r="AC13" s="499">
        <v>0</v>
      </c>
      <c r="AD13" s="499">
        <v>0</v>
      </c>
      <c r="AE13" s="499">
        <v>0</v>
      </c>
      <c r="AF13" s="499">
        <v>0</v>
      </c>
      <c r="AG13" s="499">
        <v>0</v>
      </c>
      <c r="AH13" s="499">
        <v>0</v>
      </c>
      <c r="AI13" s="499">
        <v>0</v>
      </c>
      <c r="AJ13" s="499">
        <v>0</v>
      </c>
    </row>
    <row r="14" spans="1:36" x14ac:dyDescent="0.25">
      <c r="A14" s="494"/>
      <c r="B14" s="495"/>
      <c r="C14" s="385"/>
      <c r="D14" s="385"/>
      <c r="E14" s="385"/>
      <c r="F14" s="385"/>
      <c r="G14" s="385"/>
      <c r="H14" s="385"/>
      <c r="I14" s="385"/>
      <c r="J14" s="385"/>
      <c r="K14" s="494"/>
      <c r="L14" s="494"/>
      <c r="M14" s="49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</row>
    <row r="15" spans="1:36" x14ac:dyDescent="0.25">
      <c r="A15" s="494" t="s">
        <v>60</v>
      </c>
      <c r="B15" s="497"/>
      <c r="C15" s="271" t="str">
        <f>IF($B15="","",VLOOKUP($B15,'[7]1MD ELO'!$A$7:$O$22,5))</f>
        <v/>
      </c>
      <c r="D15" s="271" t="str">
        <f>IF($B15="","",VLOOKUP($B15,'[7]1MD ELO'!$A$7:$O$22,15))</f>
        <v/>
      </c>
      <c r="E15" s="294" t="s">
        <v>192</v>
      </c>
      <c r="F15" s="498"/>
      <c r="G15" s="294" t="str">
        <f>IF($B15="","",VLOOKUP($B15,'[7]1MD ELO'!$A$7:$O$22,3))</f>
        <v/>
      </c>
      <c r="H15" s="498"/>
      <c r="I15" s="303" t="s">
        <v>112</v>
      </c>
      <c r="J15" s="385"/>
      <c r="K15" s="489"/>
      <c r="L15" s="490" t="str">
        <f>IF(K15="","",CONCATENATE(VLOOKUP($X$3,$AA$1:$AJ$1,K15)," pont"))</f>
        <v/>
      </c>
      <c r="M15" s="491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</row>
    <row r="16" spans="1:36" x14ac:dyDescent="0.25">
      <c r="A16" s="494"/>
      <c r="B16" s="495"/>
      <c r="C16" s="385"/>
      <c r="D16" s="385"/>
      <c r="E16" s="385"/>
      <c r="F16" s="385"/>
      <c r="G16" s="385"/>
      <c r="H16" s="385"/>
      <c r="J16" s="385"/>
      <c r="K16" s="494"/>
      <c r="L16" s="494"/>
      <c r="M16" s="496"/>
      <c r="X16" s="236"/>
      <c r="Y16" s="236"/>
      <c r="Z16" s="236" t="s">
        <v>52</v>
      </c>
      <c r="AA16" s="236">
        <v>300</v>
      </c>
      <c r="AB16" s="236">
        <v>250</v>
      </c>
      <c r="AC16" s="236">
        <v>220</v>
      </c>
      <c r="AD16" s="236">
        <v>180</v>
      </c>
      <c r="AE16" s="236">
        <v>160</v>
      </c>
      <c r="AF16" s="236">
        <v>150</v>
      </c>
      <c r="AG16" s="236">
        <v>140</v>
      </c>
      <c r="AH16" s="236">
        <v>130</v>
      </c>
      <c r="AI16" s="236">
        <v>120</v>
      </c>
      <c r="AJ16" s="236">
        <v>110</v>
      </c>
    </row>
    <row r="17" spans="1:36" x14ac:dyDescent="0.25">
      <c r="A17" s="494" t="s">
        <v>61</v>
      </c>
      <c r="B17" s="497"/>
      <c r="C17" s="271" t="str">
        <f>IF($B17="","",VLOOKUP($B17,'[7]1MD ELO'!$A$7:$O$22,5))</f>
        <v/>
      </c>
      <c r="D17" s="271" t="str">
        <f>IF($B17="","",VLOOKUP($B17,'[7]1MD ELO'!$A$7:$O$22,15))</f>
        <v/>
      </c>
      <c r="E17" s="273" t="s">
        <v>193</v>
      </c>
      <c r="F17" s="498"/>
      <c r="G17" s="294" t="str">
        <f>IF($B17="","",VLOOKUP($B17,'[7]1MD ELO'!$A$7:$O$22,3))</f>
        <v/>
      </c>
      <c r="H17" s="498"/>
      <c r="I17" s="303" t="s">
        <v>130</v>
      </c>
      <c r="J17" s="385"/>
      <c r="K17" s="489">
        <v>1</v>
      </c>
      <c r="L17" s="490" t="e">
        <f>IF(K17="","",CONCATENATE(VLOOKUP($X$3,$AA$1:$AJ$1,K17)," pont"))</f>
        <v>#N/A</v>
      </c>
      <c r="M17" s="491"/>
      <c r="X17" s="236"/>
      <c r="Y17" s="236"/>
      <c r="Z17" s="236" t="s">
        <v>82</v>
      </c>
      <c r="AA17" s="236">
        <v>250</v>
      </c>
      <c r="AB17" s="236">
        <v>200</v>
      </c>
      <c r="AC17" s="236">
        <v>160</v>
      </c>
      <c r="AD17" s="236">
        <v>140</v>
      </c>
      <c r="AE17" s="236">
        <v>120</v>
      </c>
      <c r="AF17" s="236">
        <v>110</v>
      </c>
      <c r="AG17" s="236">
        <v>100</v>
      </c>
      <c r="AH17" s="236">
        <v>90</v>
      </c>
      <c r="AI17" s="236">
        <v>80</v>
      </c>
      <c r="AJ17" s="236">
        <v>70</v>
      </c>
    </row>
    <row r="18" spans="1:36" x14ac:dyDescent="0.25">
      <c r="A18" s="385"/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X18" s="236"/>
      <c r="Y18" s="236"/>
      <c r="Z18" s="236" t="s">
        <v>83</v>
      </c>
      <c r="AA18" s="236">
        <v>200</v>
      </c>
      <c r="AB18" s="236">
        <v>150</v>
      </c>
      <c r="AC18" s="236">
        <v>130</v>
      </c>
      <c r="AD18" s="236">
        <v>110</v>
      </c>
      <c r="AE18" s="236">
        <v>95</v>
      </c>
      <c r="AF18" s="236">
        <v>80</v>
      </c>
      <c r="AG18" s="236">
        <v>70</v>
      </c>
      <c r="AH18" s="236">
        <v>60</v>
      </c>
      <c r="AI18" s="236">
        <v>55</v>
      </c>
      <c r="AJ18" s="236">
        <v>50</v>
      </c>
    </row>
    <row r="19" spans="1:36" x14ac:dyDescent="0.25">
      <c r="A19" s="385"/>
      <c r="B19" s="385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X19" s="236"/>
      <c r="Y19" s="236"/>
      <c r="Z19" s="236" t="s">
        <v>84</v>
      </c>
      <c r="AA19" s="236">
        <v>150</v>
      </c>
      <c r="AB19" s="236">
        <v>120</v>
      </c>
      <c r="AC19" s="236">
        <v>100</v>
      </c>
      <c r="AD19" s="236">
        <v>80</v>
      </c>
      <c r="AE19" s="236">
        <v>70</v>
      </c>
      <c r="AF19" s="236">
        <v>60</v>
      </c>
      <c r="AG19" s="236">
        <v>55</v>
      </c>
      <c r="AH19" s="236">
        <v>50</v>
      </c>
      <c r="AI19" s="236">
        <v>45</v>
      </c>
      <c r="AJ19" s="236">
        <v>40</v>
      </c>
    </row>
    <row r="20" spans="1:36" x14ac:dyDescent="0.25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X20" s="236"/>
      <c r="Y20" s="236"/>
      <c r="Z20" s="236" t="s">
        <v>85</v>
      </c>
      <c r="AA20" s="236">
        <v>120</v>
      </c>
      <c r="AB20" s="236">
        <v>90</v>
      </c>
      <c r="AC20" s="236">
        <v>65</v>
      </c>
      <c r="AD20" s="236">
        <v>55</v>
      </c>
      <c r="AE20" s="236">
        <v>50</v>
      </c>
      <c r="AF20" s="236">
        <v>45</v>
      </c>
      <c r="AG20" s="236">
        <v>40</v>
      </c>
      <c r="AH20" s="236">
        <v>35</v>
      </c>
      <c r="AI20" s="236">
        <v>25</v>
      </c>
      <c r="AJ20" s="236">
        <v>20</v>
      </c>
    </row>
    <row r="21" spans="1:36" x14ac:dyDescent="0.25">
      <c r="A21" s="385"/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X21" s="236"/>
      <c r="Y21" s="236"/>
      <c r="Z21" s="236" t="s">
        <v>86</v>
      </c>
      <c r="AA21" s="236">
        <v>90</v>
      </c>
      <c r="AB21" s="236">
        <v>60</v>
      </c>
      <c r="AC21" s="236">
        <v>45</v>
      </c>
      <c r="AD21" s="236">
        <v>34</v>
      </c>
      <c r="AE21" s="236">
        <v>27</v>
      </c>
      <c r="AF21" s="236">
        <v>22</v>
      </c>
      <c r="AG21" s="236">
        <v>18</v>
      </c>
      <c r="AH21" s="236">
        <v>15</v>
      </c>
      <c r="AI21" s="236">
        <v>12</v>
      </c>
      <c r="AJ21" s="236">
        <v>9</v>
      </c>
    </row>
    <row r="22" spans="1:36" ht="18.75" customHeight="1" x14ac:dyDescent="0.25">
      <c r="A22" s="385"/>
      <c r="B22" s="500"/>
      <c r="C22" s="500"/>
      <c r="D22" s="501" t="str">
        <f>E7</f>
        <v>Rácz István</v>
      </c>
      <c r="E22" s="501"/>
      <c r="F22" s="501" t="str">
        <f>E9</f>
        <v>Rőthy-Gruber Benedek</v>
      </c>
      <c r="G22" s="501"/>
      <c r="H22" s="501" t="str">
        <f>E11</f>
        <v>Takács Zalán</v>
      </c>
      <c r="I22" s="501"/>
      <c r="J22" s="385"/>
      <c r="K22" s="385"/>
      <c r="L22" s="385"/>
      <c r="M22" s="502" t="s">
        <v>56</v>
      </c>
      <c r="X22" s="236"/>
      <c r="Y22" s="236"/>
      <c r="Z22" s="236" t="s">
        <v>87</v>
      </c>
      <c r="AA22" s="236">
        <v>60</v>
      </c>
      <c r="AB22" s="236">
        <v>40</v>
      </c>
      <c r="AC22" s="236">
        <v>30</v>
      </c>
      <c r="AD22" s="236">
        <v>20</v>
      </c>
      <c r="AE22" s="236">
        <v>18</v>
      </c>
      <c r="AF22" s="236">
        <v>15</v>
      </c>
      <c r="AG22" s="236">
        <v>12</v>
      </c>
      <c r="AH22" s="236">
        <v>10</v>
      </c>
      <c r="AI22" s="236">
        <v>8</v>
      </c>
      <c r="AJ22" s="236">
        <v>6</v>
      </c>
    </row>
    <row r="23" spans="1:36" ht="18.75" customHeight="1" x14ac:dyDescent="0.25">
      <c r="A23" s="503" t="s">
        <v>52</v>
      </c>
      <c r="B23" s="504" t="str">
        <f>E7</f>
        <v>Rácz István</v>
      </c>
      <c r="C23" s="504"/>
      <c r="D23" s="505"/>
      <c r="E23" s="505"/>
      <c r="F23" s="506" t="s">
        <v>194</v>
      </c>
      <c r="G23" s="507"/>
      <c r="H23" s="506" t="s">
        <v>114</v>
      </c>
      <c r="I23" s="507"/>
      <c r="J23" s="385"/>
      <c r="K23" s="385"/>
      <c r="L23" s="385"/>
      <c r="M23" s="508">
        <v>1</v>
      </c>
      <c r="X23" s="236"/>
      <c r="Y23" s="236"/>
      <c r="Z23" s="236" t="s">
        <v>88</v>
      </c>
      <c r="AA23" s="236">
        <v>40</v>
      </c>
      <c r="AB23" s="236">
        <v>25</v>
      </c>
      <c r="AC23" s="236">
        <v>18</v>
      </c>
      <c r="AD23" s="236">
        <v>13</v>
      </c>
      <c r="AE23" s="236">
        <v>8</v>
      </c>
      <c r="AF23" s="236">
        <v>7</v>
      </c>
      <c r="AG23" s="236">
        <v>6</v>
      </c>
      <c r="AH23" s="236">
        <v>5</v>
      </c>
      <c r="AI23" s="236">
        <v>4</v>
      </c>
      <c r="AJ23" s="236">
        <v>3</v>
      </c>
    </row>
    <row r="24" spans="1:36" ht="18.75" customHeight="1" x14ac:dyDescent="0.25">
      <c r="A24" s="503" t="s">
        <v>53</v>
      </c>
      <c r="B24" s="504" t="str">
        <f>E9</f>
        <v>Rőthy-Gruber Benedek</v>
      </c>
      <c r="C24" s="504"/>
      <c r="D24" s="506" t="s">
        <v>195</v>
      </c>
      <c r="E24" s="507"/>
      <c r="F24" s="505"/>
      <c r="G24" s="505"/>
      <c r="H24" s="506" t="s">
        <v>196</v>
      </c>
      <c r="I24" s="507"/>
      <c r="J24" s="385"/>
      <c r="K24" s="385"/>
      <c r="L24" s="385"/>
      <c r="M24" s="508">
        <v>3</v>
      </c>
      <c r="X24" s="236"/>
      <c r="Y24" s="236"/>
      <c r="Z24" s="236" t="s">
        <v>89</v>
      </c>
      <c r="AA24" s="236">
        <v>25</v>
      </c>
      <c r="AB24" s="236">
        <v>15</v>
      </c>
      <c r="AC24" s="236">
        <v>13</v>
      </c>
      <c r="AD24" s="236">
        <v>7</v>
      </c>
      <c r="AE24" s="236">
        <v>6</v>
      </c>
      <c r="AF24" s="236">
        <v>5</v>
      </c>
      <c r="AG24" s="236">
        <v>4</v>
      </c>
      <c r="AH24" s="236">
        <v>3</v>
      </c>
      <c r="AI24" s="236">
        <v>2</v>
      </c>
      <c r="AJ24" s="236">
        <v>1</v>
      </c>
    </row>
    <row r="25" spans="1:36" ht="18.75" customHeight="1" x14ac:dyDescent="0.25">
      <c r="A25" s="503" t="s">
        <v>54</v>
      </c>
      <c r="B25" s="504" t="str">
        <f>E11</f>
        <v>Takács Zalán</v>
      </c>
      <c r="C25" s="504"/>
      <c r="D25" s="506" t="s">
        <v>116</v>
      </c>
      <c r="E25" s="507"/>
      <c r="F25" s="506" t="s">
        <v>172</v>
      </c>
      <c r="G25" s="507"/>
      <c r="H25" s="505"/>
      <c r="I25" s="505"/>
      <c r="J25" s="385"/>
      <c r="K25" s="385"/>
      <c r="L25" s="385"/>
      <c r="M25" s="508">
        <v>2</v>
      </c>
      <c r="X25" s="236"/>
      <c r="Y25" s="236"/>
      <c r="Z25" s="236" t="s">
        <v>94</v>
      </c>
      <c r="AA25" s="236">
        <v>15</v>
      </c>
      <c r="AB25" s="236">
        <v>10</v>
      </c>
      <c r="AC25" s="236">
        <v>8</v>
      </c>
      <c r="AD25" s="236">
        <v>4</v>
      </c>
      <c r="AE25" s="236">
        <v>3</v>
      </c>
      <c r="AF25" s="236">
        <v>2</v>
      </c>
      <c r="AG25" s="236">
        <v>1</v>
      </c>
      <c r="AH25" s="236">
        <v>0</v>
      </c>
      <c r="AI25" s="236">
        <v>0</v>
      </c>
      <c r="AJ25" s="236">
        <v>0</v>
      </c>
    </row>
    <row r="26" spans="1:36" x14ac:dyDescent="0.25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509"/>
      <c r="X26" s="236"/>
      <c r="Y26" s="236"/>
      <c r="Z26" s="236" t="s">
        <v>90</v>
      </c>
      <c r="AA26" s="236">
        <v>10</v>
      </c>
      <c r="AB26" s="236">
        <v>6</v>
      </c>
      <c r="AC26" s="236">
        <v>4</v>
      </c>
      <c r="AD26" s="236">
        <v>2</v>
      </c>
      <c r="AE26" s="236">
        <v>1</v>
      </c>
      <c r="AF26" s="236">
        <v>0</v>
      </c>
      <c r="AG26" s="236">
        <v>0</v>
      </c>
      <c r="AH26" s="236">
        <v>0</v>
      </c>
      <c r="AI26" s="236">
        <v>0</v>
      </c>
      <c r="AJ26" s="236">
        <v>0</v>
      </c>
    </row>
    <row r="27" spans="1:36" ht="18.75" customHeight="1" x14ac:dyDescent="0.25">
      <c r="A27" s="385"/>
      <c r="B27" s="500"/>
      <c r="C27" s="500"/>
      <c r="D27" s="501" t="str">
        <f>E13</f>
        <v>Döbrönte Márton</v>
      </c>
      <c r="E27" s="501"/>
      <c r="F27" s="501" t="str">
        <f>E15</f>
        <v>Gellisz Noel</v>
      </c>
      <c r="G27" s="501"/>
      <c r="H27" s="501" t="str">
        <f>E17</f>
        <v>Borbély Loránt</v>
      </c>
      <c r="I27" s="501"/>
      <c r="J27" s="385"/>
      <c r="K27" s="385"/>
      <c r="L27" s="385"/>
      <c r="M27" s="509"/>
      <c r="X27" s="236"/>
      <c r="Y27" s="236"/>
      <c r="Z27" s="236" t="s">
        <v>91</v>
      </c>
      <c r="AA27" s="236">
        <v>3</v>
      </c>
      <c r="AB27" s="236">
        <v>2</v>
      </c>
      <c r="AC27" s="236">
        <v>1</v>
      </c>
      <c r="AD27" s="236">
        <v>0</v>
      </c>
      <c r="AE27" s="236">
        <v>0</v>
      </c>
      <c r="AF27" s="236">
        <v>0</v>
      </c>
      <c r="AG27" s="236">
        <v>0</v>
      </c>
      <c r="AH27" s="236">
        <v>0</v>
      </c>
      <c r="AI27" s="236">
        <v>0</v>
      </c>
      <c r="AJ27" s="236">
        <v>0</v>
      </c>
    </row>
    <row r="28" spans="1:36" ht="18.75" customHeight="1" x14ac:dyDescent="0.25">
      <c r="A28" s="503" t="s">
        <v>59</v>
      </c>
      <c r="B28" s="504" t="str">
        <f>E13</f>
        <v>Döbrönte Márton</v>
      </c>
      <c r="C28" s="504"/>
      <c r="D28" s="505"/>
      <c r="E28" s="505"/>
      <c r="F28" s="506" t="s">
        <v>172</v>
      </c>
      <c r="G28" s="507"/>
      <c r="H28" s="506" t="s">
        <v>197</v>
      </c>
      <c r="I28" s="507"/>
      <c r="J28" s="385"/>
      <c r="K28" s="385"/>
      <c r="L28" s="385"/>
      <c r="M28" s="508">
        <v>2</v>
      </c>
    </row>
    <row r="29" spans="1:36" ht="18.75" customHeight="1" x14ac:dyDescent="0.25">
      <c r="A29" s="503" t="s">
        <v>60</v>
      </c>
      <c r="B29" s="504" t="str">
        <f>E15</f>
        <v>Gellisz Noel</v>
      </c>
      <c r="C29" s="504"/>
      <c r="D29" s="506" t="s">
        <v>196</v>
      </c>
      <c r="E29" s="507"/>
      <c r="F29" s="505"/>
      <c r="G29" s="505"/>
      <c r="H29" s="506" t="s">
        <v>120</v>
      </c>
      <c r="I29" s="507"/>
      <c r="J29" s="385"/>
      <c r="K29" s="385"/>
      <c r="L29" s="385"/>
      <c r="M29" s="508">
        <v>3</v>
      </c>
    </row>
    <row r="30" spans="1:36" ht="18.75" customHeight="1" x14ac:dyDescent="0.25">
      <c r="A30" s="503" t="s">
        <v>61</v>
      </c>
      <c r="B30" s="504" t="str">
        <f>E17</f>
        <v>Borbély Loránt</v>
      </c>
      <c r="C30" s="504"/>
      <c r="D30" s="506" t="s">
        <v>198</v>
      </c>
      <c r="E30" s="507"/>
      <c r="F30" s="506" t="s">
        <v>128</v>
      </c>
      <c r="G30" s="507"/>
      <c r="H30" s="505"/>
      <c r="I30" s="505"/>
      <c r="J30" s="385"/>
      <c r="K30" s="385"/>
      <c r="L30" s="385"/>
      <c r="M30" s="508">
        <v>1</v>
      </c>
    </row>
    <row r="31" spans="1:36" x14ac:dyDescent="0.25">
      <c r="A31" s="385"/>
      <c r="B31" s="385"/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</row>
    <row r="32" spans="1:36" x14ac:dyDescent="0.25">
      <c r="A32" s="385" t="s">
        <v>45</v>
      </c>
      <c r="B32" s="385"/>
      <c r="C32" s="510" t="str">
        <f>IF(M23=1,B23,IF(M24=1,B24,IF(M25=1,B25,"")))</f>
        <v>Rácz István</v>
      </c>
      <c r="D32" s="510"/>
      <c r="E32" s="494" t="s">
        <v>63</v>
      </c>
      <c r="F32" s="510" t="str">
        <f>IF(M28=1,B28,IF(M29=1,B29,IF(M30=1,B30,"")))</f>
        <v>Borbély Loránt</v>
      </c>
      <c r="G32" s="510"/>
      <c r="H32" s="385"/>
      <c r="I32" s="511" t="s">
        <v>121</v>
      </c>
      <c r="J32" s="385"/>
      <c r="K32" s="385"/>
      <c r="L32" s="385"/>
      <c r="M32" s="385"/>
    </row>
    <row r="33" spans="1:17" x14ac:dyDescent="0.25">
      <c r="A33" s="385"/>
      <c r="B33" s="385"/>
      <c r="C33" s="385"/>
      <c r="D33" s="385"/>
      <c r="E33" s="385"/>
      <c r="F33" s="494"/>
      <c r="G33" s="494"/>
      <c r="H33" s="385"/>
      <c r="J33" s="385"/>
      <c r="K33" s="385"/>
      <c r="L33" s="385"/>
      <c r="M33" s="385"/>
    </row>
    <row r="34" spans="1:17" x14ac:dyDescent="0.25">
      <c r="A34" s="385" t="s">
        <v>62</v>
      </c>
      <c r="B34" s="385"/>
      <c r="C34" s="510" t="str">
        <f>IF(M23=2,B23,IF(M24=2,B24,IF(M25=2,B25,"")))</f>
        <v>Takács Zalán</v>
      </c>
      <c r="D34" s="510"/>
      <c r="E34" s="494" t="s">
        <v>63</v>
      </c>
      <c r="F34" s="510" t="str">
        <f>IF(M28=2,B28,IF(M29=2,B29,IF(M30=2,B30,"")))</f>
        <v>Döbrönte Márton</v>
      </c>
      <c r="G34" s="510"/>
      <c r="H34" s="385"/>
      <c r="I34" s="512" t="s">
        <v>199</v>
      </c>
      <c r="J34" s="385"/>
      <c r="K34" s="385"/>
      <c r="L34" s="385"/>
      <c r="M34" s="385"/>
    </row>
    <row r="35" spans="1:17" x14ac:dyDescent="0.25">
      <c r="A35" s="385"/>
      <c r="B35" s="385"/>
      <c r="C35" s="494"/>
      <c r="D35" s="494"/>
      <c r="E35" s="494"/>
      <c r="F35" s="494"/>
      <c r="G35" s="494"/>
      <c r="H35" s="385"/>
      <c r="I35" s="385"/>
      <c r="J35" s="385"/>
      <c r="K35" s="385"/>
      <c r="L35" s="385"/>
      <c r="M35" s="385"/>
    </row>
    <row r="36" spans="1:17" x14ac:dyDescent="0.25">
      <c r="A36" s="385" t="s">
        <v>64</v>
      </c>
      <c r="B36" s="385"/>
      <c r="C36" s="510" t="str">
        <f>IF(M23=3,B23,IF(M24=3,B24,IF(M25=3,B25,"")))</f>
        <v>Rőthy-Gruber Benedek</v>
      </c>
      <c r="D36" s="510"/>
      <c r="E36" s="494" t="s">
        <v>63</v>
      </c>
      <c r="F36" s="510" t="str">
        <f>IF(M28=3,B28,IF(M29=3,B29,IF(M30=3,B30,"")))</f>
        <v>Gellisz Noel</v>
      </c>
      <c r="G36" s="510"/>
      <c r="H36" s="385"/>
      <c r="I36" s="512" t="s">
        <v>200</v>
      </c>
      <c r="J36" s="385"/>
      <c r="K36" s="385"/>
      <c r="L36" s="385"/>
      <c r="M36" s="385"/>
    </row>
    <row r="37" spans="1:17" x14ac:dyDescent="0.25">
      <c r="A37" s="385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</row>
    <row r="38" spans="1:17" x14ac:dyDescent="0.25">
      <c r="A38" s="385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498"/>
      <c r="M38" s="385"/>
    </row>
    <row r="39" spans="1:17" x14ac:dyDescent="0.25">
      <c r="A39" s="328" t="s">
        <v>32</v>
      </c>
      <c r="B39" s="329"/>
      <c r="C39" s="330"/>
      <c r="D39" s="513" t="s">
        <v>3</v>
      </c>
      <c r="E39" s="514" t="s">
        <v>34</v>
      </c>
      <c r="F39" s="515"/>
      <c r="G39" s="513" t="s">
        <v>3</v>
      </c>
      <c r="H39" s="514" t="s">
        <v>41</v>
      </c>
      <c r="I39" s="516"/>
      <c r="J39" s="514" t="s">
        <v>42</v>
      </c>
      <c r="K39" s="517" t="s">
        <v>43</v>
      </c>
      <c r="L39" s="480"/>
      <c r="M39" s="515"/>
      <c r="P39" s="518"/>
      <c r="Q39" s="519"/>
    </row>
    <row r="40" spans="1:17" x14ac:dyDescent="0.25">
      <c r="A40" s="343" t="s">
        <v>33</v>
      </c>
      <c r="B40" s="344"/>
      <c r="C40" s="346"/>
      <c r="D40" s="520">
        <v>1</v>
      </c>
      <c r="E40" s="521" t="str">
        <f>IF(D40&gt;$Q$47,,UPPER(VLOOKUP(D40,'[7]1MD ELO'!$A$7:$Q$134,2)))</f>
        <v/>
      </c>
      <c r="F40" s="521"/>
      <c r="G40" s="522" t="s">
        <v>4</v>
      </c>
      <c r="H40" s="344"/>
      <c r="I40" s="523"/>
      <c r="J40" s="524"/>
      <c r="K40" s="353" t="s">
        <v>35</v>
      </c>
      <c r="L40" s="525"/>
      <c r="M40" s="526"/>
      <c r="P40" s="527"/>
      <c r="Q40" s="461"/>
    </row>
    <row r="41" spans="1:17" x14ac:dyDescent="0.25">
      <c r="A41" s="355" t="s">
        <v>40</v>
      </c>
      <c r="B41" s="356"/>
      <c r="C41" s="358"/>
      <c r="D41" s="528">
        <v>2</v>
      </c>
      <c r="E41" s="529" t="str">
        <f>IF(D41&gt;$Q$47,,UPPER(VLOOKUP(D41,'[7]1MD ELO'!$A$7:$Q$134,2)))</f>
        <v/>
      </c>
      <c r="F41" s="529"/>
      <c r="G41" s="530" t="s">
        <v>5</v>
      </c>
      <c r="H41" s="350"/>
      <c r="I41" s="351"/>
      <c r="J41" s="348"/>
      <c r="K41" s="531"/>
      <c r="L41" s="498"/>
      <c r="M41" s="532"/>
      <c r="P41" s="460"/>
      <c r="Q41" s="461"/>
    </row>
    <row r="42" spans="1:17" x14ac:dyDescent="0.25">
      <c r="A42" s="362"/>
      <c r="B42" s="363"/>
      <c r="C42" s="365"/>
      <c r="D42" s="528"/>
      <c r="E42" s="341"/>
      <c r="F42" s="385"/>
      <c r="G42" s="530" t="s">
        <v>6</v>
      </c>
      <c r="H42" s="350"/>
      <c r="I42" s="351"/>
      <c r="J42" s="348"/>
      <c r="K42" s="353" t="s">
        <v>36</v>
      </c>
      <c r="L42" s="525"/>
      <c r="M42" s="526"/>
      <c r="P42" s="527"/>
      <c r="Q42" s="461"/>
    </row>
    <row r="43" spans="1:17" x14ac:dyDescent="0.25">
      <c r="A43" s="366"/>
      <c r="B43" s="252"/>
      <c r="C43" s="367"/>
      <c r="D43" s="528"/>
      <c r="E43" s="341"/>
      <c r="F43" s="385"/>
      <c r="G43" s="530" t="s">
        <v>7</v>
      </c>
      <c r="H43" s="350"/>
      <c r="I43" s="351"/>
      <c r="J43" s="348"/>
      <c r="K43" s="533"/>
      <c r="L43" s="385"/>
      <c r="M43" s="534"/>
      <c r="P43" s="460"/>
      <c r="Q43" s="461"/>
    </row>
    <row r="44" spans="1:17" x14ac:dyDescent="0.25">
      <c r="A44" s="368"/>
      <c r="B44" s="369"/>
      <c r="C44" s="370"/>
      <c r="D44" s="528"/>
      <c r="E44" s="341"/>
      <c r="F44" s="385"/>
      <c r="G44" s="530" t="s">
        <v>8</v>
      </c>
      <c r="H44" s="350"/>
      <c r="I44" s="351"/>
      <c r="J44" s="348"/>
      <c r="K44" s="355"/>
      <c r="L44" s="498"/>
      <c r="M44" s="532"/>
      <c r="P44" s="460"/>
      <c r="Q44" s="461"/>
    </row>
    <row r="45" spans="1:17" x14ac:dyDescent="0.25">
      <c r="A45" s="371"/>
      <c r="B45" s="372"/>
      <c r="C45" s="367"/>
      <c r="D45" s="528"/>
      <c r="E45" s="341"/>
      <c r="F45" s="385"/>
      <c r="G45" s="530" t="s">
        <v>9</v>
      </c>
      <c r="H45" s="350"/>
      <c r="I45" s="351"/>
      <c r="J45" s="348"/>
      <c r="K45" s="353" t="s">
        <v>28</v>
      </c>
      <c r="L45" s="525"/>
      <c r="M45" s="526"/>
      <c r="P45" s="527"/>
      <c r="Q45" s="461"/>
    </row>
    <row r="46" spans="1:17" x14ac:dyDescent="0.25">
      <c r="A46" s="371"/>
      <c r="B46" s="372"/>
      <c r="C46" s="374"/>
      <c r="D46" s="528"/>
      <c r="E46" s="341"/>
      <c r="F46" s="385"/>
      <c r="G46" s="530" t="s">
        <v>10</v>
      </c>
      <c r="H46" s="350"/>
      <c r="I46" s="351"/>
      <c r="J46" s="348"/>
      <c r="K46" s="533"/>
      <c r="L46" s="385"/>
      <c r="M46" s="534"/>
      <c r="P46" s="460"/>
      <c r="Q46" s="461"/>
    </row>
    <row r="47" spans="1:17" x14ac:dyDescent="0.25">
      <c r="A47" s="375"/>
      <c r="B47" s="376"/>
      <c r="C47" s="378"/>
      <c r="D47" s="535"/>
      <c r="E47" s="359"/>
      <c r="F47" s="498"/>
      <c r="G47" s="536" t="s">
        <v>11</v>
      </c>
      <c r="H47" s="356"/>
      <c r="I47" s="360"/>
      <c r="J47" s="380"/>
      <c r="K47" s="355">
        <f>L4</f>
        <v>0</v>
      </c>
      <c r="L47" s="498"/>
      <c r="M47" s="532"/>
      <c r="P47" s="460"/>
      <c r="Q47" s="537">
        <f>MIN(4,'[7]1MD ELO'!Q5)</f>
        <v>4</v>
      </c>
    </row>
  </sheetData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E7 E9 E11 E13 E15 E17">
    <cfRule type="cellIs" dxfId="87" priority="2" stopIfTrue="1" operator="equal">
      <formula>"Bye"</formula>
    </cfRule>
  </conditionalFormatting>
  <conditionalFormatting sqref="Q47">
    <cfRule type="expression" dxfId="8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15</vt:i4>
      </vt:variant>
    </vt:vector>
  </HeadingPairs>
  <TitlesOfParts>
    <vt:vector size="31" baseType="lpstr">
      <vt:lpstr>Altalanos</vt:lpstr>
      <vt:lpstr>Birók</vt:lpstr>
      <vt:lpstr>V-A FIÚ</vt:lpstr>
      <vt:lpstr>V-A LÁNY</vt:lpstr>
      <vt:lpstr>V-B FIÚ</vt:lpstr>
      <vt:lpstr>V-B LÁNY</vt:lpstr>
      <vt:lpstr>VI-A FIÚ</vt:lpstr>
      <vt:lpstr>VI-A LÁNY</vt:lpstr>
      <vt:lpstr>VI-B FIÚ</vt:lpstr>
      <vt:lpstr>VI-B LÁNY</vt:lpstr>
      <vt:lpstr>VII-A FIÚ</vt:lpstr>
      <vt:lpstr>VII-A LÁNY</vt:lpstr>
      <vt:lpstr>VII-B FIÚ</vt:lpstr>
      <vt:lpstr>VII-B LÁNY</vt:lpstr>
      <vt:lpstr>VIII-A FIÚ </vt:lpstr>
      <vt:lpstr>VIII-B LÁNY</vt:lpstr>
      <vt:lpstr>Birók!Nyomtatási_terület</vt:lpstr>
      <vt:lpstr>'V-A FIÚ'!Nyomtatási_terület</vt:lpstr>
      <vt:lpstr>'V-A LÁNY'!Nyomtatási_terület</vt:lpstr>
      <vt:lpstr>'V-B FIÚ'!Nyomtatási_terület</vt:lpstr>
      <vt:lpstr>'V-B LÁNY'!Nyomtatási_terület</vt:lpstr>
      <vt:lpstr>'VI-A FIÚ'!Nyomtatási_terület</vt:lpstr>
      <vt:lpstr>'VI-A LÁNY'!Nyomtatási_terület</vt:lpstr>
      <vt:lpstr>'VI-B FIÚ'!Nyomtatási_terület</vt:lpstr>
      <vt:lpstr>'VI-B LÁNY'!Nyomtatási_terület</vt:lpstr>
      <vt:lpstr>'VII-A FIÚ'!Nyomtatási_terület</vt:lpstr>
      <vt:lpstr>'VII-A LÁNY'!Nyomtatási_terület</vt:lpstr>
      <vt:lpstr>'VII-B FIÚ'!Nyomtatási_terület</vt:lpstr>
      <vt:lpstr>'VII-B LÁNY'!Nyomtatási_terület</vt:lpstr>
      <vt:lpstr>'VIII-A FIÚ '!Nyomtatási_terület</vt:lpstr>
      <vt:lpstr>'VIII-B LÁNY'!Nyomtatási_terület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2025-04-16T16:52:04Z</cp:lastPrinted>
  <dcterms:created xsi:type="dcterms:W3CDTF">1998-01-18T23:10:02Z</dcterms:created>
  <dcterms:modified xsi:type="dcterms:W3CDTF">2025-05-21T12:45:19Z</dcterms:modified>
  <cp:category>Forms</cp:category>
</cp:coreProperties>
</file>