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Döntő\Végeredmények\"/>
    </mc:Choice>
  </mc:AlternateContent>
  <xr:revisionPtr revIDLastSave="0" documentId="13_ncr:1_{0072D10E-8EC2-4958-8885-6526B2476120}" xr6:coauthVersionLast="47" xr6:coauthVersionMax="47" xr10:uidLastSave="{00000000-0000-0000-0000-000000000000}"/>
  <bookViews>
    <workbookView xWindow="-108" yWindow="-108" windowWidth="23256" windowHeight="13176" tabRatio="884" firstSheet="2" activeTab="9" xr2:uid="{00000000-000D-0000-FFFF-FFFF00000000}"/>
  </bookViews>
  <sheets>
    <sheet name="Altalanos" sheetId="1" r:id="rId1"/>
    <sheet name="Birók" sheetId="2" r:id="rId2"/>
    <sheet name="Lány 1 kcs. A ELO" sheetId="9" r:id="rId3"/>
    <sheet name="Lány 1 kcs. A" sheetId="90" r:id="rId4"/>
    <sheet name="Lány 1 kcs B ELO" sheetId="231" r:id="rId5"/>
    <sheet name="Lány 1 kcs. B 1 csop." sheetId="232" r:id="rId6"/>
    <sheet name="Lány 1 kcs. B 2 csop." sheetId="340" r:id="rId7"/>
    <sheet name="Lány 1 kcs. B 3-4 csop." sheetId="235" r:id="rId8"/>
    <sheet name="Lány 1 kcs. 5-6 csop." sheetId="236" r:id="rId9"/>
    <sheet name="Lány 1 kcs. B Döntő" sheetId="238" r:id="rId10"/>
    <sheet name="Fiú 1 kcs. A ELO" sheetId="279" r:id="rId11"/>
    <sheet name="Fiú 1 kcs. A 1 csop." sheetId="280" r:id="rId12"/>
    <sheet name="Fiú 1 kcs. A 2-3 csop." sheetId="283" r:id="rId13"/>
    <sheet name="Fiú 1 kcs. A Döntő" sheetId="341" r:id="rId14"/>
    <sheet name="Fiú 1 kcs. B ELO" sheetId="303" r:id="rId15"/>
    <sheet name="Fiú 1 kcs. B 1-es csop." sheetId="304" r:id="rId16"/>
    <sheet name="Fiú 1 kcs 2-3 csop." sheetId="307" r:id="rId17"/>
    <sheet name="Fiú 1 kcs. B 4-5 csop." sheetId="308" r:id="rId18"/>
    <sheet name="Fiú 1 kcs. B. 6-7 csop." sheetId="309" r:id="rId19"/>
    <sheet name="Fiú 1 kcs. B Döntő" sheetId="310" r:id="rId20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0">'Fiú 1 kcs. A ELO'!$1:$6</definedName>
    <definedName name="_xlnm.Print_Titles" localSheetId="14">'Fiú 1 kcs. B ELO'!$1:$6</definedName>
    <definedName name="_xlnm.Print_Titles" localSheetId="4">'Lány 1 kcs B ELO'!$1:$6</definedName>
    <definedName name="_xlnm.Print_Titles" localSheetId="2">'Lány 1 kcs. A ELO'!$1:$6</definedName>
    <definedName name="_xlnm.Print_Area" localSheetId="1">Birók!$A$1:$N$29</definedName>
    <definedName name="_xlnm.Print_Area" localSheetId="16">'Fiú 1 kcs 2-3 csop.'!$A$1:$M$47</definedName>
    <definedName name="_xlnm.Print_Area" localSheetId="11">'Fiú 1 kcs. A 1 csop.'!$A$1:$M$41</definedName>
    <definedName name="_xlnm.Print_Area" localSheetId="12">'Fiú 1 kcs. A 2-3 csop.'!$A$1:$M$47</definedName>
    <definedName name="_xlnm.Print_Area" localSheetId="10">'Fiú 1 kcs. A ELO'!$A$1:$Q$134</definedName>
    <definedName name="_xlnm.Print_Area" localSheetId="15">'Fiú 1 kcs. B 1-es csop.'!$A$1:$M$41</definedName>
    <definedName name="_xlnm.Print_Area" localSheetId="17">'Fiú 1 kcs. B 4-5 csop.'!$A$1:$M$48</definedName>
    <definedName name="_xlnm.Print_Area" localSheetId="19">'Fiú 1 kcs. B Döntő'!$A$1:$R$62</definedName>
    <definedName name="_xlnm.Print_Area" localSheetId="14">'Fiú 1 kcs. B ELO'!$A$1:$Q$134</definedName>
    <definedName name="_xlnm.Print_Area" localSheetId="18">'Fiú 1 kcs. B. 6-7 csop.'!$A$1:$M$52</definedName>
    <definedName name="_xlnm.Print_Area" localSheetId="4">'Lány 1 kcs B ELO'!$A$1:$Q$134</definedName>
    <definedName name="_xlnm.Print_Area" localSheetId="8">'Lány 1 kcs. 5-6 csop.'!$A$1:$M$49</definedName>
    <definedName name="_xlnm.Print_Area" localSheetId="3">'Lány 1 kcs. A'!$A$1:$M$47</definedName>
    <definedName name="_xlnm.Print_Area" localSheetId="2">'Lány 1 kcs. A ELO'!$A$1:$Q$134</definedName>
    <definedName name="_xlnm.Print_Area" localSheetId="5">'Lány 1 kcs. B 1 csop.'!$A$1:$M$41</definedName>
    <definedName name="_xlnm.Print_Area" localSheetId="7">'Lány 1 kcs. B 3-4 csop.'!$A$1:$M$47</definedName>
    <definedName name="_xlnm.Print_Area" localSheetId="9">'Lány 1 kcs. B Döntő'!$A$1:$R$62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310" l="1"/>
  <c r="E11" i="236" l="1"/>
  <c r="H18" i="341" l="1"/>
  <c r="D11" i="341"/>
  <c r="C11" i="341"/>
  <c r="B20" i="341"/>
  <c r="D9" i="341"/>
  <c r="C9" i="341"/>
  <c r="B19" i="341"/>
  <c r="D18" i="341"/>
  <c r="D7" i="341"/>
  <c r="C7" i="341"/>
  <c r="Y5" i="341"/>
  <c r="AG1" i="341" s="1"/>
  <c r="L4" i="341"/>
  <c r="K41" i="341" s="1"/>
  <c r="E4" i="341"/>
  <c r="A4" i="341"/>
  <c r="Y3" i="341"/>
  <c r="A1" i="341"/>
  <c r="B19" i="340"/>
  <c r="L11" i="340"/>
  <c r="H18" i="340"/>
  <c r="D11" i="340"/>
  <c r="C11" i="340"/>
  <c r="L9" i="340"/>
  <c r="I9" i="340"/>
  <c r="G9" i="340"/>
  <c r="E9" i="340"/>
  <c r="F18" i="340" s="1"/>
  <c r="L7" i="340"/>
  <c r="D18" i="340"/>
  <c r="D7" i="340"/>
  <c r="C7" i="340"/>
  <c r="Y5" i="340"/>
  <c r="L4" i="340"/>
  <c r="K41" i="340"/>
  <c r="E4" i="340"/>
  <c r="A4" i="340"/>
  <c r="Y3" i="340"/>
  <c r="AI1" i="340"/>
  <c r="E2" i="340"/>
  <c r="A1" i="340"/>
  <c r="E2" i="310"/>
  <c r="E2" i="309"/>
  <c r="E2" i="308"/>
  <c r="E2" i="307"/>
  <c r="E2" i="304"/>
  <c r="C2" i="303"/>
  <c r="R62" i="310"/>
  <c r="D21" i="310"/>
  <c r="C21" i="310"/>
  <c r="B21" i="310"/>
  <c r="D19" i="310"/>
  <c r="C19" i="310"/>
  <c r="B19" i="310"/>
  <c r="M18" i="310"/>
  <c r="O14" i="310" s="1"/>
  <c r="D17" i="310"/>
  <c r="C17" i="310"/>
  <c r="B17" i="310"/>
  <c r="U16" i="310"/>
  <c r="K16" i="310"/>
  <c r="D15" i="310"/>
  <c r="C15" i="310"/>
  <c r="B15" i="310"/>
  <c r="D13" i="310"/>
  <c r="C13" i="310"/>
  <c r="B13" i="310"/>
  <c r="D11" i="310"/>
  <c r="C11" i="310"/>
  <c r="B11" i="310"/>
  <c r="I9" i="310"/>
  <c r="G9" i="310"/>
  <c r="D9" i="310"/>
  <c r="C9" i="310"/>
  <c r="B9" i="310"/>
  <c r="U7" i="310"/>
  <c r="D7" i="310"/>
  <c r="C7" i="310"/>
  <c r="B7" i="310"/>
  <c r="Y5" i="310"/>
  <c r="R4" i="310"/>
  <c r="O62" i="310" s="1"/>
  <c r="G4" i="310"/>
  <c r="A4" i="310"/>
  <c r="Y3" i="310"/>
  <c r="A1" i="310"/>
  <c r="R47" i="309"/>
  <c r="F43" i="309"/>
  <c r="C43" i="309"/>
  <c r="F41" i="309"/>
  <c r="C41" i="309"/>
  <c r="F39" i="309"/>
  <c r="C39" i="309"/>
  <c r="F37" i="309"/>
  <c r="C37" i="309"/>
  <c r="L21" i="309"/>
  <c r="I21" i="309"/>
  <c r="G21" i="309"/>
  <c r="E21" i="309"/>
  <c r="J30" i="309" s="1"/>
  <c r="D21" i="309"/>
  <c r="C21" i="309"/>
  <c r="L19" i="309"/>
  <c r="B33" i="309"/>
  <c r="L17" i="309"/>
  <c r="I17" i="309"/>
  <c r="G17" i="309"/>
  <c r="E17" i="309"/>
  <c r="D17" i="309"/>
  <c r="C17" i="309"/>
  <c r="L15" i="309"/>
  <c r="I15" i="309"/>
  <c r="B31" i="309"/>
  <c r="L13" i="309"/>
  <c r="I13" i="309"/>
  <c r="B28" i="309"/>
  <c r="L11" i="309"/>
  <c r="I11" i="309"/>
  <c r="G11" i="309"/>
  <c r="E11" i="309"/>
  <c r="D11" i="309"/>
  <c r="C11" i="309"/>
  <c r="L9" i="309"/>
  <c r="I9" i="309"/>
  <c r="G9" i="309"/>
  <c r="E9" i="309"/>
  <c r="B26" i="309" s="1"/>
  <c r="D9" i="309"/>
  <c r="C9" i="309"/>
  <c r="L7" i="309"/>
  <c r="I7" i="309"/>
  <c r="G7" i="309"/>
  <c r="E7" i="309"/>
  <c r="B25" i="309" s="1"/>
  <c r="D7" i="309"/>
  <c r="C7" i="309"/>
  <c r="Y5" i="309"/>
  <c r="AH1" i="309" s="1"/>
  <c r="L4" i="309"/>
  <c r="K53" i="309"/>
  <c r="E4" i="309"/>
  <c r="A4" i="309"/>
  <c r="Y3" i="309"/>
  <c r="A1" i="309"/>
  <c r="R43" i="308"/>
  <c r="F37" i="308"/>
  <c r="C37" i="308"/>
  <c r="F35" i="308"/>
  <c r="C35" i="308"/>
  <c r="F33" i="308"/>
  <c r="C33" i="308"/>
  <c r="L19" i="308"/>
  <c r="I19" i="308"/>
  <c r="G19" i="308"/>
  <c r="E19" i="308"/>
  <c r="D19" i="308"/>
  <c r="C19" i="308"/>
  <c r="L17" i="308"/>
  <c r="I17" i="308"/>
  <c r="G17" i="308"/>
  <c r="E17" i="308"/>
  <c r="B30" i="308" s="1"/>
  <c r="D17" i="308"/>
  <c r="C17" i="308"/>
  <c r="L15" i="308"/>
  <c r="I15" i="308"/>
  <c r="G15" i="308"/>
  <c r="E15" i="308"/>
  <c r="B29" i="308" s="1"/>
  <c r="D15" i="308"/>
  <c r="C15" i="308"/>
  <c r="L13" i="308"/>
  <c r="I13" i="308"/>
  <c r="G13" i="308"/>
  <c r="E13" i="308"/>
  <c r="B28" i="308" s="1"/>
  <c r="D13" i="308"/>
  <c r="C13" i="308"/>
  <c r="L11" i="308"/>
  <c r="I11" i="308"/>
  <c r="G11" i="308"/>
  <c r="E11" i="308"/>
  <c r="B25" i="308" s="1"/>
  <c r="D11" i="308"/>
  <c r="C11" i="308"/>
  <c r="L9" i="308"/>
  <c r="I9" i="308"/>
  <c r="G9" i="308"/>
  <c r="E9" i="308"/>
  <c r="B24" i="308" s="1"/>
  <c r="D9" i="308"/>
  <c r="C9" i="308"/>
  <c r="L7" i="308"/>
  <c r="I7" i="308"/>
  <c r="G7" i="308"/>
  <c r="E7" i="308"/>
  <c r="B23" i="308" s="1"/>
  <c r="D7" i="308"/>
  <c r="C7" i="308"/>
  <c r="Y5" i="308"/>
  <c r="L4" i="308"/>
  <c r="K48" i="308" s="1"/>
  <c r="E4" i="308"/>
  <c r="A4" i="308"/>
  <c r="Y3" i="308"/>
  <c r="AE1" i="308" s="1"/>
  <c r="A1" i="308"/>
  <c r="R47" i="307"/>
  <c r="F36" i="307"/>
  <c r="C36" i="307"/>
  <c r="F34" i="307"/>
  <c r="C34" i="307"/>
  <c r="F32" i="307"/>
  <c r="C32" i="307"/>
  <c r="L17" i="307"/>
  <c r="I17" i="307"/>
  <c r="G17" i="307"/>
  <c r="E17" i="307"/>
  <c r="B30" i="307" s="1"/>
  <c r="D17" i="307"/>
  <c r="C17" i="307"/>
  <c r="L15" i="307"/>
  <c r="I15" i="307"/>
  <c r="G15" i="307"/>
  <c r="E15" i="307"/>
  <c r="B29" i="307" s="1"/>
  <c r="D15" i="307"/>
  <c r="C15" i="307"/>
  <c r="L13" i="307"/>
  <c r="I13" i="307"/>
  <c r="G13" i="307"/>
  <c r="E13" i="307"/>
  <c r="B28" i="307" s="1"/>
  <c r="D13" i="307"/>
  <c r="C13" i="307"/>
  <c r="L11" i="307"/>
  <c r="B25" i="307"/>
  <c r="L9" i="307"/>
  <c r="I9" i="307"/>
  <c r="G9" i="307"/>
  <c r="E9" i="307"/>
  <c r="B24" i="307" s="1"/>
  <c r="D9" i="307"/>
  <c r="C9" i="307"/>
  <c r="L7" i="307"/>
  <c r="I7" i="307"/>
  <c r="G7" i="307"/>
  <c r="E7" i="307"/>
  <c r="B23" i="307" s="1"/>
  <c r="D7" i="307"/>
  <c r="C7" i="307"/>
  <c r="Y5" i="307"/>
  <c r="L4" i="307"/>
  <c r="K47" i="307" s="1"/>
  <c r="E4" i="307"/>
  <c r="A4" i="307"/>
  <c r="Y3" i="307"/>
  <c r="AG1" i="307" s="1"/>
  <c r="A1" i="307"/>
  <c r="L11" i="304"/>
  <c r="B21" i="304"/>
  <c r="L9" i="304"/>
  <c r="I9" i="304"/>
  <c r="B20" i="304"/>
  <c r="L7" i="304"/>
  <c r="B19" i="304"/>
  <c r="Y5" i="304"/>
  <c r="L4" i="304"/>
  <c r="K41" i="304" s="1"/>
  <c r="E4" i="304"/>
  <c r="A4" i="304"/>
  <c r="Y3" i="304"/>
  <c r="AC1" i="304" s="1"/>
  <c r="A1" i="304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3"/>
  <c r="E2" i="280"/>
  <c r="C2" i="279"/>
  <c r="R47" i="283"/>
  <c r="E41" i="283" s="1"/>
  <c r="L17" i="283"/>
  <c r="I17" i="283"/>
  <c r="G17" i="283"/>
  <c r="E17" i="283"/>
  <c r="B30" i="283" s="1"/>
  <c r="F34" i="283"/>
  <c r="D17" i="283"/>
  <c r="C17" i="283"/>
  <c r="L15" i="283"/>
  <c r="I15" i="283"/>
  <c r="G15" i="283"/>
  <c r="E15" i="283"/>
  <c r="B29" i="283" s="1"/>
  <c r="F36" i="283"/>
  <c r="D15" i="283"/>
  <c r="C15" i="283"/>
  <c r="L13" i="283"/>
  <c r="I13" i="283"/>
  <c r="G13" i="283"/>
  <c r="E13" i="283"/>
  <c r="B28" i="283" s="1"/>
  <c r="F32" i="283"/>
  <c r="D13" i="283"/>
  <c r="C13" i="283"/>
  <c r="L11" i="283"/>
  <c r="I11" i="283"/>
  <c r="G11" i="283"/>
  <c r="E11" i="283"/>
  <c r="C36" i="283"/>
  <c r="D11" i="283"/>
  <c r="C11" i="283"/>
  <c r="L9" i="283"/>
  <c r="I9" i="283"/>
  <c r="G9" i="283"/>
  <c r="E9" i="283"/>
  <c r="B24" i="283" s="1"/>
  <c r="C34" i="283"/>
  <c r="D9" i="283"/>
  <c r="C9" i="283"/>
  <c r="L7" i="283"/>
  <c r="I7" i="283"/>
  <c r="G7" i="283"/>
  <c r="E7" i="283"/>
  <c r="B23" i="283" s="1"/>
  <c r="C32" i="283"/>
  <c r="D7" i="283"/>
  <c r="C7" i="283"/>
  <c r="Y5" i="283"/>
  <c r="L4" i="283"/>
  <c r="K47" i="283" s="1"/>
  <c r="E4" i="283"/>
  <c r="A4" i="283"/>
  <c r="Y3" i="283"/>
  <c r="AH1" i="283" s="1"/>
  <c r="A1" i="283"/>
  <c r="L11" i="280"/>
  <c r="I11" i="280"/>
  <c r="G11" i="280"/>
  <c r="E11" i="280"/>
  <c r="H18" i="280" s="1"/>
  <c r="B21" i="280"/>
  <c r="D11" i="280"/>
  <c r="C11" i="280"/>
  <c r="L9" i="280"/>
  <c r="I9" i="280"/>
  <c r="G9" i="280"/>
  <c r="E9" i="280"/>
  <c r="B20" i="280" s="1"/>
  <c r="D9" i="280"/>
  <c r="C9" i="280"/>
  <c r="L7" i="280"/>
  <c r="I7" i="280"/>
  <c r="G7" i="280"/>
  <c r="E7" i="280"/>
  <c r="B19" i="280" s="1"/>
  <c r="D7" i="280"/>
  <c r="C7" i="280"/>
  <c r="Y5" i="280"/>
  <c r="L4" i="280"/>
  <c r="K41" i="280" s="1"/>
  <c r="E4" i="280"/>
  <c r="A4" i="280"/>
  <c r="Y3" i="280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 s="1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 s="1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 s="1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6"/>
  <c r="E2" i="235"/>
  <c r="E2" i="232"/>
  <c r="C2" i="231"/>
  <c r="R62" i="238"/>
  <c r="F56" i="238" s="1"/>
  <c r="D21" i="238"/>
  <c r="C21" i="238"/>
  <c r="B21" i="238"/>
  <c r="K20" i="238"/>
  <c r="D19" i="238"/>
  <c r="C19" i="238"/>
  <c r="B19" i="238"/>
  <c r="I17" i="238"/>
  <c r="G17" i="238"/>
  <c r="D17" i="238"/>
  <c r="C17" i="238"/>
  <c r="B17" i="238"/>
  <c r="U16" i="238"/>
  <c r="K16" i="238"/>
  <c r="G15" i="238"/>
  <c r="D15" i="238"/>
  <c r="C15" i="238"/>
  <c r="B15" i="238"/>
  <c r="I13" i="238"/>
  <c r="G13" i="238"/>
  <c r="D13" i="238"/>
  <c r="C13" i="238"/>
  <c r="B13" i="238"/>
  <c r="K12" i="238"/>
  <c r="D11" i="238"/>
  <c r="C11" i="238"/>
  <c r="B11" i="238"/>
  <c r="G9" i="238"/>
  <c r="D9" i="238"/>
  <c r="C9" i="238"/>
  <c r="B9" i="238"/>
  <c r="K8" i="238"/>
  <c r="M10" i="238" s="1"/>
  <c r="O14" i="238" s="1"/>
  <c r="U7" i="238"/>
  <c r="G7" i="238"/>
  <c r="D7" i="238"/>
  <c r="C7" i="238"/>
  <c r="B7" i="238"/>
  <c r="Y5" i="238"/>
  <c r="R4" i="238"/>
  <c r="O62" i="238" s="1"/>
  <c r="G4" i="238"/>
  <c r="A4" i="238"/>
  <c r="Y3" i="238"/>
  <c r="A1" i="238"/>
  <c r="R44" i="236"/>
  <c r="E43" i="236" s="1"/>
  <c r="L19" i="236"/>
  <c r="I19" i="236"/>
  <c r="G19" i="236"/>
  <c r="E19" i="236"/>
  <c r="B31" i="236" s="1"/>
  <c r="D19" i="236"/>
  <c r="C19" i="236"/>
  <c r="L17" i="236"/>
  <c r="I17" i="236"/>
  <c r="G17" i="236"/>
  <c r="E17" i="236"/>
  <c r="B30" i="236" s="1"/>
  <c r="F38" i="236"/>
  <c r="D17" i="236"/>
  <c r="C17" i="236"/>
  <c r="L15" i="236"/>
  <c r="I15" i="236"/>
  <c r="G15" i="236"/>
  <c r="E15" i="236"/>
  <c r="B29" i="236" s="1"/>
  <c r="F36" i="236"/>
  <c r="D15" i="236"/>
  <c r="C15" i="236"/>
  <c r="L13" i="236"/>
  <c r="I13" i="236"/>
  <c r="G13" i="236"/>
  <c r="E13" i="236"/>
  <c r="F34" i="236"/>
  <c r="D13" i="236"/>
  <c r="C13" i="236"/>
  <c r="L11" i="236"/>
  <c r="I11" i="236"/>
  <c r="G11" i="236"/>
  <c r="C38" i="236"/>
  <c r="D11" i="236"/>
  <c r="C11" i="236"/>
  <c r="L9" i="236"/>
  <c r="I9" i="236"/>
  <c r="G9" i="236"/>
  <c r="E9" i="236"/>
  <c r="C36" i="236"/>
  <c r="D9" i="236"/>
  <c r="C9" i="236"/>
  <c r="L7" i="236"/>
  <c r="I7" i="236"/>
  <c r="G7" i="236"/>
  <c r="E7" i="236"/>
  <c r="B23" i="236" s="1"/>
  <c r="C34" i="236"/>
  <c r="D7" i="236"/>
  <c r="C7" i="236"/>
  <c r="Y5" i="236"/>
  <c r="L4" i="236"/>
  <c r="K49" i="236" s="1"/>
  <c r="E4" i="236"/>
  <c r="A4" i="236"/>
  <c r="Y3" i="236"/>
  <c r="AK1" i="236" s="1"/>
  <c r="A1" i="236"/>
  <c r="R47" i="235"/>
  <c r="E41" i="235" s="1"/>
  <c r="L17" i="235"/>
  <c r="I17" i="235"/>
  <c r="G17" i="235"/>
  <c r="E17" i="235"/>
  <c r="B30" i="235" s="1"/>
  <c r="F34" i="235"/>
  <c r="D17" i="235"/>
  <c r="C17" i="235"/>
  <c r="L15" i="235"/>
  <c r="I15" i="235"/>
  <c r="G15" i="235"/>
  <c r="E15" i="235"/>
  <c r="B29" i="235" s="1"/>
  <c r="F36" i="235"/>
  <c r="D15" i="235"/>
  <c r="C15" i="235"/>
  <c r="L13" i="235"/>
  <c r="B28" i="235"/>
  <c r="F32" i="235"/>
  <c r="D13" i="235"/>
  <c r="C13" i="235"/>
  <c r="L11" i="235"/>
  <c r="I11" i="235"/>
  <c r="G11" i="235"/>
  <c r="E11" i="235"/>
  <c r="B25" i="235" s="1"/>
  <c r="C36" i="235"/>
  <c r="D11" i="235"/>
  <c r="C11" i="235"/>
  <c r="L9" i="235"/>
  <c r="I9" i="235"/>
  <c r="G9" i="235"/>
  <c r="E9" i="235"/>
  <c r="B24" i="235" s="1"/>
  <c r="C34" i="235"/>
  <c r="D9" i="235"/>
  <c r="C9" i="235"/>
  <c r="L7" i="235"/>
  <c r="I7" i="235"/>
  <c r="G7" i="235"/>
  <c r="E7" i="235"/>
  <c r="B23" i="235" s="1"/>
  <c r="C32" i="235"/>
  <c r="D7" i="235"/>
  <c r="C7" i="235"/>
  <c r="Y5" i="235"/>
  <c r="AD1" i="235" s="1"/>
  <c r="L4" i="235"/>
  <c r="K47" i="235" s="1"/>
  <c r="E4" i="235"/>
  <c r="A4" i="235"/>
  <c r="Y3" i="235"/>
  <c r="A1" i="235"/>
  <c r="L11" i="232"/>
  <c r="I11" i="232"/>
  <c r="G11" i="232"/>
  <c r="E11" i="232"/>
  <c r="B21" i="232" s="1"/>
  <c r="D11" i="232"/>
  <c r="C11" i="232"/>
  <c r="L9" i="232"/>
  <c r="I9" i="232"/>
  <c r="G9" i="232"/>
  <c r="E9" i="232"/>
  <c r="F18" i="232" s="1"/>
  <c r="D9" i="232"/>
  <c r="C9" i="232"/>
  <c r="L7" i="232"/>
  <c r="I7" i="232"/>
  <c r="G7" i="232"/>
  <c r="E7" i="232"/>
  <c r="B19" i="232" s="1"/>
  <c r="D7" i="232"/>
  <c r="C7" i="232"/>
  <c r="Y5" i="232"/>
  <c r="L4" i="232"/>
  <c r="K41" i="232" s="1"/>
  <c r="E4" i="232"/>
  <c r="A4" i="232"/>
  <c r="Y3" i="232"/>
  <c r="A1" i="232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U9" i="310" s="1"/>
  <c r="P24" i="2"/>
  <c r="P25" i="2"/>
  <c r="P26" i="2"/>
  <c r="P27" i="2"/>
  <c r="P28" i="2"/>
  <c r="P29" i="2"/>
  <c r="L17" i="90"/>
  <c r="L15" i="90"/>
  <c r="L13" i="90"/>
  <c r="L11" i="90"/>
  <c r="L9" i="90"/>
  <c r="L7" i="90"/>
  <c r="Y5" i="90"/>
  <c r="Y3" i="90"/>
  <c r="R47" i="90"/>
  <c r="E40" i="90" s="1"/>
  <c r="E17" i="90"/>
  <c r="H27" i="90" s="1"/>
  <c r="E15" i="90"/>
  <c r="E13" i="90"/>
  <c r="D27" i="90"/>
  <c r="F36" i="90"/>
  <c r="I17" i="90"/>
  <c r="G17" i="90"/>
  <c r="D17" i="90"/>
  <c r="C17" i="90"/>
  <c r="I15" i="90"/>
  <c r="G15" i="90"/>
  <c r="D15" i="90"/>
  <c r="C15" i="90"/>
  <c r="I13" i="90"/>
  <c r="G13" i="90"/>
  <c r="D13" i="90"/>
  <c r="C13" i="90"/>
  <c r="L4" i="90"/>
  <c r="K47" i="90" s="1"/>
  <c r="E11" i="90"/>
  <c r="H22" i="90" s="1"/>
  <c r="C36" i="90"/>
  <c r="E9" i="90"/>
  <c r="B24" i="90" s="1"/>
  <c r="C34" i="90" s="1"/>
  <c r="E7" i="90"/>
  <c r="B23" i="90" s="1"/>
  <c r="C32" i="90"/>
  <c r="I11" i="90"/>
  <c r="G11" i="90"/>
  <c r="D11" i="90"/>
  <c r="C11" i="90"/>
  <c r="I9" i="90"/>
  <c r="G9" i="90"/>
  <c r="D9" i="90"/>
  <c r="C9" i="90"/>
  <c r="I7" i="90"/>
  <c r="G7" i="90"/>
  <c r="D7" i="90"/>
  <c r="C7" i="90"/>
  <c r="E4" i="90"/>
  <c r="A4" i="90"/>
  <c r="E2" i="90"/>
  <c r="A1" i="90"/>
  <c r="J151" i="9"/>
  <c r="K151" i="9"/>
  <c r="L151" i="9"/>
  <c r="P151" i="9"/>
  <c r="M151" i="9" s="1"/>
  <c r="J152" i="9"/>
  <c r="K152" i="9"/>
  <c r="L152" i="9"/>
  <c r="P152" i="9"/>
  <c r="M152" i="9" s="1"/>
  <c r="J153" i="9"/>
  <c r="K153" i="9"/>
  <c r="L153" i="9"/>
  <c r="P153" i="9"/>
  <c r="M153" i="9" s="1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H22" i="235"/>
  <c r="H27" i="235"/>
  <c r="J27" i="236"/>
  <c r="U8" i="238"/>
  <c r="U9" i="238"/>
  <c r="U8" i="310"/>
  <c r="D18" i="304"/>
  <c r="F22" i="307"/>
  <c r="D27" i="307"/>
  <c r="D22" i="308"/>
  <c r="F27" i="308"/>
  <c r="J24" i="309"/>
  <c r="H30" i="309"/>
  <c r="U12" i="238"/>
  <c r="U11" i="238"/>
  <c r="AJ1" i="232"/>
  <c r="AH1" i="232"/>
  <c r="AD1" i="232"/>
  <c r="AK1" i="235"/>
  <c r="AG1" i="235"/>
  <c r="AC1" i="235"/>
  <c r="AI1" i="235"/>
  <c r="AE1" i="235"/>
  <c r="AI1" i="232"/>
  <c r="AF1" i="235"/>
  <c r="AJ1" i="308"/>
  <c r="AF1" i="308"/>
  <c r="AB1" i="308"/>
  <c r="AD1" i="308"/>
  <c r="AG1" i="308"/>
  <c r="AC1" i="308"/>
  <c r="AE1" i="309"/>
  <c r="AG1" i="310"/>
  <c r="AC1" i="310"/>
  <c r="AH1" i="310"/>
  <c r="AH1" i="235"/>
  <c r="AC1" i="280"/>
  <c r="AH1" i="280"/>
  <c r="AE1" i="280"/>
  <c r="AE1" i="232"/>
  <c r="AB1" i="235"/>
  <c r="AJ1" i="235"/>
  <c r="E40" i="235"/>
  <c r="AC1" i="236"/>
  <c r="AI1" i="236"/>
  <c r="AD1" i="280"/>
  <c r="E40" i="307"/>
  <c r="E41" i="307"/>
  <c r="AD1" i="283"/>
  <c r="AC1" i="307"/>
  <c r="AK1" i="307"/>
  <c r="E47" i="309"/>
  <c r="E46" i="309"/>
  <c r="F55" i="310"/>
  <c r="F56" i="310"/>
  <c r="AD1" i="304"/>
  <c r="AE1" i="304"/>
  <c r="AJ1" i="307"/>
  <c r="AF1" i="307"/>
  <c r="AF1" i="90"/>
  <c r="E42" i="236"/>
  <c r="AK1" i="283"/>
  <c r="AI1" i="280"/>
  <c r="AJ1" i="304"/>
  <c r="AD1" i="307"/>
  <c r="AD1" i="236"/>
  <c r="AJ1" i="236"/>
  <c r="AK1" i="308"/>
  <c r="AF1" i="236"/>
  <c r="AG1" i="309"/>
  <c r="AF1" i="304"/>
  <c r="AG1" i="283"/>
  <c r="AI1" i="304"/>
  <c r="AH1" i="307"/>
  <c r="AB1" i="238"/>
  <c r="O6" i="238" s="1"/>
  <c r="AG1" i="236"/>
  <c r="AI1" i="309"/>
  <c r="AK1" i="309"/>
  <c r="AH1" i="236"/>
  <c r="AJ1" i="283"/>
  <c r="AK1" i="304"/>
  <c r="AJ1" i="309"/>
  <c r="AI1" i="283"/>
  <c r="AH1" i="304"/>
  <c r="AI1" i="307"/>
  <c r="AB1" i="307"/>
  <c r="AE1" i="307"/>
  <c r="AE1" i="236"/>
  <c r="AD1" i="309"/>
  <c r="B30" i="90"/>
  <c r="F34" i="90" s="1"/>
  <c r="D22" i="283"/>
  <c r="D27" i="283"/>
  <c r="D18" i="280"/>
  <c r="D30" i="309"/>
  <c r="D22" i="307"/>
  <c r="F18" i="304"/>
  <c r="H22" i="307"/>
  <c r="H18" i="304"/>
  <c r="D27" i="235"/>
  <c r="F22" i="90"/>
  <c r="B28" i="90"/>
  <c r="F32" i="90" s="1"/>
  <c r="AC1" i="238"/>
  <c r="AD1" i="238"/>
  <c r="D24" i="309"/>
  <c r="H22" i="308"/>
  <c r="H27" i="307"/>
  <c r="H27" i="283"/>
  <c r="F27" i="283"/>
  <c r="F22" i="283"/>
  <c r="AE1" i="341"/>
  <c r="AJ1" i="341"/>
  <c r="AB1" i="341"/>
  <c r="AF1" i="341"/>
  <c r="F18" i="280"/>
  <c r="AB1" i="236"/>
  <c r="AJ1" i="340"/>
  <c r="H18" i="232"/>
  <c r="D18" i="232"/>
  <c r="AD1" i="340"/>
  <c r="B20" i="340"/>
  <c r="B21" i="340"/>
  <c r="AB1" i="340"/>
  <c r="B25" i="90" l="1"/>
  <c r="AB1" i="304"/>
  <c r="AK1" i="341"/>
  <c r="E40" i="283"/>
  <c r="M6" i="238"/>
  <c r="F24" i="309"/>
  <c r="F27" i="307"/>
  <c r="B34" i="309"/>
  <c r="B20" i="232"/>
  <c r="D22" i="235"/>
  <c r="H27" i="236"/>
  <c r="F27" i="235"/>
  <c r="AI1" i="308"/>
  <c r="D27" i="308"/>
  <c r="AH1" i="308"/>
  <c r="H27" i="308"/>
  <c r="F18" i="341"/>
  <c r="B29" i="90"/>
  <c r="F27" i="90"/>
  <c r="AG1" i="90"/>
  <c r="AB1" i="90"/>
  <c r="AD1" i="90"/>
  <c r="B25" i="283"/>
  <c r="H22" i="283"/>
  <c r="U15" i="238"/>
  <c r="B24" i="236"/>
  <c r="F22" i="236"/>
  <c r="AK1" i="340"/>
  <c r="AG1" i="340"/>
  <c r="AE1" i="340"/>
  <c r="AH1" i="340"/>
  <c r="AF1" i="340"/>
  <c r="AC1" i="340"/>
  <c r="E41" i="90"/>
  <c r="U11" i="310"/>
  <c r="B28" i="236"/>
  <c r="D27" i="236"/>
  <c r="H24" i="309"/>
  <c r="B27" i="309"/>
  <c r="B32" i="309"/>
  <c r="F30" i="309"/>
  <c r="AE1" i="310"/>
  <c r="F6" i="310"/>
  <c r="O6" i="310"/>
  <c r="K6" i="310"/>
  <c r="AF1" i="310"/>
  <c r="AB1" i="310"/>
  <c r="AD1" i="310"/>
  <c r="F27" i="236"/>
  <c r="B21" i="341"/>
  <c r="AC1" i="90"/>
  <c r="U15" i="310"/>
  <c r="M6" i="310"/>
  <c r="D22" i="236"/>
  <c r="U14" i="310"/>
  <c r="U14" i="238"/>
  <c r="AF1" i="232"/>
  <c r="AC1" i="232"/>
  <c r="AB1" i="232"/>
  <c r="AK1" i="232"/>
  <c r="AG1" i="232"/>
  <c r="B25" i="236"/>
  <c r="H22" i="236"/>
  <c r="K6" i="238"/>
  <c r="AH1" i="238"/>
  <c r="AE1" i="238"/>
  <c r="F6" i="238" s="1"/>
  <c r="AF1" i="238"/>
  <c r="AF1" i="280"/>
  <c r="AK1" i="280"/>
  <c r="AB1" i="280"/>
  <c r="AG1" i="280"/>
  <c r="AJ1" i="280"/>
  <c r="AB1" i="283"/>
  <c r="AF1" i="283"/>
  <c r="AF1" i="309"/>
  <c r="AB1" i="309"/>
  <c r="AC1" i="309"/>
  <c r="F22" i="235"/>
  <c r="AG1" i="304"/>
  <c r="AE1" i="283"/>
  <c r="AC1" i="283"/>
  <c r="AI1" i="341"/>
  <c r="U10" i="238"/>
  <c r="U13" i="310"/>
  <c r="U13" i="238"/>
  <c r="U10" i="310"/>
  <c r="U12" i="310"/>
  <c r="AJ1" i="90"/>
  <c r="F55" i="238"/>
  <c r="E42" i="308"/>
  <c r="E41" i="308"/>
  <c r="AI1" i="90"/>
  <c r="D22" i="90"/>
  <c r="AH1" i="90"/>
  <c r="AE1" i="90"/>
  <c r="AK1" i="90"/>
  <c r="AG1" i="238"/>
  <c r="F22" i="308"/>
  <c r="AH1" i="341"/>
  <c r="AC1" i="341"/>
  <c r="AD1" i="3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4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4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9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A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A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E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E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3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<sst xmlns="http://schemas.openxmlformats.org/spreadsheetml/2006/main" count="1709" uniqueCount="378">
  <si>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</si>
  <si>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</si>
  <si>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</si>
  <si>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</si>
  <si>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</si>
  <si>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</si>
  <si>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</si>
  <si>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</si>
  <si>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</si>
  <si>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</si>
  <si>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</si>
  <si>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</si>
  <si>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</si>
  <si>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</si>
  <si>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</si>
  <si>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</si>
  <si>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</si>
  <si>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</si>
  <si>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</si>
  <si>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</si>
  <si>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</si>
  <si>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</si>
  <si>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</si>
  <si>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</si>
  <si>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</si>
  <si>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</si>
  <si>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</si>
  <si>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</si>
  <si>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</si>
  <si>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</si>
  <si>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</si>
  <si>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</si>
  <si>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</si>
  <si>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</si>
  <si>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</si>
  <si>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</si>
  <si>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</si>
  <si>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</si>
  <si>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</si>
  <si>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</si>
  <si>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</si>
  <si>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</si>
  <si>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</si>
  <si>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</si>
  <si>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</si>
  <si>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</si>
  <si>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</si>
  <si>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</si>
  <si>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</si>
  <si>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</si>
  <si>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</si>
  <si>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</si>
  <si>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</si>
  <si>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</si>
  <si>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</si>
  <si>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</si>
  <si>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</si>
  <si>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</si>
  <si>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</si>
  <si>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</si>
  <si>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</si>
  <si>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</si>
  <si>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</si>
  <si>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</si>
  <si>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</si>
  <si>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</si>
  <si>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</si>
  <si>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</si>
  <si>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</si>
  <si>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</si>
  <si>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</si>
  <si>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</si>
  <si>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</si>
  <si>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</si>
  <si>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</si>
  <si>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</si>
  <si>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</si>
  <si>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</si>
  <si>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</si>
  <si>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</si>
  <si>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</si>
  <si>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</si>
  <si>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</si>
  <si>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</si>
  <si>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</si>
  <si>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</si>
  <si>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</si>
  <si>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</si>
  <si>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</si>
  <si>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</si>
  <si>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</si>
  <si>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</si>
  <si>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</si>
  <si>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</si>
  <si>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</si>
  <si>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</si>
  <si>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</si>
  <si>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</si>
  <si>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</si>
  <si>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</si>
  <si>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</si>
  <si>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</si>
  <si>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</si>
  <si>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</si>
  <si>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</si>
  <si>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</si>
  <si>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</si>
  <si>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</si>
  <si>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</si>
  <si>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</si>
  <si>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</si>
  <si>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</si>
  <si>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</si>
  <si>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</si>
  <si>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</si>
  <si>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</si>
  <si>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</si>
  <si>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</si>
  <si>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</si>
  <si>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Diákolimpia</t>
  </si>
  <si>
    <t>Rákóczi Andrea</t>
  </si>
  <si>
    <t>Lány 1 kcs A</t>
  </si>
  <si>
    <t>Lány 1 kcs B</t>
  </si>
  <si>
    <t>Fiú 1 kcs A</t>
  </si>
  <si>
    <t>Fiú 1 kcs B</t>
  </si>
  <si>
    <t>2025.05.26-06-01.</t>
  </si>
  <si>
    <t>Balatonboglár</t>
  </si>
  <si>
    <t>Pór Krisztina</t>
  </si>
  <si>
    <t>BBTC SE</t>
  </si>
  <si>
    <t xml:space="preserve">Bagdi </t>
  </si>
  <si>
    <t>Sára</t>
  </si>
  <si>
    <t>Gyula Implom</t>
  </si>
  <si>
    <t>Viszló</t>
  </si>
  <si>
    <t>Tímea</t>
  </si>
  <si>
    <t>Szfvári II. Rákóczi F. Ált Isk.</t>
  </si>
  <si>
    <t xml:space="preserve">Varga </t>
  </si>
  <si>
    <t>Veronika</t>
  </si>
  <si>
    <t>Szent Imre Katolikus Gimnázium, Két Tanítási Nyelvű Általános Iskola, Kollégium, Óvoda és Alapfokú Művészeti Iskola</t>
  </si>
  <si>
    <t>Bödör</t>
  </si>
  <si>
    <t>Maja</t>
  </si>
  <si>
    <t>Zalaegerszegi Eötvös József Általános Iskola</t>
  </si>
  <si>
    <t>Varga</t>
  </si>
  <si>
    <t>Virág</t>
  </si>
  <si>
    <t xml:space="preserve">Zalaegerszegi Dózsa György Magyar-Angol Két Tanítási Nyelvű Általános Iskola </t>
  </si>
  <si>
    <t xml:space="preserve">Szilvási </t>
  </si>
  <si>
    <t>Emili</t>
  </si>
  <si>
    <t>Kecskeméti Vásárhelyi Pál Általános Iskola és Alapfokú Művészeti Iskola</t>
  </si>
  <si>
    <t>Dóra Emili</t>
  </si>
  <si>
    <t>Sztárai Mihály - Pécs</t>
  </si>
  <si>
    <t xml:space="preserve">Jagic </t>
  </si>
  <si>
    <t>Hanna Mila</t>
  </si>
  <si>
    <t>Pécsi Jókai Ált. Isk.</t>
  </si>
  <si>
    <t xml:space="preserve">Magasi </t>
  </si>
  <si>
    <t>Lilla</t>
  </si>
  <si>
    <t>Mezőberény</t>
  </si>
  <si>
    <t>Zille</t>
  </si>
  <si>
    <t>Sarkad</t>
  </si>
  <si>
    <t xml:space="preserve">Braun </t>
  </si>
  <si>
    <t>Olívia</t>
  </si>
  <si>
    <t>Miskolci Kazinczy Ferenc Magyar-Angol Két Tanítási Nyelvű Általános Iskola</t>
  </si>
  <si>
    <t xml:space="preserve">Farkas </t>
  </si>
  <si>
    <t>Szófia</t>
  </si>
  <si>
    <t>Diósgyőri Nagy Lajos Király Általános Iskola Miskolc</t>
  </si>
  <si>
    <t xml:space="preserve">Prédl </t>
  </si>
  <si>
    <t>Emma Lili</t>
  </si>
  <si>
    <t>Városligeti Magyar-Angol Két Tanítási Nyelvű Általános Iskola</t>
  </si>
  <si>
    <t>Mosolygó</t>
  </si>
  <si>
    <t>Janka</t>
  </si>
  <si>
    <t>Zsirai Ált Isk</t>
  </si>
  <si>
    <t xml:space="preserve">Városi </t>
  </si>
  <si>
    <t>Boglárka</t>
  </si>
  <si>
    <t>Daák téri Ált Isk</t>
  </si>
  <si>
    <t>Nánási</t>
  </si>
  <si>
    <t>Mirtill</t>
  </si>
  <si>
    <t>Db., Árpád V.</t>
  </si>
  <si>
    <t>Lente</t>
  </si>
  <si>
    <t>Zoé Vera</t>
  </si>
  <si>
    <t>Db., Kossuth L.</t>
  </si>
  <si>
    <t xml:space="preserve">Jankovich </t>
  </si>
  <si>
    <t>Judit</t>
  </si>
  <si>
    <t xml:space="preserve">Rosiczky </t>
  </si>
  <si>
    <t>Kendra</t>
  </si>
  <si>
    <t>Emma</t>
  </si>
  <si>
    <t>Jászberényi Nagyboldogasszony Katolikus Óvoda, Kéttannyelvű Általános Iskola és Gimnázium</t>
  </si>
  <si>
    <t>Székely</t>
  </si>
  <si>
    <t>Szonja</t>
  </si>
  <si>
    <t>Szent István Sport Általános Iskola és Gimnázium</t>
  </si>
  <si>
    <t>Steiner</t>
  </si>
  <si>
    <t>Luca Gréta</t>
  </si>
  <si>
    <t>Boglári Általános Iskola és Alapfokú Művészeti Iskola</t>
  </si>
  <si>
    <t xml:space="preserve">Czene </t>
  </si>
  <si>
    <t>Lara</t>
  </si>
  <si>
    <t>Puskorics</t>
  </si>
  <si>
    <t>Bori</t>
  </si>
  <si>
    <t>Szentpéterfai Horvát-Magyar Kétnyelvű Nemzetiségi Általános Iskola</t>
  </si>
  <si>
    <t>Sulyok</t>
  </si>
  <si>
    <t>Bíborka</t>
  </si>
  <si>
    <t>Szent László Katolikus Általános Iskola</t>
  </si>
  <si>
    <t xml:space="preserve">Szabó </t>
  </si>
  <si>
    <t>Barnabás</t>
  </si>
  <si>
    <t>Bóly</t>
  </si>
  <si>
    <t xml:space="preserve">Pongrácz </t>
  </si>
  <si>
    <t>Nándor</t>
  </si>
  <si>
    <t xml:space="preserve">Vincze 	</t>
  </si>
  <si>
    <t>Árpád</t>
  </si>
  <si>
    <t xml:space="preserve">Gyula Karácsonyi </t>
  </si>
  <si>
    <t xml:space="preserve">Mizó </t>
  </si>
  <si>
    <t>Martin</t>
  </si>
  <si>
    <t>Békéscsaba Petőfi</t>
  </si>
  <si>
    <t xml:space="preserve">Molnár </t>
  </si>
  <si>
    <t>Zente</t>
  </si>
  <si>
    <t>Fazekas Utcai Általános Iskola és Alapfokú Művészeti Iskola Miskolc</t>
  </si>
  <si>
    <t xml:space="preserve">Oláh </t>
  </si>
  <si>
    <t>Sebestyén</t>
  </si>
  <si>
    <t>Kazincbarcikai Pollack Mihály Általános Iskola</t>
  </si>
  <si>
    <t>Milán</t>
  </si>
  <si>
    <t>ELTE Gyertyánffy István Gyakorló Általános Iskola</t>
  </si>
  <si>
    <t>Ágoston</t>
  </si>
  <si>
    <t>Kiss</t>
  </si>
  <si>
    <t>Márton</t>
  </si>
  <si>
    <t>Db., Hatvani I.</t>
  </si>
  <si>
    <t>Andrásik</t>
  </si>
  <si>
    <t>Miklós</t>
  </si>
  <si>
    <t xml:space="preserve">Fehér </t>
  </si>
  <si>
    <t>Gyula Bendegúz</t>
  </si>
  <si>
    <t xml:space="preserve">Vaughan </t>
  </si>
  <si>
    <t>Marcel Geoffrey</t>
  </si>
  <si>
    <t>Nolen</t>
  </si>
  <si>
    <t>Bálint</t>
  </si>
  <si>
    <t>Máté</t>
  </si>
  <si>
    <t>Jászsági Gróf Apponyi Albert Általános Iskola és Alapfokú Művészeti Iskola</t>
  </si>
  <si>
    <t>Baricza</t>
  </si>
  <si>
    <t>Hunor</t>
  </si>
  <si>
    <t>Tata</t>
  </si>
  <si>
    <t>Racsek</t>
  </si>
  <si>
    <t>Álmos</t>
  </si>
  <si>
    <t xml:space="preserve">Tata-Tarján </t>
  </si>
  <si>
    <t xml:space="preserve">Kollár </t>
  </si>
  <si>
    <t xml:space="preserve">Bertalan Gábor </t>
  </si>
  <si>
    <t>Lorántffy Zsuzsanna Református Óvoda, Általános Iskola, Gimnázium és Kollégium</t>
  </si>
  <si>
    <t xml:space="preserve">Mázsa </t>
  </si>
  <si>
    <t>Zsombor</t>
  </si>
  <si>
    <t>Balatonfenyvesi Fekete István Általános Iskola</t>
  </si>
  <si>
    <t xml:space="preserve">Bartos </t>
  </si>
  <si>
    <t>Zétény</t>
  </si>
  <si>
    <t>Vida</t>
  </si>
  <si>
    <t>Áron</t>
  </si>
  <si>
    <t>Gothard Jenő Általános Iskola</t>
  </si>
  <si>
    <t xml:space="preserve">Kollarits </t>
  </si>
  <si>
    <t>Salamon</t>
  </si>
  <si>
    <t xml:space="preserve">Táplánszentkereszti Apáczai Csere János Általános Iskola </t>
  </si>
  <si>
    <t xml:space="preserve">Csikós </t>
  </si>
  <si>
    <t>Marcell</t>
  </si>
  <si>
    <t>Boldog Gizella - Mohács</t>
  </si>
  <si>
    <t xml:space="preserve">Papp </t>
  </si>
  <si>
    <t>Flórián</t>
  </si>
  <si>
    <t xml:space="preserve">Hong </t>
  </si>
  <si>
    <t>Ruijie</t>
  </si>
  <si>
    <t xml:space="preserve">Béleczki </t>
  </si>
  <si>
    <t>Vencel</t>
  </si>
  <si>
    <t>Vadász</t>
  </si>
  <si>
    <t>Noel</t>
  </si>
  <si>
    <t>AUDI Hungária</t>
  </si>
  <si>
    <t>Lukács</t>
  </si>
  <si>
    <t>Samu</t>
  </si>
  <si>
    <t>Tatabánya</t>
  </si>
  <si>
    <t>Neményi</t>
  </si>
  <si>
    <t>Noé</t>
  </si>
  <si>
    <t>D.kesziFazekas M.Német Nyelvoktató Nemzetiségi Á.I</t>
  </si>
  <si>
    <t>Szoó</t>
  </si>
  <si>
    <t xml:space="preserve">Benedek </t>
  </si>
  <si>
    <t>ELTE Bolyai János Gyakorló Általános Iskola és Gimnázium</t>
  </si>
  <si>
    <t>CZENE</t>
  </si>
  <si>
    <t>Boglári Ált.Isk.</t>
  </si>
  <si>
    <t>SULYOK</t>
  </si>
  <si>
    <t>Sz.László Katolikus Ált. Isk.</t>
  </si>
  <si>
    <t xml:space="preserve">Puskorics </t>
  </si>
  <si>
    <t>3-4 cs.</t>
  </si>
  <si>
    <t>1 cs.</t>
  </si>
  <si>
    <t>2 cs.</t>
  </si>
  <si>
    <t>5-6 cs.</t>
  </si>
  <si>
    <t xml:space="preserve">Nagy </t>
  </si>
  <si>
    <t>Kadosa</t>
  </si>
  <si>
    <t xml:space="preserve">Móró </t>
  </si>
  <si>
    <t>Kende</t>
  </si>
  <si>
    <t>Fiú 1 kcs. A.</t>
  </si>
  <si>
    <t>MÁZSA</t>
  </si>
  <si>
    <t>NAGY</t>
  </si>
  <si>
    <t>MÓRÓ</t>
  </si>
  <si>
    <t>KOLLARITS</t>
  </si>
  <si>
    <t>KOLLÁR</t>
  </si>
  <si>
    <t>Bertalan Gábor</t>
  </si>
  <si>
    <t>VIDA</t>
  </si>
  <si>
    <t>BARTOS</t>
  </si>
  <si>
    <t>DÖNTŐ</t>
  </si>
  <si>
    <t>jn.</t>
  </si>
  <si>
    <t>-</t>
  </si>
  <si>
    <t>15/6</t>
  </si>
  <si>
    <t>6/15</t>
  </si>
  <si>
    <t>I.</t>
  </si>
  <si>
    <t>II.</t>
  </si>
  <si>
    <t>15/10</t>
  </si>
  <si>
    <t>10/15</t>
  </si>
  <si>
    <t>Szőke Z.</t>
  </si>
  <si>
    <t>Szőke E.</t>
  </si>
  <si>
    <t>15/7</t>
  </si>
  <si>
    <t>7/15</t>
  </si>
  <si>
    <t>15/1</t>
  </si>
  <si>
    <t>1/15</t>
  </si>
  <si>
    <t>15/12</t>
  </si>
  <si>
    <t>12/15</t>
  </si>
  <si>
    <t xml:space="preserve">Fazakas-Baffi </t>
  </si>
  <si>
    <t>15/3</t>
  </si>
  <si>
    <t>3/15</t>
  </si>
  <si>
    <t>15/8</t>
  </si>
  <si>
    <t>8/15</t>
  </si>
  <si>
    <t>15/5</t>
  </si>
  <si>
    <t>5/15</t>
  </si>
  <si>
    <t>15/4</t>
  </si>
  <si>
    <t>4/15</t>
  </si>
  <si>
    <t>15/0</t>
  </si>
  <si>
    <t>0/15</t>
  </si>
  <si>
    <t>15/9</t>
  </si>
  <si>
    <t>9/15</t>
  </si>
  <si>
    <t>15/13</t>
  </si>
  <si>
    <t>13/15</t>
  </si>
  <si>
    <t>15/11</t>
  </si>
  <si>
    <t>11/15</t>
  </si>
  <si>
    <t>MAGOSI</t>
  </si>
  <si>
    <t>VÁROSI</t>
  </si>
  <si>
    <t>Soproni Deák Téri</t>
  </si>
  <si>
    <t>Dóra</t>
  </si>
  <si>
    <t>Sztárai Mihály Ált.Isk.</t>
  </si>
  <si>
    <t>JAGIC</t>
  </si>
  <si>
    <t>Pécs Jókai M</t>
  </si>
  <si>
    <t>NÁNÁSI</t>
  </si>
  <si>
    <t>Debrecen Árpádv.</t>
  </si>
  <si>
    <t>LENTE</t>
  </si>
  <si>
    <t>Zoé</t>
  </si>
  <si>
    <t>Debrecen</t>
  </si>
  <si>
    <t>x</t>
  </si>
  <si>
    <t>a</t>
  </si>
  <si>
    <t>15/2</t>
  </si>
  <si>
    <t>2/15</t>
  </si>
  <si>
    <t>Gothárd J.</t>
  </si>
  <si>
    <t>KISS</t>
  </si>
  <si>
    <t>VINCZE</t>
  </si>
  <si>
    <t>Gyula</t>
  </si>
  <si>
    <t>SZABÓ</t>
  </si>
  <si>
    <t>FEHÉR</t>
  </si>
  <si>
    <t>Gyöngyöss.</t>
  </si>
  <si>
    <t>FAZAKAS-BAFFI</t>
  </si>
  <si>
    <t>ELTE</t>
  </si>
  <si>
    <t>Marcell Geoffrey</t>
  </si>
  <si>
    <t>Eger</t>
  </si>
  <si>
    <t>Városi</t>
  </si>
  <si>
    <t xml:space="preserve"> 15 5</t>
  </si>
  <si>
    <t>Vincze</t>
  </si>
  <si>
    <t>15 7</t>
  </si>
  <si>
    <t>15 11</t>
  </si>
  <si>
    <t>15 6</t>
  </si>
  <si>
    <t>b</t>
  </si>
  <si>
    <t>VAUGHAN</t>
  </si>
  <si>
    <t>Vaughan</t>
  </si>
  <si>
    <t>15 5</t>
  </si>
  <si>
    <t>15 0</t>
  </si>
  <si>
    <t>1015</t>
  </si>
  <si>
    <t>jn. GY</t>
  </si>
  <si>
    <t>jn.Gy</t>
  </si>
  <si>
    <t>jn. Gy</t>
  </si>
  <si>
    <t>NEMÉNYI</t>
  </si>
  <si>
    <t>SZOÓ</t>
  </si>
  <si>
    <t>Benedek</t>
  </si>
  <si>
    <t>D.keszi Bolyai</t>
  </si>
  <si>
    <t>VADÁSZ</t>
  </si>
  <si>
    <t>Audi Hungária</t>
  </si>
  <si>
    <t>ELTE Bolyai J. Gy.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</si>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</sst>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100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Aptos Narrow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85" fillId="0" borderId="0"/>
    <xf numFmtId="164" fontId="2" fillId="0" borderId="0" applyFont="0" applyFill="0" applyBorder="0" applyAlignment="0" applyProtection="0"/>
  </cellStyleXfs>
  <cellXfs count="46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4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60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3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4" fillId="2" borderId="0" xfId="0" applyFont="1" applyFill="1"/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7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9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8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1" fillId="2" borderId="0" xfId="0" applyNumberFormat="1" applyFont="1" applyFill="1" applyAlignment="1">
      <alignment horizontal="center" vertical="center"/>
    </xf>
    <xf numFmtId="0" fontId="71" fillId="6" borderId="7" xfId="0" applyFont="1" applyFill="1" applyBorder="1" applyAlignment="1">
      <alignment vertical="center"/>
    </xf>
    <xf numFmtId="0" fontId="76" fillId="6" borderId="7" xfId="0" applyFont="1" applyFill="1" applyBorder="1" applyAlignment="1">
      <alignment vertical="center"/>
    </xf>
    <xf numFmtId="49" fontId="76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70" fillId="6" borderId="7" xfId="0" applyFont="1" applyFill="1" applyBorder="1"/>
    <xf numFmtId="0" fontId="71" fillId="6" borderId="7" xfId="0" applyFont="1" applyFill="1" applyBorder="1" applyAlignment="1">
      <alignment horizontal="center" vertical="center" shrinkToFit="1"/>
    </xf>
    <xf numFmtId="0" fontId="74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4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4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60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9" fillId="2" borderId="28" xfId="0" applyNumberFormat="1" applyFont="1" applyFill="1" applyBorder="1" applyAlignment="1">
      <alignment horizontal="center" vertical="center"/>
    </xf>
    <xf numFmtId="49" fontId="59" fillId="2" borderId="28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49" fontId="42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27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30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7" fillId="2" borderId="0" xfId="0" applyFont="1" applyFill="1" applyAlignment="1">
      <alignment horizontal="center" shrinkToFit="1"/>
    </xf>
    <xf numFmtId="0" fontId="78" fillId="8" borderId="0" xfId="0" applyFont="1" applyFill="1"/>
    <xf numFmtId="0" fontId="78" fillId="6" borderId="0" xfId="0" applyFont="1" applyFill="1"/>
    <xf numFmtId="0" fontId="0" fillId="6" borderId="5" xfId="0" applyFill="1" applyBorder="1" applyAlignment="1">
      <alignment horizontal="center" vertical="center"/>
    </xf>
    <xf numFmtId="0" fontId="70" fillId="6" borderId="0" xfId="0" applyFont="1" applyFill="1" applyAlignment="1">
      <alignment horizontal="center"/>
    </xf>
    <xf numFmtId="0" fontId="0" fillId="6" borderId="5" xfId="0" applyFill="1" applyBorder="1"/>
    <xf numFmtId="0" fontId="70" fillId="8" borderId="5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70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9" borderId="0" xfId="0" applyNumberFormat="1" applyFont="1" applyFill="1"/>
    <xf numFmtId="0" fontId="0" fillId="9" borderId="0" xfId="0" applyFill="1" applyAlignment="1">
      <alignment horizontal="center"/>
    </xf>
    <xf numFmtId="0" fontId="70" fillId="8" borderId="0" xfId="0" applyFont="1" applyFill="1" applyAlignment="1">
      <alignment horizontal="center"/>
    </xf>
    <xf numFmtId="0" fontId="79" fillId="6" borderId="0" xfId="0" applyFont="1" applyFill="1" applyAlignment="1">
      <alignment horizontal="center"/>
    </xf>
    <xf numFmtId="0" fontId="79" fillId="8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6" xfId="0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0" fillId="11" borderId="0" xfId="0" applyFill="1"/>
    <xf numFmtId="0" fontId="80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1" fillId="6" borderId="7" xfId="0" applyFont="1" applyFill="1" applyBorder="1" applyAlignment="1">
      <alignment horizontal="center"/>
    </xf>
    <xf numFmtId="0" fontId="81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2" fillId="6" borderId="0" xfId="0" applyFont="1" applyFill="1" applyAlignment="1">
      <alignment vertical="center"/>
    </xf>
    <xf numFmtId="0" fontId="83" fillId="6" borderId="0" xfId="0" applyFont="1" applyFill="1"/>
    <xf numFmtId="49" fontId="70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6" fillId="3" borderId="1" xfId="0" applyNumberFormat="1" applyFont="1" applyFill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6" fillId="3" borderId="2" xfId="0" applyNumberFormat="1" applyFont="1" applyFill="1" applyBorder="1" applyAlignment="1">
      <alignment vertical="center" shrinkToFit="1"/>
    </xf>
    <xf numFmtId="49" fontId="66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75" fillId="6" borderId="7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72" fillId="6" borderId="0" xfId="0" applyFont="1" applyFill="1" applyAlignment="1">
      <alignment vertical="center"/>
    </xf>
    <xf numFmtId="0" fontId="73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7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86" fillId="6" borderId="0" xfId="0" applyFont="1" applyFill="1" applyAlignment="1">
      <alignment horizontal="right" vertical="center"/>
    </xf>
    <xf numFmtId="0" fontId="74" fillId="6" borderId="5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/>
    </xf>
    <xf numFmtId="0" fontId="76" fillId="6" borderId="7" xfId="0" applyFont="1" applyFill="1" applyBorder="1" applyAlignment="1">
      <alignment horizontal="center" vertical="center" shrinkToFit="1"/>
    </xf>
    <xf numFmtId="0" fontId="87" fillId="8" borderId="0" xfId="0" applyFont="1" applyFill="1" applyAlignment="1">
      <alignment horizontal="center"/>
    </xf>
    <xf numFmtId="0" fontId="88" fillId="8" borderId="0" xfId="0" applyFont="1" applyFill="1" applyAlignment="1">
      <alignment horizontal="center"/>
    </xf>
    <xf numFmtId="0" fontId="40" fillId="14" borderId="15" xfId="0" applyFont="1" applyFill="1" applyBorder="1" applyAlignment="1">
      <alignment horizontal="right" vertical="center"/>
    </xf>
    <xf numFmtId="0" fontId="0" fillId="0" borderId="30" xfId="0" applyBorder="1"/>
    <xf numFmtId="0" fontId="0" fillId="2" borderId="26" xfId="0" applyFill="1" applyBorder="1"/>
    <xf numFmtId="0" fontId="74" fillId="3" borderId="0" xfId="0" applyFont="1" applyFill="1" applyAlignment="1">
      <alignment horizontal="center"/>
    </xf>
    <xf numFmtId="0" fontId="74" fillId="4" borderId="0" xfId="0" applyFont="1" applyFill="1" applyAlignment="1">
      <alignment horizontal="center"/>
    </xf>
    <xf numFmtId="0" fontId="74" fillId="9" borderId="0" xfId="0" applyFont="1" applyFill="1" applyAlignment="1">
      <alignment horizontal="center"/>
    </xf>
    <xf numFmtId="0" fontId="48" fillId="14" borderId="0" xfId="0" applyFont="1" applyFill="1" applyAlignment="1">
      <alignment vertical="center"/>
    </xf>
    <xf numFmtId="49" fontId="57" fillId="14" borderId="0" xfId="0" applyNumberFormat="1" applyFont="1" applyFill="1" applyAlignment="1">
      <alignment vertical="center"/>
    </xf>
    <xf numFmtId="0" fontId="74" fillId="0" borderId="18" xfId="0" applyFont="1" applyBorder="1" applyAlignment="1">
      <alignment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8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89" fillId="0" borderId="5" xfId="0" applyFont="1" applyBorder="1"/>
    <xf numFmtId="0" fontId="90" fillId="0" borderId="5" xfId="0" applyFont="1" applyBorder="1" applyAlignment="1">
      <alignment vertical="center"/>
    </xf>
    <xf numFmtId="0" fontId="91" fillId="0" borderId="5" xfId="0" applyFont="1" applyBorder="1"/>
    <xf numFmtId="0" fontId="89" fillId="0" borderId="5" xfId="0" applyFont="1" applyBorder="1" applyAlignment="1">
      <alignment wrapText="1"/>
    </xf>
    <xf numFmtId="0" fontId="92" fillId="0" borderId="5" xfId="3" applyFont="1" applyBorder="1"/>
    <xf numFmtId="0" fontId="84" fillId="0" borderId="5" xfId="3" applyFont="1" applyBorder="1"/>
    <xf numFmtId="0" fontId="93" fillId="0" borderId="5" xfId="2" applyFont="1" applyBorder="1" applyAlignment="1">
      <alignment wrapText="1"/>
    </xf>
    <xf numFmtId="0" fontId="85" fillId="0" borderId="5" xfId="3" applyBorder="1"/>
    <xf numFmtId="0" fontId="94" fillId="0" borderId="5" xfId="0" applyFont="1" applyBorder="1"/>
    <xf numFmtId="0" fontId="90" fillId="0" borderId="5" xfId="2" applyFont="1" applyBorder="1" applyAlignment="1">
      <alignment vertical="center"/>
    </xf>
    <xf numFmtId="0" fontId="90" fillId="0" borderId="5" xfId="2" applyFont="1" applyBorder="1" applyAlignment="1">
      <alignment horizontal="left" vertical="center"/>
    </xf>
    <xf numFmtId="0" fontId="84" fillId="0" borderId="5" xfId="0" applyFont="1" applyBorder="1"/>
    <xf numFmtId="0" fontId="89" fillId="0" borderId="5" xfId="0" applyFont="1" applyBorder="1" applyAlignment="1">
      <alignment horizontal="left"/>
    </xf>
    <xf numFmtId="0" fontId="89" fillId="0" borderId="5" xfId="0" applyFont="1" applyBorder="1" applyAlignment="1">
      <alignment horizontal="left" wrapText="1"/>
    </xf>
    <xf numFmtId="0" fontId="89" fillId="0" borderId="5" xfId="0" applyFont="1" applyBorder="1" applyAlignment="1">
      <alignment horizontal="left" vertical="top"/>
    </xf>
    <xf numFmtId="0" fontId="89" fillId="0" borderId="5" xfId="0" applyFont="1" applyBorder="1" applyAlignment="1">
      <alignment horizontal="left" vertical="top" wrapText="1"/>
    </xf>
    <xf numFmtId="0" fontId="95" fillId="0" borderId="5" xfId="0" applyFont="1" applyBorder="1"/>
    <xf numFmtId="0" fontId="90" fillId="0" borderId="5" xfId="0" applyFont="1" applyBorder="1"/>
    <xf numFmtId="0" fontId="96" fillId="0" borderId="5" xfId="0" applyFont="1" applyBorder="1"/>
    <xf numFmtId="0" fontId="90" fillId="0" borderId="5" xfId="0" applyFont="1" applyBorder="1" applyAlignment="1">
      <alignment horizontal="left" vertical="center"/>
    </xf>
    <xf numFmtId="0" fontId="94" fillId="0" borderId="5" xfId="0" applyFont="1" applyBorder="1" applyAlignment="1">
      <alignment wrapText="1"/>
    </xf>
    <xf numFmtId="0" fontId="90" fillId="14" borderId="5" xfId="0" applyFont="1" applyFill="1" applyBorder="1"/>
    <xf numFmtId="0" fontId="45" fillId="6" borderId="7" xfId="0" applyFont="1" applyFill="1" applyBorder="1" applyAlignment="1">
      <alignment vertical="center"/>
    </xf>
    <xf numFmtId="0" fontId="56" fillId="6" borderId="7" xfId="0" applyFont="1" applyFill="1" applyBorder="1" applyAlignment="1">
      <alignment vertical="center"/>
    </xf>
    <xf numFmtId="0" fontId="91" fillId="0" borderId="5" xfId="0" applyFont="1" applyBorder="1" applyAlignment="1">
      <alignment horizontal="justify" vertical="center"/>
    </xf>
    <xf numFmtId="0" fontId="70" fillId="8" borderId="26" xfId="0" applyFont="1" applyFill="1" applyBorder="1" applyAlignment="1">
      <alignment horizontal="center" vertical="center"/>
    </xf>
    <xf numFmtId="49" fontId="0" fillId="6" borderId="0" xfId="0" applyNumberFormat="1" applyFill="1"/>
    <xf numFmtId="16" fontId="0" fillId="6" borderId="0" xfId="0" applyNumberFormat="1" applyFill="1"/>
    <xf numFmtId="16" fontId="47" fillId="6" borderId="0" xfId="0" applyNumberFormat="1" applyFont="1" applyFill="1" applyAlignment="1">
      <alignment vertical="center"/>
    </xf>
    <xf numFmtId="49" fontId="47" fillId="6" borderId="0" xfId="0" applyNumberFormat="1" applyFont="1" applyFill="1" applyAlignment="1">
      <alignment horizontal="right" vertical="center"/>
    </xf>
    <xf numFmtId="0" fontId="1" fillId="6" borderId="7" xfId="0" applyFont="1" applyFill="1" applyBorder="1"/>
    <xf numFmtId="0" fontId="1" fillId="8" borderId="7" xfId="0" applyFont="1" applyFill="1" applyBorder="1" applyAlignment="1">
      <alignment horizontal="center"/>
    </xf>
    <xf numFmtId="14" fontId="26" fillId="2" borderId="28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right" vertical="center" shrinkToFit="1"/>
    </xf>
    <xf numFmtId="49" fontId="0" fillId="13" borderId="5" xfId="0" applyNumberForma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0" fontId="9" fillId="6" borderId="0" xfId="0" applyFont="1" applyFill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70" fillId="6" borderId="5" xfId="0" applyFont="1" applyFill="1" applyBorder="1" applyAlignment="1">
      <alignment horizontal="center"/>
    </xf>
    <xf numFmtId="49" fontId="1" fillId="13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</cellXfs>
  <cellStyles count="5">
    <cellStyle name="Hivatkozás" xfId="1" builtinId="8"/>
    <cellStyle name="Normál" xfId="0" builtinId="0"/>
    <cellStyle name="Normál 2" xfId="2" xr:uid="{00000000-0005-0000-0000-000002000000}"/>
    <cellStyle name="Normál 3" xfId="3" xr:uid="{00000000-0005-0000-0000-000003000000}"/>
    <cellStyle name="Pénznem" xfId="4" builtinId="4"/>
  </cellStyles>
  <dxfs count="127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13" name="Picture 13">
          <a:extLst>
            <a:ext uri="{FF2B5EF4-FFF2-40B4-BE49-F238E27FC236}">
              <a16:creationId xmlns:a16="http://schemas.microsoft.com/office/drawing/2014/main" id="{F3E377EA-A7C1-39B6-8D1C-CED6ED19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10" name="Picture 3">
          <a:extLst>
            <a:ext uri="{FF2B5EF4-FFF2-40B4-BE49-F238E27FC236}">
              <a16:creationId xmlns:a16="http://schemas.microsoft.com/office/drawing/2014/main" id="{48A12E5E-17CE-D1E3-D808-5F6A85F2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9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9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73" name="Picture 21">
          <a:extLst>
            <a:ext uri="{FF2B5EF4-FFF2-40B4-BE49-F238E27FC236}">
              <a16:creationId xmlns:a16="http://schemas.microsoft.com/office/drawing/2014/main" id="{CABCD151-F1A0-BAA6-F379-8F8A11E3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A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10" name="Picture 3">
          <a:extLst>
            <a:ext uri="{FF2B5EF4-FFF2-40B4-BE49-F238E27FC236}">
              <a16:creationId xmlns:a16="http://schemas.microsoft.com/office/drawing/2014/main" id="{E4402EE8-7308-B299-701E-105E0A27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7082" name="Picture 1">
          <a:extLst>
            <a:ext uri="{FF2B5EF4-FFF2-40B4-BE49-F238E27FC236}">
              <a16:creationId xmlns:a16="http://schemas.microsoft.com/office/drawing/2014/main" id="{5A4F9CC2-A4A0-A44D-9706-79FE922B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9811" name="Picture 3">
          <a:extLst>
            <a:ext uri="{FF2B5EF4-FFF2-40B4-BE49-F238E27FC236}">
              <a16:creationId xmlns:a16="http://schemas.microsoft.com/office/drawing/2014/main" id="{F7EACF33-3664-271A-E1BE-6E80F0FC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85" name="Picture 21">
          <a:extLst>
            <a:ext uri="{FF2B5EF4-FFF2-40B4-BE49-F238E27FC236}">
              <a16:creationId xmlns:a16="http://schemas.microsoft.com/office/drawing/2014/main" id="{ABA20A1D-F4D2-20C3-DE6F-A2617AB0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E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74" name="Picture 3">
          <a:extLst>
            <a:ext uri="{FF2B5EF4-FFF2-40B4-BE49-F238E27FC236}">
              <a16:creationId xmlns:a16="http://schemas.microsoft.com/office/drawing/2014/main" id="{F6DFCF9A-7890-389A-A8C8-3605C289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46" name="Picture 1">
          <a:extLst>
            <a:ext uri="{FF2B5EF4-FFF2-40B4-BE49-F238E27FC236}">
              <a16:creationId xmlns:a16="http://schemas.microsoft.com/office/drawing/2014/main" id="{0B791F18-C719-F709-4C15-EC74AF79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370" name="Picture 1">
          <a:extLst>
            <a:ext uri="{FF2B5EF4-FFF2-40B4-BE49-F238E27FC236}">
              <a16:creationId xmlns:a16="http://schemas.microsoft.com/office/drawing/2014/main" id="{7A48C12B-669F-B78F-78C9-83CDAB9E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0394" name="Picture 1">
          <a:extLst>
            <a:ext uri="{FF2B5EF4-FFF2-40B4-BE49-F238E27FC236}">
              <a16:creationId xmlns:a16="http://schemas.microsoft.com/office/drawing/2014/main" id="{A0589C0D-8769-8B46-BFCC-6EC0D962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9" name="Picture 23">
          <a:extLst>
            <a:ext uri="{FF2B5EF4-FFF2-40B4-BE49-F238E27FC236}">
              <a16:creationId xmlns:a16="http://schemas.microsoft.com/office/drawing/2014/main" id="{6532D745-A36E-27E8-0EE3-0846ABF0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09" name="Picture 3">
          <a:extLst>
            <a:ext uri="{FF2B5EF4-FFF2-40B4-BE49-F238E27FC236}">
              <a16:creationId xmlns:a16="http://schemas.microsoft.com/office/drawing/2014/main" id="{06CB1DBB-8267-D6CA-1C7A-70DE943B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13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13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7" name="Picture 21">
          <a:extLst>
            <a:ext uri="{FF2B5EF4-FFF2-40B4-BE49-F238E27FC236}">
              <a16:creationId xmlns:a16="http://schemas.microsoft.com/office/drawing/2014/main" id="{32AC36CE-14C5-2D29-AE68-081FD54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23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9113" name="Picture 1">
          <a:extLst>
            <a:ext uri="{FF2B5EF4-FFF2-40B4-BE49-F238E27FC236}">
              <a16:creationId xmlns:a16="http://schemas.microsoft.com/office/drawing/2014/main" id="{FAED81D2-C3D6-9E05-D2A7-D5FD7CF4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6" name="Picture 21">
          <a:extLst>
            <a:ext uri="{FF2B5EF4-FFF2-40B4-BE49-F238E27FC236}">
              <a16:creationId xmlns:a16="http://schemas.microsoft.com/office/drawing/2014/main" id="{2D1FDCEF-B415-8500-F984-321F79C0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499" name="Picture 3">
          <a:extLst>
            <a:ext uri="{FF2B5EF4-FFF2-40B4-BE49-F238E27FC236}">
              <a16:creationId xmlns:a16="http://schemas.microsoft.com/office/drawing/2014/main" id="{8B431301-32AA-4ABA-39FB-CD974C02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8793" name="Picture 3">
          <a:extLst>
            <a:ext uri="{FF2B5EF4-FFF2-40B4-BE49-F238E27FC236}">
              <a16:creationId xmlns:a16="http://schemas.microsoft.com/office/drawing/2014/main" id="{3E114490-2343-75C4-FFF2-DE95679F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71" name="Picture 1">
          <a:extLst>
            <a:ext uri="{FF2B5EF4-FFF2-40B4-BE49-F238E27FC236}">
              <a16:creationId xmlns:a16="http://schemas.microsoft.com/office/drawing/2014/main" id="{41B5C67A-6ABA-ACDD-D2B5-FC799A69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595" name="Picture 1">
          <a:extLst>
            <a:ext uri="{FF2B5EF4-FFF2-40B4-BE49-F238E27FC236}">
              <a16:creationId xmlns:a16="http://schemas.microsoft.com/office/drawing/2014/main" id="{2099D89F-5D39-135E-61D8-DFC98B5D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5.xml"/><Relationship Id="rId4" Type="http://schemas.openxmlformats.org/officeDocument/2006/relationships/ctrlProp" Target="../ctrlProps/ctrlProp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Relationship Id="rId6" Type="http://schemas.openxmlformats.org/officeDocument/2006/relationships/comments" Target="../comments6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H4" sqref="H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70" t="s">
        <v>101</v>
      </c>
      <c r="B1" s="3"/>
      <c r="C1" s="3"/>
      <c r="D1" s="171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6" t="s">
        <v>19</v>
      </c>
      <c r="B5" s="21"/>
      <c r="C5" s="21"/>
      <c r="D5" s="21"/>
      <c r="E5" s="367"/>
      <c r="F5" s="22"/>
      <c r="G5" s="23"/>
    </row>
    <row r="6" spans="1:7" s="2" customFormat="1" ht="24.6" x14ac:dyDescent="0.25">
      <c r="A6" s="410" t="s">
        <v>119</v>
      </c>
      <c r="B6" s="368"/>
      <c r="C6" s="24"/>
      <c r="D6" s="25"/>
      <c r="E6" s="26"/>
      <c r="F6" s="5"/>
      <c r="G6" s="5"/>
    </row>
    <row r="7" spans="1:7" s="18" customFormat="1" ht="15" customHeight="1" x14ac:dyDescent="0.25">
      <c r="A7" s="197" t="s">
        <v>102</v>
      </c>
      <c r="B7" s="197" t="s">
        <v>103</v>
      </c>
      <c r="C7" s="197" t="s">
        <v>104</v>
      </c>
      <c r="D7" s="197" t="s">
        <v>105</v>
      </c>
      <c r="E7" s="197" t="s">
        <v>106</v>
      </c>
      <c r="F7" s="22"/>
      <c r="G7" s="23"/>
    </row>
    <row r="8" spans="1:7" s="2" customFormat="1" ht="16.5" customHeight="1" x14ac:dyDescent="0.25">
      <c r="A8" s="219" t="s">
        <v>121</v>
      </c>
      <c r="B8" s="219" t="s">
        <v>122</v>
      </c>
      <c r="C8" s="219" t="s">
        <v>123</v>
      </c>
      <c r="D8" s="219" t="s">
        <v>124</v>
      </c>
      <c r="E8" s="219"/>
      <c r="F8" s="5"/>
      <c r="G8" s="5"/>
    </row>
    <row r="9" spans="1:7" s="2" customFormat="1" ht="15" customHeight="1" x14ac:dyDescent="0.25">
      <c r="A9" s="196" t="s">
        <v>20</v>
      </c>
      <c r="B9" s="21"/>
      <c r="C9" s="197" t="s">
        <v>21</v>
      </c>
      <c r="D9" s="197"/>
      <c r="E9" s="198" t="s">
        <v>22</v>
      </c>
      <c r="F9" s="5"/>
      <c r="G9" s="5"/>
    </row>
    <row r="10" spans="1:7" s="2" customFormat="1" x14ac:dyDescent="0.25">
      <c r="A10" s="29" t="s">
        <v>125</v>
      </c>
      <c r="B10" s="30"/>
      <c r="C10" s="31" t="s">
        <v>126</v>
      </c>
      <c r="D10" s="197" t="s">
        <v>63</v>
      </c>
      <c r="E10" s="352" t="s">
        <v>120</v>
      </c>
      <c r="F10" s="5"/>
      <c r="G10" s="5"/>
    </row>
    <row r="11" spans="1:7" x14ac:dyDescent="0.25">
      <c r="A11" s="20"/>
      <c r="B11" s="21"/>
      <c r="C11" s="213" t="s">
        <v>61</v>
      </c>
      <c r="D11" s="213" t="s">
        <v>98</v>
      </c>
      <c r="E11" s="213" t="s">
        <v>99</v>
      </c>
      <c r="F11" s="33"/>
      <c r="G11" s="33"/>
    </row>
    <row r="12" spans="1:7" s="2" customFormat="1" x14ac:dyDescent="0.25">
      <c r="A12" s="172"/>
      <c r="B12" s="5"/>
      <c r="C12" s="220"/>
      <c r="D12" s="220" t="s">
        <v>128</v>
      </c>
      <c r="E12" s="220" t="s">
        <v>127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48"/>
      <c r="C17" s="173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7">
    <tabColor indexed="11"/>
  </sheetPr>
  <dimension ref="A1:AS140"/>
  <sheetViews>
    <sheetView tabSelected="1" workbookViewId="0"/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13.5546875" customWidth="1"/>
    <col min="10" max="10" width="1.6640625" style="113" customWidth="1"/>
    <col min="11" max="11" width="10.6640625" customWidth="1"/>
    <col min="12" max="12" width="1.6640625" style="113" customWidth="1"/>
    <col min="13" max="13" width="10.6640625" customWidth="1"/>
    <col min="14" max="14" width="1.6640625" style="114" customWidth="1"/>
    <col min="15" max="15" width="10.6640625" customWidth="1"/>
    <col min="16" max="16" width="1.6640625" style="113" customWidth="1"/>
    <col min="17" max="17" width="10.6640625" customWidth="1"/>
    <col min="18" max="18" width="1.6640625" style="11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6" customWidth="1"/>
  </cols>
  <sheetData>
    <row r="1" spans="1:45" s="115" customFormat="1" ht="21.75" customHeight="1" x14ac:dyDescent="0.25">
      <c r="A1" s="222" t="str">
        <f>Altalanos!$A$6</f>
        <v>Diákolimpia</v>
      </c>
      <c r="B1" s="222"/>
      <c r="C1" s="223"/>
      <c r="D1" s="223"/>
      <c r="E1" s="223"/>
      <c r="F1" s="223"/>
      <c r="G1" s="223"/>
      <c r="H1" s="222"/>
      <c r="I1" s="224"/>
      <c r="J1" s="225"/>
      <c r="K1" s="226" t="s">
        <v>52</v>
      </c>
      <c r="L1" s="227"/>
      <c r="M1" s="228"/>
      <c r="N1" s="225"/>
      <c r="O1" s="225" t="s">
        <v>13</v>
      </c>
      <c r="P1" s="225"/>
      <c r="Q1" s="223"/>
      <c r="R1" s="225"/>
      <c r="T1" s="275"/>
      <c r="U1" s="275"/>
      <c r="V1" s="275"/>
      <c r="W1" s="275"/>
      <c r="X1" s="275"/>
      <c r="Y1" s="275"/>
      <c r="Z1" s="275"/>
      <c r="AA1" s="275"/>
      <c r="AB1" s="359" t="str">
        <f>IF($Y$5=1,CONCATENATE(VLOOKUP($Y$3,$AA$2:$AH$14,2)),CONCATENATE(VLOOKUP($Y$3,$AA$16:$AH$25,2)))</f>
        <v>150</v>
      </c>
      <c r="AC1" s="359" t="str">
        <f>IF($Y$5=1,CONCATENATE(VLOOKUP($Y$3,$AA$2:$AH$14,3)),CONCATENATE(VLOOKUP($Y$3,$AA$16:$AH$25,3)))</f>
        <v>120</v>
      </c>
      <c r="AD1" s="359" t="str">
        <f>IF($Y$5=1,CONCATENATE(VLOOKUP($Y$3,$AA$2:$AH$14,4)),CONCATENATE(VLOOKUP($Y$3,$AA$16:$AH$25,4)))</f>
        <v>90</v>
      </c>
      <c r="AE1" s="359" t="str">
        <f>IF($Y$5=1,CONCATENATE(VLOOKUP($Y$3,$AA$2:$AH$14,5)),CONCATENATE(VLOOKUP($Y$3,$AA$16:$AH$25,5)))</f>
        <v>60</v>
      </c>
      <c r="AF1" s="359" t="str">
        <f>IF($Y$5=1,CONCATENATE(VLOOKUP($Y$3,$AA$2:$AH$14,6)),CONCATENATE(VLOOKUP($Y$3,$AA$16:$AH$25,6)))</f>
        <v>40</v>
      </c>
      <c r="AG1" s="359" t="str">
        <f>IF($Y$5=1,CONCATENATE(VLOOKUP($Y$3,$AA$2:$AH$14,7)),CONCATENATE(VLOOKUP($Y$3,$AA$16:$AH$25,7)))</f>
        <v>25</v>
      </c>
      <c r="AH1" s="359" t="str">
        <f>IF($Y$5=1,CONCATENATE(VLOOKUP($Y$3,$AA$2:$AH$14,8)),CONCATENATE(VLOOKUP($Y$3,$AA$16:$AH$25,8)))</f>
        <v>15</v>
      </c>
      <c r="AI1" s="363"/>
      <c r="AJ1" s="363"/>
      <c r="AK1" s="363"/>
    </row>
    <row r="2" spans="1:45" s="96" customFormat="1" x14ac:dyDescent="0.25">
      <c r="A2" s="229" t="s">
        <v>51</v>
      </c>
      <c r="B2" s="230"/>
      <c r="C2" s="230"/>
      <c r="D2" s="230"/>
      <c r="E2" s="409" t="str">
        <f>Altalanos!$B$8</f>
        <v>Lány 1 kcs B</v>
      </c>
      <c r="F2" s="230"/>
      <c r="G2" s="231"/>
      <c r="H2" s="232"/>
      <c r="I2" s="232"/>
      <c r="J2" s="233"/>
      <c r="K2" s="227"/>
      <c r="L2" s="227"/>
      <c r="M2" s="227"/>
      <c r="N2" s="233"/>
      <c r="O2" s="232"/>
      <c r="P2" s="233"/>
      <c r="Q2" s="232"/>
      <c r="R2" s="233"/>
      <c r="T2" s="268"/>
      <c r="U2" s="268"/>
      <c r="V2" s="268"/>
      <c r="W2" s="268"/>
      <c r="X2" s="268"/>
      <c r="Y2" s="350"/>
      <c r="Z2" s="349"/>
      <c r="AA2" s="349" t="s">
        <v>64</v>
      </c>
      <c r="AB2" s="340">
        <v>300</v>
      </c>
      <c r="AC2" s="340">
        <v>250</v>
      </c>
      <c r="AD2" s="340">
        <v>200</v>
      </c>
      <c r="AE2" s="340">
        <v>150</v>
      </c>
      <c r="AF2" s="340">
        <v>120</v>
      </c>
      <c r="AG2" s="340">
        <v>90</v>
      </c>
      <c r="AH2" s="340">
        <v>40</v>
      </c>
      <c r="AI2" s="327"/>
      <c r="AJ2" s="327"/>
      <c r="AK2" s="327"/>
      <c r="AL2" s="268"/>
      <c r="AM2" s="268"/>
      <c r="AN2" s="268"/>
      <c r="AO2" s="268"/>
      <c r="AP2" s="268"/>
      <c r="AQ2" s="268"/>
      <c r="AR2" s="268"/>
      <c r="AS2" s="26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9"/>
      <c r="K3" s="50" t="s">
        <v>29</v>
      </c>
      <c r="L3" s="119"/>
      <c r="M3" s="50"/>
      <c r="N3" s="119"/>
      <c r="O3" s="50"/>
      <c r="P3" s="119"/>
      <c r="Q3" s="50"/>
      <c r="R3" s="51" t="s">
        <v>30</v>
      </c>
      <c r="T3" s="269"/>
      <c r="U3" s="269"/>
      <c r="V3" s="269"/>
      <c r="W3" s="269"/>
      <c r="X3" s="269"/>
      <c r="Y3" s="349" t="str">
        <f>IF(K4="OB","A",IF(K4="IX","W",IF(K4="","",K4)))</f>
        <v>DÖNTŐ</v>
      </c>
      <c r="Z3" s="349"/>
      <c r="AA3" s="349" t="s">
        <v>65</v>
      </c>
      <c r="AB3" s="340">
        <v>280</v>
      </c>
      <c r="AC3" s="340">
        <v>230</v>
      </c>
      <c r="AD3" s="340">
        <v>180</v>
      </c>
      <c r="AE3" s="340">
        <v>140</v>
      </c>
      <c r="AF3" s="340">
        <v>80</v>
      </c>
      <c r="AG3" s="340">
        <v>0</v>
      </c>
      <c r="AH3" s="340">
        <v>0</v>
      </c>
      <c r="AI3" s="327"/>
      <c r="AJ3" s="327"/>
      <c r="AK3" s="327"/>
      <c r="AL3" s="269"/>
      <c r="AM3" s="269"/>
      <c r="AN3" s="269"/>
      <c r="AO3" s="269"/>
      <c r="AP3" s="269"/>
      <c r="AQ3" s="269"/>
      <c r="AR3" s="269"/>
      <c r="AS3" s="269"/>
    </row>
    <row r="4" spans="1:45" s="28" customFormat="1" ht="11.25" customHeight="1" thickBot="1" x14ac:dyDescent="0.3">
      <c r="A4" s="445" t="str">
        <f>Altalanos!$A$10</f>
        <v>2025.05.26-06-01.</v>
      </c>
      <c r="B4" s="445"/>
      <c r="C4" s="445"/>
      <c r="D4" s="234"/>
      <c r="E4" s="235"/>
      <c r="F4" s="235"/>
      <c r="G4" s="235" t="str">
        <f>Altalanos!$C$10</f>
        <v>Balatonboglár</v>
      </c>
      <c r="H4" s="236"/>
      <c r="I4" s="235"/>
      <c r="J4" s="237"/>
      <c r="K4" s="238" t="s">
        <v>294</v>
      </c>
      <c r="L4" s="237"/>
      <c r="M4" s="239"/>
      <c r="N4" s="237"/>
      <c r="O4" s="235"/>
      <c r="P4" s="237"/>
      <c r="Q4" s="235"/>
      <c r="R4" s="240" t="str">
        <f>Altalanos!$E$10</f>
        <v>Rákóczi Andrea</v>
      </c>
      <c r="T4" s="270"/>
      <c r="U4" s="270"/>
      <c r="V4" s="270"/>
      <c r="W4" s="270"/>
      <c r="X4" s="270"/>
      <c r="Y4" s="349"/>
      <c r="Z4" s="349"/>
      <c r="AA4" s="349" t="s">
        <v>88</v>
      </c>
      <c r="AB4" s="340">
        <v>250</v>
      </c>
      <c r="AC4" s="340">
        <v>200</v>
      </c>
      <c r="AD4" s="340">
        <v>150</v>
      </c>
      <c r="AE4" s="340">
        <v>120</v>
      </c>
      <c r="AF4" s="340">
        <v>90</v>
      </c>
      <c r="AG4" s="340">
        <v>60</v>
      </c>
      <c r="AH4" s="340">
        <v>25</v>
      </c>
      <c r="AI4" s="327"/>
      <c r="AJ4" s="327"/>
      <c r="AK4" s="327"/>
      <c r="AL4" s="270"/>
      <c r="AM4" s="270"/>
      <c r="AN4" s="270"/>
      <c r="AO4" s="270"/>
      <c r="AP4" s="270"/>
      <c r="AQ4" s="270"/>
      <c r="AR4" s="270"/>
      <c r="AS4" s="270"/>
    </row>
    <row r="5" spans="1:45" s="19" customFormat="1" x14ac:dyDescent="0.25">
      <c r="A5" s="120"/>
      <c r="B5" s="121" t="s">
        <v>3</v>
      </c>
      <c r="C5" s="212" t="s">
        <v>43</v>
      </c>
      <c r="D5" s="121" t="s">
        <v>42</v>
      </c>
      <c r="E5" s="121" t="s">
        <v>40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41</v>
      </c>
      <c r="L5" s="123"/>
      <c r="M5" s="121" t="s">
        <v>58</v>
      </c>
      <c r="N5" s="123"/>
      <c r="O5" s="121" t="s">
        <v>57</v>
      </c>
      <c r="P5" s="123"/>
      <c r="Q5" s="121"/>
      <c r="R5" s="124"/>
      <c r="T5" s="269"/>
      <c r="U5" s="269"/>
      <c r="V5" s="269"/>
      <c r="W5" s="269"/>
      <c r="X5" s="269"/>
      <c r="Y5" s="349">
        <f>IF(OR(Altalanos!$A$8="F1",Altalanos!$A$8="F2",Altalanos!$A$8="N1",Altalanos!$A$8="N2"),1,2)</f>
        <v>2</v>
      </c>
      <c r="Z5" s="349"/>
      <c r="AA5" s="349" t="s">
        <v>89</v>
      </c>
      <c r="AB5" s="340">
        <v>200</v>
      </c>
      <c r="AC5" s="340">
        <v>150</v>
      </c>
      <c r="AD5" s="340">
        <v>120</v>
      </c>
      <c r="AE5" s="340">
        <v>90</v>
      </c>
      <c r="AF5" s="340">
        <v>60</v>
      </c>
      <c r="AG5" s="340">
        <v>40</v>
      </c>
      <c r="AH5" s="340">
        <v>15</v>
      </c>
      <c r="AI5" s="327"/>
      <c r="AJ5" s="327"/>
      <c r="AK5" s="327"/>
      <c r="AL5" s="269"/>
      <c r="AM5" s="269"/>
      <c r="AN5" s="269"/>
      <c r="AO5" s="269"/>
      <c r="AP5" s="269"/>
      <c r="AQ5" s="269"/>
      <c r="AR5" s="269"/>
      <c r="AS5" s="269"/>
    </row>
    <row r="6" spans="1:45" s="19" customFormat="1" ht="11.1" customHeight="1" thickBot="1" x14ac:dyDescent="0.3">
      <c r="A6" s="353"/>
      <c r="B6" s="354"/>
      <c r="C6" s="354"/>
      <c r="D6" s="354"/>
      <c r="E6" s="354"/>
      <c r="F6" s="353" t="str">
        <f>IF(Y3="","",CONCATENATE(VLOOKUP(Y3,AB1:AH1,4)," pont"))</f>
        <v>60 pont</v>
      </c>
      <c r="G6" s="355"/>
      <c r="H6" s="5"/>
      <c r="I6" s="355"/>
      <c r="J6" s="356"/>
      <c r="K6" s="354" t="str">
        <f>IF(Y3="","",CONCATENATE(VLOOKUP(Y3,AB1:AH1,3)," pont"))</f>
        <v>90 pont</v>
      </c>
      <c r="L6" s="356"/>
      <c r="M6" s="354" t="str">
        <f>IF(Y3="","",CONCATENATE(VLOOKUP(Y3,AB1:AH1,2)," pont"))</f>
        <v>120 pont</v>
      </c>
      <c r="N6" s="356"/>
      <c r="O6" s="354" t="str">
        <f>IF(Y3="","",CONCATENATE(VLOOKUP(Y3,AB1:AH1,1)," pont"))</f>
        <v>150 pont</v>
      </c>
      <c r="P6" s="356"/>
      <c r="Q6" s="354"/>
      <c r="R6" s="357"/>
      <c r="T6" s="269"/>
      <c r="U6" s="269"/>
      <c r="V6" s="269"/>
      <c r="W6" s="269"/>
      <c r="X6" s="269"/>
      <c r="Y6" s="349"/>
      <c r="Z6" s="349"/>
      <c r="AA6" s="349" t="s">
        <v>90</v>
      </c>
      <c r="AB6" s="340">
        <v>150</v>
      </c>
      <c r="AC6" s="340">
        <v>120</v>
      </c>
      <c r="AD6" s="340">
        <v>90</v>
      </c>
      <c r="AE6" s="340">
        <v>60</v>
      </c>
      <c r="AF6" s="340">
        <v>40</v>
      </c>
      <c r="AG6" s="340">
        <v>25</v>
      </c>
      <c r="AH6" s="340">
        <v>10</v>
      </c>
      <c r="AI6" s="327"/>
      <c r="AJ6" s="327"/>
      <c r="AK6" s="327"/>
      <c r="AL6" s="269"/>
      <c r="AM6" s="269"/>
      <c r="AN6" s="269"/>
      <c r="AO6" s="269"/>
      <c r="AP6" s="269"/>
      <c r="AQ6" s="269"/>
      <c r="AR6" s="269"/>
      <c r="AS6" s="269"/>
    </row>
    <row r="7" spans="1:45" s="34" customFormat="1" ht="12.9" customHeight="1" x14ac:dyDescent="0.25">
      <c r="A7" s="125">
        <v>1</v>
      </c>
      <c r="B7" s="241" t="str">
        <f>IF($E7="","",VLOOKUP($E7,'Lány 1 kcs B ELO'!$A$7:$O$22,14))</f>
        <v/>
      </c>
      <c r="C7" s="242" t="str">
        <f>IF($E7="","",VLOOKUP($E7,'Lány 1 kcs B ELO'!$A$7:$O$22,15))</f>
        <v/>
      </c>
      <c r="D7" s="242" t="str">
        <f>IF($E7="","",VLOOKUP($E7,'Lány 1 kcs B ELO'!$A$7:$O$22,5))</f>
        <v/>
      </c>
      <c r="E7" s="243"/>
      <c r="F7" s="244" t="s">
        <v>335</v>
      </c>
      <c r="G7" s="244" t="str">
        <f>IF($E7="","",VLOOKUP($E7,'Lány 1 kcs B ELO'!$A$7:$O$22,3))</f>
        <v/>
      </c>
      <c r="H7" s="244" t="s">
        <v>173</v>
      </c>
      <c r="I7" s="244" t="s">
        <v>336</v>
      </c>
      <c r="J7" s="245"/>
      <c r="K7" s="246"/>
      <c r="L7" s="246"/>
      <c r="M7" s="246"/>
      <c r="N7" s="246"/>
      <c r="O7" s="126"/>
      <c r="P7" s="127"/>
      <c r="Q7" s="128"/>
      <c r="R7" s="129"/>
      <c r="S7" s="130"/>
      <c r="T7" s="130"/>
      <c r="U7" s="271" t="str">
        <f>Birók!P21</f>
        <v>Bíró</v>
      </c>
      <c r="V7" s="130"/>
      <c r="W7" s="130"/>
      <c r="X7" s="130"/>
      <c r="Y7" s="349"/>
      <c r="Z7" s="349"/>
      <c r="AA7" s="349" t="s">
        <v>91</v>
      </c>
      <c r="AB7" s="340">
        <v>120</v>
      </c>
      <c r="AC7" s="340">
        <v>90</v>
      </c>
      <c r="AD7" s="340">
        <v>60</v>
      </c>
      <c r="AE7" s="340">
        <v>40</v>
      </c>
      <c r="AF7" s="340">
        <v>25</v>
      </c>
      <c r="AG7" s="340">
        <v>10</v>
      </c>
      <c r="AH7" s="340">
        <v>5</v>
      </c>
      <c r="AI7" s="327"/>
      <c r="AJ7" s="327"/>
      <c r="AK7" s="327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7"/>
      <c r="C8" s="248"/>
      <c r="D8" s="248"/>
      <c r="E8" s="161"/>
      <c r="F8" s="249"/>
      <c r="G8" s="249"/>
      <c r="H8" s="250"/>
      <c r="I8" s="391" t="s">
        <v>0</v>
      </c>
      <c r="J8" s="132" t="s">
        <v>341</v>
      </c>
      <c r="K8" s="251" t="str">
        <f>UPPER(IF(OR(J8="a",J8="as"),F7,IF(OR(J8="b",J8="bs"),F9,)))</f>
        <v>NÁNÁSI</v>
      </c>
      <c r="L8" s="251"/>
      <c r="M8" s="246"/>
      <c r="N8" s="246"/>
      <c r="O8" s="126"/>
      <c r="P8" s="127"/>
      <c r="Q8" s="128"/>
      <c r="R8" s="129"/>
      <c r="S8" s="130"/>
      <c r="T8" s="130"/>
      <c r="U8" s="272" t="str">
        <f>Birók!P22</f>
        <v xml:space="preserve"> </v>
      </c>
      <c r="V8" s="130"/>
      <c r="W8" s="130"/>
      <c r="X8" s="130"/>
      <c r="Y8" s="349"/>
      <c r="Z8" s="349"/>
      <c r="AA8" s="349" t="s">
        <v>92</v>
      </c>
      <c r="AB8" s="340">
        <v>90</v>
      </c>
      <c r="AC8" s="340">
        <v>60</v>
      </c>
      <c r="AD8" s="340">
        <v>40</v>
      </c>
      <c r="AE8" s="340">
        <v>25</v>
      </c>
      <c r="AF8" s="340">
        <v>10</v>
      </c>
      <c r="AG8" s="340">
        <v>5</v>
      </c>
      <c r="AH8" s="340">
        <v>2</v>
      </c>
      <c r="AI8" s="327"/>
      <c r="AJ8" s="327"/>
      <c r="AK8" s="327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41" t="str">
        <f>IF($E9="","",VLOOKUP($E9,'Lány 1 kcs B ELO'!$A$7:$O$22,14))</f>
        <v/>
      </c>
      <c r="C9" s="242" t="str">
        <f>IF($E9="","",VLOOKUP($E9,'Lány 1 kcs B ELO'!$A$7:$O$22,15))</f>
        <v/>
      </c>
      <c r="D9" s="242" t="str">
        <f>IF($E9="","",VLOOKUP($E9,'Lány 1 kcs B ELO'!$A$7:$O$22,5))</f>
        <v/>
      </c>
      <c r="E9" s="382"/>
      <c r="F9" s="433"/>
      <c r="G9" s="293" t="str">
        <f>IF($E9="","",VLOOKUP($E9,'Lány 1 kcs B ELO'!$A$7:$O$22,3))</f>
        <v/>
      </c>
      <c r="H9" s="433" t="s">
        <v>331</v>
      </c>
      <c r="I9" s="433" t="s">
        <v>332</v>
      </c>
      <c r="J9" s="253"/>
      <c r="K9" s="440" t="s">
        <v>342</v>
      </c>
      <c r="L9" s="254"/>
      <c r="M9" s="246"/>
      <c r="N9" s="246"/>
      <c r="O9" s="126"/>
      <c r="P9" s="127"/>
      <c r="Q9" s="128"/>
      <c r="R9" s="129"/>
      <c r="S9" s="130"/>
      <c r="T9" s="130"/>
      <c r="U9" s="272" t="str">
        <f>Birók!P23</f>
        <v xml:space="preserve"> </v>
      </c>
      <c r="V9" s="130"/>
      <c r="W9" s="130"/>
      <c r="X9" s="130"/>
      <c r="Y9" s="349"/>
      <c r="Z9" s="349"/>
      <c r="AA9" s="349" t="s">
        <v>93</v>
      </c>
      <c r="AB9" s="340">
        <v>60</v>
      </c>
      <c r="AC9" s="340">
        <v>40</v>
      </c>
      <c r="AD9" s="340">
        <v>25</v>
      </c>
      <c r="AE9" s="340">
        <v>10</v>
      </c>
      <c r="AF9" s="340">
        <v>5</v>
      </c>
      <c r="AG9" s="340">
        <v>2</v>
      </c>
      <c r="AH9" s="340">
        <v>1</v>
      </c>
      <c r="AI9" s="327"/>
      <c r="AJ9" s="327"/>
      <c r="AK9" s="327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7"/>
      <c r="C10" s="248"/>
      <c r="D10" s="248"/>
      <c r="E10" s="383"/>
      <c r="F10" s="384"/>
      <c r="G10" s="384"/>
      <c r="H10" s="385"/>
      <c r="I10" s="384"/>
      <c r="J10" s="255"/>
      <c r="K10" s="391" t="s">
        <v>0</v>
      </c>
      <c r="L10" s="133" t="s">
        <v>341</v>
      </c>
      <c r="M10" s="251" t="str">
        <f>UPPER(IF(OR(L10="a",L10="as"),K8,IF(OR(L10="b",L10="bs"),K12,)))</f>
        <v>NÁNÁSI</v>
      </c>
      <c r="N10" s="256"/>
      <c r="O10" s="257"/>
      <c r="P10" s="257"/>
      <c r="Q10" s="128"/>
      <c r="R10" s="129"/>
      <c r="S10" s="130"/>
      <c r="T10" s="130"/>
      <c r="U10" s="272" t="str">
        <f>Birók!P24</f>
        <v xml:space="preserve"> </v>
      </c>
      <c r="V10" s="130"/>
      <c r="W10" s="130"/>
      <c r="X10" s="130"/>
      <c r="Y10" s="349"/>
      <c r="Z10" s="349"/>
      <c r="AA10" s="349" t="s">
        <v>94</v>
      </c>
      <c r="AB10" s="340">
        <v>40</v>
      </c>
      <c r="AC10" s="340">
        <v>25</v>
      </c>
      <c r="AD10" s="340">
        <v>15</v>
      </c>
      <c r="AE10" s="340">
        <v>7</v>
      </c>
      <c r="AF10" s="340">
        <v>4</v>
      </c>
      <c r="AG10" s="340">
        <v>1</v>
      </c>
      <c r="AH10" s="340">
        <v>0</v>
      </c>
      <c r="AI10" s="327"/>
      <c r="AJ10" s="327"/>
      <c r="AK10" s="327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41" t="str">
        <f>IF($E11="","",VLOOKUP($E11,'Lány 1 kcs B ELO'!$A$7:$O$22,14))</f>
        <v/>
      </c>
      <c r="C11" s="242" t="str">
        <f>IF($E11="","",VLOOKUP($E11,'Lány 1 kcs B ELO'!$A$7:$O$22,15))</f>
        <v/>
      </c>
      <c r="D11" s="242" t="str">
        <f>IF($E11="","",VLOOKUP($E11,'Lány 1 kcs B ELO'!$A$7:$O$22,5))</f>
        <v/>
      </c>
      <c r="E11" s="382"/>
      <c r="F11" s="433" t="s">
        <v>333</v>
      </c>
      <c r="G11" s="433" t="s">
        <v>150</v>
      </c>
      <c r="H11" s="293"/>
      <c r="I11" s="433" t="s">
        <v>334</v>
      </c>
      <c r="J11" s="245"/>
      <c r="K11" s="246"/>
      <c r="L11" s="258"/>
      <c r="M11" s="246" t="s">
        <v>364</v>
      </c>
      <c r="N11" s="259"/>
      <c r="O11" s="257"/>
      <c r="P11" s="257"/>
      <c r="Q11" s="128"/>
      <c r="R11" s="129"/>
      <c r="S11" s="130"/>
      <c r="T11" s="130"/>
      <c r="U11" s="272" t="str">
        <f>Birók!P25</f>
        <v xml:space="preserve"> </v>
      </c>
      <c r="V11" s="130"/>
      <c r="W11" s="130"/>
      <c r="X11" s="130"/>
      <c r="Y11" s="349"/>
      <c r="Z11" s="349"/>
      <c r="AA11" s="349" t="s">
        <v>95</v>
      </c>
      <c r="AB11" s="340">
        <v>25</v>
      </c>
      <c r="AC11" s="340">
        <v>15</v>
      </c>
      <c r="AD11" s="340">
        <v>10</v>
      </c>
      <c r="AE11" s="340">
        <v>6</v>
      </c>
      <c r="AF11" s="340">
        <v>3</v>
      </c>
      <c r="AG11" s="340">
        <v>1</v>
      </c>
      <c r="AH11" s="340">
        <v>0</v>
      </c>
      <c r="AI11" s="327"/>
      <c r="AJ11" s="327"/>
      <c r="AK11" s="327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7"/>
      <c r="C12" s="248"/>
      <c r="D12" s="248"/>
      <c r="E12" s="383"/>
      <c r="F12" s="384"/>
      <c r="G12" s="384"/>
      <c r="H12" s="385"/>
      <c r="I12" s="391" t="s">
        <v>0</v>
      </c>
      <c r="J12" s="132" t="s">
        <v>341</v>
      </c>
      <c r="K12" s="251" t="str">
        <f>UPPER(IF(OR(J12="a",J12="as"),F11,IF(OR(J12="b",J12="bs"),F13,)))</f>
        <v>JAGIC</v>
      </c>
      <c r="L12" s="260"/>
      <c r="M12" s="246"/>
      <c r="N12" s="259"/>
      <c r="O12" s="257"/>
      <c r="P12" s="257"/>
      <c r="Q12" s="128"/>
      <c r="R12" s="129"/>
      <c r="S12" s="130"/>
      <c r="T12" s="130"/>
      <c r="U12" s="272" t="str">
        <f>Birók!P26</f>
        <v xml:space="preserve"> </v>
      </c>
      <c r="V12" s="130"/>
      <c r="W12" s="130"/>
      <c r="X12" s="130"/>
      <c r="Y12" s="349"/>
      <c r="Z12" s="349"/>
      <c r="AA12" s="349" t="s">
        <v>100</v>
      </c>
      <c r="AB12" s="340">
        <v>15</v>
      </c>
      <c r="AC12" s="340">
        <v>10</v>
      </c>
      <c r="AD12" s="340">
        <v>6</v>
      </c>
      <c r="AE12" s="340">
        <v>3</v>
      </c>
      <c r="AF12" s="340">
        <v>1</v>
      </c>
      <c r="AG12" s="340">
        <v>0</v>
      </c>
      <c r="AH12" s="340">
        <v>0</v>
      </c>
      <c r="AI12" s="327"/>
      <c r="AJ12" s="327"/>
      <c r="AK12" s="327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41" t="str">
        <f>IF($E13="","",VLOOKUP($E13,'Lány 1 kcs B ELO'!$A$7:$O$22,14))</f>
        <v/>
      </c>
      <c r="C13" s="242" t="str">
        <f>IF($E13="","",VLOOKUP($E13,'Lány 1 kcs B ELO'!$A$7:$O$22,15))</f>
        <v/>
      </c>
      <c r="D13" s="242" t="str">
        <f>IF($E13="","",VLOOKUP($E13,'Lány 1 kcs B ELO'!$A$7:$O$22,5))</f>
        <v/>
      </c>
      <c r="E13" s="382"/>
      <c r="F13" s="433" t="s">
        <v>340</v>
      </c>
      <c r="G13" s="293" t="str">
        <f>IF($E13="","",VLOOKUP($E13,'Lány 1 kcs B ELO'!$A$7:$O$22,3))</f>
        <v/>
      </c>
      <c r="H13" s="293"/>
      <c r="I13" s="293" t="str">
        <f>IF($E13="","",VLOOKUP($E13,'Lány 1 kcs B ELO'!$A$7:$O$22,4))</f>
        <v/>
      </c>
      <c r="J13" s="261"/>
      <c r="K13" s="246"/>
      <c r="L13" s="246"/>
      <c r="M13" s="246"/>
      <c r="N13" s="259"/>
      <c r="O13" s="257"/>
      <c r="P13" s="257"/>
      <c r="Q13" s="128"/>
      <c r="R13" s="129"/>
      <c r="S13" s="130"/>
      <c r="T13" s="130"/>
      <c r="U13" s="272" t="str">
        <f>Birók!P27</f>
        <v xml:space="preserve"> </v>
      </c>
      <c r="V13" s="130"/>
      <c r="W13" s="130"/>
      <c r="X13" s="130"/>
      <c r="Y13" s="349"/>
      <c r="Z13" s="349"/>
      <c r="AA13" s="349" t="s">
        <v>96</v>
      </c>
      <c r="AB13" s="340">
        <v>10</v>
      </c>
      <c r="AC13" s="340">
        <v>6</v>
      </c>
      <c r="AD13" s="340">
        <v>3</v>
      </c>
      <c r="AE13" s="340">
        <v>1</v>
      </c>
      <c r="AF13" s="340">
        <v>0</v>
      </c>
      <c r="AG13" s="340">
        <v>0</v>
      </c>
      <c r="AH13" s="340">
        <v>0</v>
      </c>
      <c r="AI13" s="327"/>
      <c r="AJ13" s="327"/>
      <c r="AK13" s="327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7"/>
      <c r="C14" s="248"/>
      <c r="D14" s="248"/>
      <c r="E14" s="383"/>
      <c r="F14" s="384"/>
      <c r="G14" s="384"/>
      <c r="H14" s="385"/>
      <c r="I14" s="384"/>
      <c r="J14" s="255"/>
      <c r="K14" s="246"/>
      <c r="L14" s="246"/>
      <c r="M14" s="391" t="s">
        <v>0</v>
      </c>
      <c r="N14" s="133" t="s">
        <v>341</v>
      </c>
      <c r="O14" s="251" t="str">
        <f>UPPER(IF(OR(N14="a",N14="as"),M10,IF(OR(N14="b",N14="bs"),M18,)))</f>
        <v>NÁNÁSI</v>
      </c>
      <c r="P14" s="256"/>
      <c r="Q14" s="128"/>
      <c r="R14" s="129"/>
      <c r="S14" s="130"/>
      <c r="T14" s="130"/>
      <c r="U14" s="272" t="str">
        <f>Birók!P28</f>
        <v xml:space="preserve"> </v>
      </c>
      <c r="V14" s="130"/>
      <c r="W14" s="130"/>
      <c r="X14" s="130"/>
      <c r="Y14" s="349"/>
      <c r="Z14" s="349"/>
      <c r="AA14" s="349" t="s">
        <v>97</v>
      </c>
      <c r="AB14" s="340">
        <v>3</v>
      </c>
      <c r="AC14" s="340">
        <v>2</v>
      </c>
      <c r="AD14" s="340">
        <v>1</v>
      </c>
      <c r="AE14" s="340">
        <v>0</v>
      </c>
      <c r="AF14" s="340">
        <v>0</v>
      </c>
      <c r="AG14" s="340">
        <v>0</v>
      </c>
      <c r="AH14" s="340">
        <v>0</v>
      </c>
      <c r="AI14" s="327"/>
      <c r="AJ14" s="327"/>
      <c r="AK14" s="327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92">
        <v>5</v>
      </c>
      <c r="B15" s="241" t="str">
        <f>IF($E15="","",VLOOKUP($E15,'Lány 1 kcs B ELO'!$A$7:$O$22,14))</f>
        <v/>
      </c>
      <c r="C15" s="242" t="str">
        <f>IF($E15="","",VLOOKUP($E15,'Lány 1 kcs B ELO'!$A$7:$O$22,15))</f>
        <v/>
      </c>
      <c r="D15" s="242" t="str">
        <f>IF($E15="","",VLOOKUP($E15,'Lány 1 kcs B ELO'!$A$7:$O$22,5))</f>
        <v/>
      </c>
      <c r="E15" s="382"/>
      <c r="F15" s="433" t="s">
        <v>328</v>
      </c>
      <c r="G15" s="293" t="str">
        <f>IF($E15="","",VLOOKUP($E15,'Lány 1 kcs B ELO'!$A$7:$O$22,3))</f>
        <v/>
      </c>
      <c r="H15" s="433" t="s">
        <v>153</v>
      </c>
      <c r="I15" s="433" t="s">
        <v>154</v>
      </c>
      <c r="J15" s="263"/>
      <c r="K15" s="246"/>
      <c r="L15" s="246"/>
      <c r="M15" s="246"/>
      <c r="N15" s="259"/>
      <c r="O15" s="246" t="s">
        <v>365</v>
      </c>
      <c r="P15" s="257"/>
      <c r="Q15" s="128"/>
      <c r="R15" s="129"/>
      <c r="S15" s="130"/>
      <c r="T15" s="130"/>
      <c r="U15" s="272" t="str">
        <f>Birók!P29</f>
        <v xml:space="preserve"> </v>
      </c>
      <c r="V15" s="130"/>
      <c r="W15" s="130"/>
      <c r="X15" s="130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27"/>
      <c r="AJ15" s="327"/>
      <c r="AK15" s="327"/>
      <c r="AL15" s="130"/>
      <c r="AM15" s="130"/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7"/>
      <c r="C16" s="248"/>
      <c r="D16" s="248"/>
      <c r="E16" s="383"/>
      <c r="F16" s="384"/>
      <c r="G16" s="384"/>
      <c r="H16" s="385"/>
      <c r="I16" s="391" t="s">
        <v>0</v>
      </c>
      <c r="J16" s="132" t="s">
        <v>341</v>
      </c>
      <c r="K16" s="251" t="str">
        <f>UPPER(IF(OR(J16="a",J16="as"),F15,IF(OR(J16="b",J16="bs"),F17,)))</f>
        <v>MAGOSI</v>
      </c>
      <c r="L16" s="251"/>
      <c r="M16" s="246"/>
      <c r="N16" s="259"/>
      <c r="O16" s="391"/>
      <c r="P16" s="257"/>
      <c r="Q16" s="128"/>
      <c r="R16" s="129"/>
      <c r="S16" s="130"/>
      <c r="T16" s="130"/>
      <c r="U16" s="273" t="str">
        <f>Birók!P30</f>
        <v>Egyik sem</v>
      </c>
      <c r="V16" s="130"/>
      <c r="W16" s="130"/>
      <c r="X16" s="130"/>
      <c r="Y16" s="349"/>
      <c r="Z16" s="349"/>
      <c r="AA16" s="349" t="s">
        <v>64</v>
      </c>
      <c r="AB16" s="340">
        <v>150</v>
      </c>
      <c r="AC16" s="340">
        <v>120</v>
      </c>
      <c r="AD16" s="340">
        <v>90</v>
      </c>
      <c r="AE16" s="340">
        <v>60</v>
      </c>
      <c r="AF16" s="340">
        <v>40</v>
      </c>
      <c r="AG16" s="340">
        <v>25</v>
      </c>
      <c r="AH16" s="340">
        <v>15</v>
      </c>
      <c r="AI16" s="327"/>
      <c r="AJ16" s="327"/>
      <c r="AK16" s="327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41" t="str">
        <f>IF($E17="","",VLOOKUP($E17,'Lány 1 kcs B ELO'!$A$7:$O$22,14))</f>
        <v/>
      </c>
      <c r="C17" s="242" t="str">
        <f>IF($E17="","",VLOOKUP($E17,'Lány 1 kcs B ELO'!$A$7:$O$22,15))</f>
        <v/>
      </c>
      <c r="D17" s="242" t="str">
        <f>IF($E17="","",VLOOKUP($E17,'Lány 1 kcs B ELO'!$A$7:$O$22,5))</f>
        <v/>
      </c>
      <c r="E17" s="382"/>
      <c r="F17" s="433" t="s">
        <v>340</v>
      </c>
      <c r="G17" s="293" t="str">
        <f>IF($E17="","",VLOOKUP($E17,'Lány 1 kcs B ELO'!$A$7:$O$22,3))</f>
        <v/>
      </c>
      <c r="H17" s="293"/>
      <c r="I17" s="293" t="str">
        <f>IF($E17="","",VLOOKUP($E17,'Lány 1 kcs B ELO'!$A$7:$O$22,4))</f>
        <v/>
      </c>
      <c r="J17" s="253"/>
      <c r="K17" s="246"/>
      <c r="L17" s="254"/>
      <c r="M17" s="246"/>
      <c r="N17" s="259"/>
      <c r="O17" s="257"/>
      <c r="P17" s="257"/>
      <c r="Q17" s="128"/>
      <c r="R17" s="129"/>
      <c r="S17" s="130"/>
      <c r="T17" s="130"/>
      <c r="U17" s="130"/>
      <c r="V17" s="130"/>
      <c r="W17" s="130"/>
      <c r="X17" s="130"/>
      <c r="Y17" s="349"/>
      <c r="Z17" s="349"/>
      <c r="AA17" s="349" t="s">
        <v>88</v>
      </c>
      <c r="AB17" s="340">
        <v>120</v>
      </c>
      <c r="AC17" s="340">
        <v>90</v>
      </c>
      <c r="AD17" s="340">
        <v>60</v>
      </c>
      <c r="AE17" s="340">
        <v>40</v>
      </c>
      <c r="AF17" s="340">
        <v>25</v>
      </c>
      <c r="AG17" s="340">
        <v>15</v>
      </c>
      <c r="AH17" s="340">
        <v>8</v>
      </c>
      <c r="AI17" s="327"/>
      <c r="AJ17" s="327"/>
      <c r="AK17" s="327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7"/>
      <c r="C18" s="248"/>
      <c r="D18" s="248"/>
      <c r="E18" s="383"/>
      <c r="F18" s="384"/>
      <c r="G18" s="384"/>
      <c r="H18" s="385"/>
      <c r="I18" s="384"/>
      <c r="J18" s="255"/>
      <c r="K18" s="391" t="s">
        <v>0</v>
      </c>
      <c r="L18" s="133"/>
      <c r="M18" s="251" t="s">
        <v>355</v>
      </c>
      <c r="N18" s="264"/>
      <c r="O18" s="257"/>
      <c r="P18" s="257"/>
      <c r="Q18" s="128"/>
      <c r="R18" s="129"/>
      <c r="S18" s="130"/>
      <c r="T18" s="130"/>
      <c r="U18" s="130"/>
      <c r="V18" s="130"/>
      <c r="W18" s="130"/>
      <c r="X18" s="130"/>
      <c r="Y18" s="349"/>
      <c r="Z18" s="349"/>
      <c r="AA18" s="349" t="s">
        <v>89</v>
      </c>
      <c r="AB18" s="340">
        <v>90</v>
      </c>
      <c r="AC18" s="340">
        <v>60</v>
      </c>
      <c r="AD18" s="340">
        <v>40</v>
      </c>
      <c r="AE18" s="340">
        <v>25</v>
      </c>
      <c r="AF18" s="340">
        <v>15</v>
      </c>
      <c r="AG18" s="340">
        <v>8</v>
      </c>
      <c r="AH18" s="340">
        <v>4</v>
      </c>
      <c r="AI18" s="327"/>
      <c r="AJ18" s="327"/>
      <c r="AK18" s="327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41" t="str">
        <f>IF($E19="","",VLOOKUP($E19,'Lány 1 kcs B ELO'!$A$7:$O$22,14))</f>
        <v/>
      </c>
      <c r="C19" s="242" t="str">
        <f>IF($E19="","",VLOOKUP($E19,'Lány 1 kcs B ELO'!$A$7:$O$22,15))</f>
        <v/>
      </c>
      <c r="D19" s="242" t="str">
        <f>IF($E19="","",VLOOKUP($E19,'Lány 1 kcs B ELO'!$A$7:$O$22,5))</f>
        <v/>
      </c>
      <c r="E19" s="382"/>
      <c r="F19" s="433" t="s">
        <v>329</v>
      </c>
      <c r="G19" s="433" t="s">
        <v>170</v>
      </c>
      <c r="H19" s="293"/>
      <c r="I19" s="433" t="s">
        <v>330</v>
      </c>
      <c r="J19" s="245"/>
      <c r="K19" s="246"/>
      <c r="L19" s="258"/>
      <c r="M19" s="439" t="s">
        <v>356</v>
      </c>
      <c r="N19" s="257"/>
      <c r="O19" s="257"/>
      <c r="P19" s="257"/>
      <c r="Q19" s="128"/>
      <c r="R19" s="129"/>
      <c r="S19" s="130"/>
      <c r="T19" s="130"/>
      <c r="U19" s="130"/>
      <c r="V19" s="130"/>
      <c r="W19" s="130"/>
      <c r="X19" s="130"/>
      <c r="Y19" s="349"/>
      <c r="Z19" s="349"/>
      <c r="AA19" s="349" t="s">
        <v>90</v>
      </c>
      <c r="AB19" s="340">
        <v>60</v>
      </c>
      <c r="AC19" s="340">
        <v>40</v>
      </c>
      <c r="AD19" s="340">
        <v>25</v>
      </c>
      <c r="AE19" s="340">
        <v>15</v>
      </c>
      <c r="AF19" s="340">
        <v>8</v>
      </c>
      <c r="AG19" s="340">
        <v>4</v>
      </c>
      <c r="AH19" s="340">
        <v>2</v>
      </c>
      <c r="AI19" s="327"/>
      <c r="AJ19" s="327"/>
      <c r="AK19" s="327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7"/>
      <c r="C20" s="248"/>
      <c r="D20" s="248"/>
      <c r="E20" s="161"/>
      <c r="F20" s="249"/>
      <c r="G20" s="249"/>
      <c r="H20" s="250"/>
      <c r="I20" s="391" t="s">
        <v>0</v>
      </c>
      <c r="J20" s="132" t="s">
        <v>341</v>
      </c>
      <c r="K20" s="251" t="str">
        <f>UPPER(IF(OR(J20="a",J20="as"),F19,IF(OR(J20="b",J20="bs"),F21,)))</f>
        <v>VÁROSI</v>
      </c>
      <c r="L20" s="260"/>
      <c r="M20" s="246"/>
      <c r="N20" s="257"/>
      <c r="O20" s="257"/>
      <c r="P20" s="257"/>
      <c r="Q20" s="128"/>
      <c r="R20" s="129"/>
      <c r="S20" s="130"/>
      <c r="T20" s="130"/>
      <c r="U20" s="130"/>
      <c r="V20" s="130"/>
      <c r="W20" s="130"/>
      <c r="X20" s="130"/>
      <c r="Y20" s="349"/>
      <c r="Z20" s="349"/>
      <c r="AA20" s="349" t="s">
        <v>91</v>
      </c>
      <c r="AB20" s="340">
        <v>40</v>
      </c>
      <c r="AC20" s="340">
        <v>25</v>
      </c>
      <c r="AD20" s="340">
        <v>15</v>
      </c>
      <c r="AE20" s="340">
        <v>8</v>
      </c>
      <c r="AF20" s="340">
        <v>4</v>
      </c>
      <c r="AG20" s="340">
        <v>2</v>
      </c>
      <c r="AH20" s="340">
        <v>1</v>
      </c>
      <c r="AI20" s="327"/>
      <c r="AJ20" s="327"/>
      <c r="AK20" s="327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95">
        <v>8</v>
      </c>
      <c r="B21" s="241" t="str">
        <f>IF($E21="","",VLOOKUP($E21,'Lány 1 kcs B ELO'!$A$7:$O$22,14))</f>
        <v/>
      </c>
      <c r="C21" s="242" t="str">
        <f>IF($E21="","",VLOOKUP($E21,'Lány 1 kcs B ELO'!$A$7:$O$22,15))</f>
        <v/>
      </c>
      <c r="D21" s="242" t="str">
        <f>IF($E21="","",VLOOKUP($E21,'Lány 1 kcs B ELO'!$A$7:$O$22,5))</f>
        <v/>
      </c>
      <c r="E21" s="243"/>
      <c r="F21" s="434" t="s">
        <v>337</v>
      </c>
      <c r="G21" s="434" t="s">
        <v>338</v>
      </c>
      <c r="H21" s="294"/>
      <c r="I21" s="434" t="s">
        <v>339</v>
      </c>
      <c r="J21" s="261"/>
      <c r="K21" s="440" t="s">
        <v>314</v>
      </c>
      <c r="L21" s="246"/>
      <c r="M21" s="246"/>
      <c r="N21" s="257"/>
      <c r="O21" s="257"/>
      <c r="P21" s="257"/>
      <c r="Q21" s="128"/>
      <c r="R21" s="129"/>
      <c r="S21" s="130"/>
      <c r="T21" s="130"/>
      <c r="U21" s="130"/>
      <c r="V21" s="130"/>
      <c r="W21" s="130"/>
      <c r="X21" s="130"/>
      <c r="Y21" s="349"/>
      <c r="Z21" s="349"/>
      <c r="AA21" s="349" t="s">
        <v>92</v>
      </c>
      <c r="AB21" s="340">
        <v>25</v>
      </c>
      <c r="AC21" s="340">
        <v>15</v>
      </c>
      <c r="AD21" s="340">
        <v>10</v>
      </c>
      <c r="AE21" s="340">
        <v>6</v>
      </c>
      <c r="AF21" s="340">
        <v>3</v>
      </c>
      <c r="AG21" s="340">
        <v>1</v>
      </c>
      <c r="AH21" s="340">
        <v>0</v>
      </c>
      <c r="AI21" s="327"/>
      <c r="AJ21" s="327"/>
      <c r="AK21" s="327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76"/>
      <c r="B22" s="126"/>
      <c r="C22" s="126"/>
      <c r="D22" s="126"/>
      <c r="E22" s="161"/>
      <c r="F22" s="126"/>
      <c r="G22" s="126"/>
      <c r="H22" s="126"/>
      <c r="I22" s="126"/>
      <c r="J22" s="161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49"/>
      <c r="Z22" s="349"/>
      <c r="AA22" s="349" t="s">
        <v>93</v>
      </c>
      <c r="AB22" s="340">
        <v>15</v>
      </c>
      <c r="AC22" s="340">
        <v>10</v>
      </c>
      <c r="AD22" s="340">
        <v>6</v>
      </c>
      <c r="AE22" s="340">
        <v>3</v>
      </c>
      <c r="AF22" s="340">
        <v>1</v>
      </c>
      <c r="AG22" s="340">
        <v>0</v>
      </c>
      <c r="AH22" s="340">
        <v>0</v>
      </c>
      <c r="AI22" s="327"/>
      <c r="AJ22" s="327"/>
      <c r="AK22" s="327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2"/>
      <c r="B23" s="161"/>
      <c r="C23" s="161"/>
      <c r="D23" s="161"/>
      <c r="E23" s="161"/>
      <c r="F23" s="126"/>
      <c r="G23" s="126"/>
      <c r="H23" s="130"/>
      <c r="I23" s="266"/>
      <c r="J23" s="161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49"/>
      <c r="Z23" s="349"/>
      <c r="AA23" s="349" t="s">
        <v>94</v>
      </c>
      <c r="AB23" s="340">
        <v>10</v>
      </c>
      <c r="AC23" s="340">
        <v>6</v>
      </c>
      <c r="AD23" s="340">
        <v>3</v>
      </c>
      <c r="AE23" s="340">
        <v>1</v>
      </c>
      <c r="AF23" s="340">
        <v>0</v>
      </c>
      <c r="AG23" s="340">
        <v>0</v>
      </c>
      <c r="AH23" s="340">
        <v>0</v>
      </c>
      <c r="AI23" s="327"/>
      <c r="AJ23" s="327"/>
      <c r="AK23" s="327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2"/>
      <c r="B24" s="126"/>
      <c r="C24" s="126"/>
      <c r="D24" s="126"/>
      <c r="E24" s="161"/>
      <c r="F24" s="126"/>
      <c r="G24" s="126"/>
      <c r="H24" s="126"/>
      <c r="I24" s="126"/>
      <c r="J24" s="161"/>
      <c r="K24" s="126"/>
      <c r="L24" s="267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49"/>
      <c r="Z24" s="349"/>
      <c r="AA24" s="349" t="s">
        <v>95</v>
      </c>
      <c r="AB24" s="340">
        <v>6</v>
      </c>
      <c r="AC24" s="340">
        <v>3</v>
      </c>
      <c r="AD24" s="340">
        <v>1</v>
      </c>
      <c r="AE24" s="340">
        <v>0</v>
      </c>
      <c r="AF24" s="340">
        <v>0</v>
      </c>
      <c r="AG24" s="340">
        <v>0</v>
      </c>
      <c r="AH24" s="340">
        <v>0</v>
      </c>
      <c r="AI24" s="327"/>
      <c r="AJ24" s="327"/>
      <c r="AK24" s="327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162"/>
      <c r="B25" s="161"/>
      <c r="C25" s="161"/>
      <c r="D25" s="161"/>
      <c r="E25" s="161"/>
      <c r="F25" s="126"/>
      <c r="G25" s="126"/>
      <c r="H25" s="130"/>
      <c r="I25" s="126"/>
      <c r="J25" s="161"/>
      <c r="K25" s="266"/>
      <c r="L25" s="161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49"/>
      <c r="Z25" s="349"/>
      <c r="AA25" s="349" t="s">
        <v>100</v>
      </c>
      <c r="AB25" s="340">
        <v>3</v>
      </c>
      <c r="AC25" s="340">
        <v>2</v>
      </c>
      <c r="AD25" s="340">
        <v>1</v>
      </c>
      <c r="AE25" s="340">
        <v>0</v>
      </c>
      <c r="AF25" s="340">
        <v>0</v>
      </c>
      <c r="AG25" s="340">
        <v>0</v>
      </c>
      <c r="AH25" s="340">
        <v>0</v>
      </c>
      <c r="AI25" s="327"/>
      <c r="AJ25" s="327"/>
      <c r="AK25" s="327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2"/>
      <c r="B26" s="126"/>
      <c r="C26" s="126"/>
      <c r="D26" s="126"/>
      <c r="E26" s="161"/>
      <c r="F26" s="126"/>
      <c r="G26" s="126"/>
      <c r="H26" s="126"/>
      <c r="I26" s="126"/>
      <c r="J26" s="161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7"/>
      <c r="AJ26" s="327"/>
      <c r="AK26" s="327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2"/>
      <c r="B27" s="161"/>
      <c r="C27" s="161"/>
      <c r="D27" s="161"/>
      <c r="E27" s="161"/>
      <c r="F27" s="126"/>
      <c r="G27" s="126"/>
      <c r="H27" s="130"/>
      <c r="I27" s="266"/>
      <c r="J27" s="161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7"/>
      <c r="AJ27" s="327"/>
      <c r="AK27" s="327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2"/>
      <c r="B28" s="126"/>
      <c r="C28" s="126"/>
      <c r="D28" s="126"/>
      <c r="E28" s="161"/>
      <c r="F28" s="126"/>
      <c r="G28" s="126"/>
      <c r="H28" s="126"/>
      <c r="I28" s="126"/>
      <c r="J28" s="161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64"/>
      <c r="AJ28" s="364"/>
      <c r="AK28" s="364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2"/>
      <c r="B29" s="161"/>
      <c r="C29" s="161"/>
      <c r="D29" s="161"/>
      <c r="E29" s="161"/>
      <c r="F29" s="126"/>
      <c r="G29" s="126"/>
      <c r="H29" s="130"/>
      <c r="I29" s="126"/>
      <c r="J29" s="161"/>
      <c r="K29" s="126"/>
      <c r="L29" s="126"/>
      <c r="M29" s="266"/>
      <c r="N29" s="161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64"/>
      <c r="AJ29" s="364"/>
      <c r="AK29" s="364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2"/>
      <c r="B30" s="126"/>
      <c r="C30" s="126"/>
      <c r="D30" s="126"/>
      <c r="E30" s="161"/>
      <c r="F30" s="126"/>
      <c r="G30" s="126"/>
      <c r="H30" s="126"/>
      <c r="I30" s="126"/>
      <c r="J30" s="161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64"/>
      <c r="AJ30" s="364"/>
      <c r="AK30" s="364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2"/>
      <c r="B31" s="161"/>
      <c r="C31" s="161"/>
      <c r="D31" s="161"/>
      <c r="E31" s="161"/>
      <c r="F31" s="126"/>
      <c r="G31" s="126"/>
      <c r="H31" s="130"/>
      <c r="I31" s="266"/>
      <c r="J31" s="161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64"/>
      <c r="AJ31" s="364"/>
      <c r="AK31" s="364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2"/>
      <c r="B32" s="126"/>
      <c r="C32" s="126"/>
      <c r="D32" s="126"/>
      <c r="E32" s="161"/>
      <c r="F32" s="126"/>
      <c r="G32" s="126"/>
      <c r="H32" s="126"/>
      <c r="I32" s="126"/>
      <c r="J32" s="161"/>
      <c r="K32" s="126"/>
      <c r="L32" s="267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64"/>
      <c r="AJ32" s="364"/>
      <c r="AK32" s="364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2"/>
      <c r="B33" s="161"/>
      <c r="C33" s="161"/>
      <c r="D33" s="161"/>
      <c r="E33" s="161"/>
      <c r="F33" s="126"/>
      <c r="G33" s="126"/>
      <c r="H33" s="130"/>
      <c r="I33" s="126"/>
      <c r="J33" s="161"/>
      <c r="K33" s="266"/>
      <c r="L33" s="161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64"/>
      <c r="AJ33" s="364"/>
      <c r="AK33" s="364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2"/>
      <c r="B34" s="126"/>
      <c r="C34" s="126"/>
      <c r="D34" s="126"/>
      <c r="E34" s="161"/>
      <c r="F34" s="126"/>
      <c r="G34" s="126"/>
      <c r="H34" s="126"/>
      <c r="I34" s="126"/>
      <c r="J34" s="161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64"/>
      <c r="AJ34" s="364"/>
      <c r="AK34" s="364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2"/>
      <c r="B35" s="161"/>
      <c r="C35" s="161"/>
      <c r="D35" s="161"/>
      <c r="E35" s="161"/>
      <c r="F35" s="126"/>
      <c r="G35" s="126"/>
      <c r="H35" s="130"/>
      <c r="I35" s="266"/>
      <c r="J35" s="161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64"/>
      <c r="AJ35" s="364"/>
      <c r="AK35" s="364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76"/>
      <c r="B36" s="126"/>
      <c r="C36" s="126"/>
      <c r="D36" s="126"/>
      <c r="E36" s="161"/>
      <c r="F36" s="126"/>
      <c r="G36" s="126"/>
      <c r="H36" s="126"/>
      <c r="I36" s="126"/>
      <c r="J36" s="161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64"/>
      <c r="AJ36" s="364"/>
      <c r="AK36" s="364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2"/>
      <c r="B37" s="161"/>
      <c r="C37" s="161"/>
      <c r="D37" s="161"/>
      <c r="E37" s="161"/>
      <c r="F37" s="262"/>
      <c r="G37" s="262"/>
      <c r="H37" s="265"/>
      <c r="I37" s="246"/>
      <c r="J37" s="255"/>
      <c r="K37" s="246"/>
      <c r="L37" s="246"/>
      <c r="M37" s="246"/>
      <c r="N37" s="257"/>
      <c r="O37" s="257"/>
      <c r="P37" s="257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64"/>
      <c r="AJ37" s="364"/>
      <c r="AK37" s="364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76"/>
      <c r="B38" s="126"/>
      <c r="C38" s="126"/>
      <c r="D38" s="126"/>
      <c r="E38" s="161"/>
      <c r="F38" s="126"/>
      <c r="G38" s="126"/>
      <c r="H38" s="126"/>
      <c r="I38" s="126"/>
      <c r="J38" s="161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64"/>
      <c r="AJ38" s="364"/>
      <c r="AK38" s="364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2"/>
      <c r="B39" s="161"/>
      <c r="C39" s="161"/>
      <c r="D39" s="161"/>
      <c r="E39" s="161"/>
      <c r="F39" s="126"/>
      <c r="G39" s="126"/>
      <c r="H39" s="130"/>
      <c r="I39" s="266"/>
      <c r="J39" s="161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64"/>
      <c r="AJ39" s="364"/>
      <c r="AK39" s="364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2"/>
      <c r="B40" s="126"/>
      <c r="C40" s="126"/>
      <c r="D40" s="126"/>
      <c r="E40" s="161"/>
      <c r="F40" s="126"/>
      <c r="G40" s="126"/>
      <c r="H40" s="126"/>
      <c r="I40" s="126"/>
      <c r="J40" s="161"/>
      <c r="K40" s="126"/>
      <c r="L40" s="267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64"/>
      <c r="AJ40" s="364"/>
      <c r="AK40" s="364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2"/>
      <c r="B41" s="161"/>
      <c r="C41" s="161"/>
      <c r="D41" s="161"/>
      <c r="E41" s="161"/>
      <c r="F41" s="126"/>
      <c r="G41" s="126"/>
      <c r="H41" s="130"/>
      <c r="I41" s="126"/>
      <c r="J41" s="161"/>
      <c r="K41" s="266"/>
      <c r="L41" s="161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64"/>
      <c r="AJ41" s="364"/>
      <c r="AK41" s="364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2"/>
      <c r="B42" s="126"/>
      <c r="C42" s="126"/>
      <c r="D42" s="126"/>
      <c r="E42" s="161"/>
      <c r="F42" s="126"/>
      <c r="G42" s="126"/>
      <c r="H42" s="126"/>
      <c r="I42" s="126"/>
      <c r="J42" s="161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64"/>
      <c r="AJ42" s="364"/>
      <c r="AK42" s="364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2"/>
      <c r="B43" s="161"/>
      <c r="C43" s="161"/>
      <c r="D43" s="161"/>
      <c r="E43" s="161"/>
      <c r="F43" s="126"/>
      <c r="G43" s="126"/>
      <c r="H43" s="130"/>
      <c r="I43" s="266"/>
      <c r="J43" s="161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64"/>
      <c r="AJ43" s="364"/>
      <c r="AK43" s="364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2"/>
      <c r="B44" s="126"/>
      <c r="C44" s="126"/>
      <c r="D44" s="126"/>
      <c r="E44" s="161"/>
      <c r="F44" s="126"/>
      <c r="G44" s="126"/>
      <c r="H44" s="126"/>
      <c r="I44" s="126"/>
      <c r="J44" s="161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64"/>
      <c r="AJ44" s="364"/>
      <c r="AK44" s="364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2"/>
      <c r="B45" s="161"/>
      <c r="C45" s="161"/>
      <c r="D45" s="161"/>
      <c r="E45" s="161"/>
      <c r="F45" s="126"/>
      <c r="G45" s="126"/>
      <c r="H45" s="130"/>
      <c r="I45" s="126"/>
      <c r="J45" s="161"/>
      <c r="K45" s="126"/>
      <c r="L45" s="126"/>
      <c r="M45" s="266"/>
      <c r="N45" s="161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64"/>
      <c r="AJ45" s="364"/>
      <c r="AK45" s="364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2"/>
      <c r="B46" s="126"/>
      <c r="C46" s="126"/>
      <c r="D46" s="126"/>
      <c r="E46" s="161"/>
      <c r="F46" s="126"/>
      <c r="G46" s="126"/>
      <c r="H46" s="126"/>
      <c r="I46" s="126"/>
      <c r="J46" s="161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64"/>
      <c r="AJ46" s="364"/>
      <c r="AK46" s="364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2"/>
      <c r="B47" s="161"/>
      <c r="C47" s="161"/>
      <c r="D47" s="161"/>
      <c r="E47" s="161"/>
      <c r="F47" s="126"/>
      <c r="G47" s="126"/>
      <c r="H47" s="130"/>
      <c r="I47" s="266"/>
      <c r="J47" s="161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64"/>
      <c r="AJ47" s="364"/>
      <c r="AK47" s="364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2"/>
      <c r="B48" s="126"/>
      <c r="C48" s="126"/>
      <c r="D48" s="126"/>
      <c r="E48" s="161"/>
      <c r="F48" s="126"/>
      <c r="G48" s="126"/>
      <c r="H48" s="126"/>
      <c r="I48" s="126"/>
      <c r="J48" s="161"/>
      <c r="K48" s="126"/>
      <c r="L48" s="267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64"/>
      <c r="AJ48" s="364"/>
      <c r="AK48" s="364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2"/>
      <c r="B49" s="161"/>
      <c r="C49" s="161"/>
      <c r="D49" s="161"/>
      <c r="E49" s="161"/>
      <c r="F49" s="126"/>
      <c r="G49" s="126"/>
      <c r="H49" s="130"/>
      <c r="I49" s="126"/>
      <c r="J49" s="161"/>
      <c r="K49" s="266"/>
      <c r="L49" s="161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64"/>
      <c r="AJ49" s="364"/>
      <c r="AK49" s="364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2"/>
      <c r="B50" s="126"/>
      <c r="C50" s="126"/>
      <c r="D50" s="126"/>
      <c r="E50" s="161"/>
      <c r="F50" s="126"/>
      <c r="G50" s="126"/>
      <c r="H50" s="126"/>
      <c r="I50" s="126"/>
      <c r="J50" s="161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64"/>
      <c r="AJ50" s="364"/>
      <c r="AK50" s="364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2"/>
      <c r="B51" s="161"/>
      <c r="C51" s="161"/>
      <c r="D51" s="161"/>
      <c r="E51" s="161"/>
      <c r="F51" s="126"/>
      <c r="G51" s="126"/>
      <c r="H51" s="130"/>
      <c r="I51" s="266"/>
      <c r="J51" s="161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64"/>
      <c r="AJ51" s="364"/>
      <c r="AK51" s="364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76"/>
      <c r="B52" s="126"/>
      <c r="C52" s="126"/>
      <c r="D52" s="126"/>
      <c r="E52" s="161"/>
      <c r="F52" s="403"/>
      <c r="G52" s="403"/>
      <c r="H52" s="403"/>
      <c r="I52" s="403"/>
      <c r="J52" s="161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64"/>
      <c r="AJ52" s="364"/>
      <c r="AK52" s="364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404"/>
      <c r="G53" s="404"/>
      <c r="H53" s="404"/>
      <c r="I53" s="404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64"/>
      <c r="AJ53" s="364"/>
      <c r="AK53" s="364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43</v>
      </c>
      <c r="B54" s="141"/>
      <c r="C54" s="141"/>
      <c r="D54" s="209"/>
      <c r="E54" s="142" t="s">
        <v>4</v>
      </c>
      <c r="F54" s="143" t="s">
        <v>45</v>
      </c>
      <c r="G54" s="142"/>
      <c r="H54" s="144"/>
      <c r="I54" s="145"/>
      <c r="J54" s="142" t="s">
        <v>4</v>
      </c>
      <c r="K54" s="143" t="s">
        <v>54</v>
      </c>
      <c r="L54" s="146"/>
      <c r="M54" s="143" t="s">
        <v>55</v>
      </c>
      <c r="N54" s="147"/>
      <c r="O54" s="148" t="s">
        <v>56</v>
      </c>
      <c r="P54" s="148"/>
      <c r="Q54" s="149"/>
      <c r="R54" s="15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5"/>
      <c r="AJ54" s="365"/>
      <c r="AK54" s="36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85" t="s">
        <v>44</v>
      </c>
      <c r="B55" s="286"/>
      <c r="C55" s="287"/>
      <c r="D55" s="288"/>
      <c r="E55" s="152">
        <v>1</v>
      </c>
      <c r="F55" s="85" t="str">
        <f>IF(E55&gt;$R$62,,UPPER(VLOOKUP(E55,'Lány 1 kcs B ELO'!$A$7:$Q$134,2)))</f>
        <v xml:space="preserve">VARGA </v>
      </c>
      <c r="G55" s="152"/>
      <c r="H55" s="85"/>
      <c r="I55" s="84"/>
      <c r="J55" s="277" t="s">
        <v>5</v>
      </c>
      <c r="K55" s="83"/>
      <c r="L55" s="278"/>
      <c r="M55" s="83"/>
      <c r="N55" s="279"/>
      <c r="O55" s="280" t="s">
        <v>46</v>
      </c>
      <c r="P55" s="281"/>
      <c r="Q55" s="281"/>
      <c r="R55" s="27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5"/>
      <c r="AJ55" s="365"/>
      <c r="AK55" s="36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9" t="s">
        <v>53</v>
      </c>
      <c r="B56" s="163"/>
      <c r="C56" s="290"/>
      <c r="D56" s="291"/>
      <c r="E56" s="152">
        <v>2</v>
      </c>
      <c r="F56" s="85" t="str">
        <f>IF(E56&gt;$R$62,,UPPER(VLOOKUP(E56,'Lány 1 kcs B ELO'!$A$7:$Q$134,2)))</f>
        <v xml:space="preserve">JAGIC </v>
      </c>
      <c r="G56" s="152"/>
      <c r="H56" s="85"/>
      <c r="I56" s="84"/>
      <c r="J56" s="277" t="s">
        <v>6</v>
      </c>
      <c r="K56" s="83"/>
      <c r="L56" s="278"/>
      <c r="M56" s="83"/>
      <c r="N56" s="279"/>
      <c r="O56" s="156"/>
      <c r="P56" s="282"/>
      <c r="Q56" s="163"/>
      <c r="R56" s="28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5"/>
      <c r="AJ56" s="365"/>
      <c r="AK56" s="36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8"/>
      <c r="B57" s="179"/>
      <c r="C57" s="207"/>
      <c r="D57" s="180"/>
      <c r="E57" s="152"/>
      <c r="F57" s="85"/>
      <c r="G57" s="152"/>
      <c r="H57" s="85"/>
      <c r="I57" s="84"/>
      <c r="J57" s="277" t="s">
        <v>7</v>
      </c>
      <c r="K57" s="83"/>
      <c r="L57" s="278"/>
      <c r="M57" s="83"/>
      <c r="N57" s="279"/>
      <c r="O57" s="280" t="s">
        <v>47</v>
      </c>
      <c r="P57" s="281"/>
      <c r="Q57" s="281"/>
      <c r="R57" s="27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5"/>
      <c r="AJ57" s="365"/>
      <c r="AK57" s="36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54"/>
      <c r="B58" s="120"/>
      <c r="C58" s="120"/>
      <c r="D58" s="155"/>
      <c r="E58" s="152"/>
      <c r="F58" s="85"/>
      <c r="G58" s="152"/>
      <c r="H58" s="85"/>
      <c r="I58" s="84"/>
      <c r="J58" s="277" t="s">
        <v>8</v>
      </c>
      <c r="K58" s="83"/>
      <c r="L58" s="278"/>
      <c r="M58" s="83"/>
      <c r="N58" s="279"/>
      <c r="O58" s="83"/>
      <c r="P58" s="278"/>
      <c r="Q58" s="83"/>
      <c r="R58" s="27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5"/>
      <c r="AJ58" s="365"/>
      <c r="AK58" s="36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7"/>
      <c r="B59" s="181"/>
      <c r="C59" s="181"/>
      <c r="D59" s="208"/>
      <c r="E59" s="152"/>
      <c r="F59" s="85"/>
      <c r="G59" s="152"/>
      <c r="H59" s="85"/>
      <c r="I59" s="84"/>
      <c r="J59" s="277" t="s">
        <v>9</v>
      </c>
      <c r="K59" s="83"/>
      <c r="L59" s="278"/>
      <c r="M59" s="83"/>
      <c r="N59" s="279"/>
      <c r="O59" s="163"/>
      <c r="P59" s="282"/>
      <c r="Q59" s="163"/>
      <c r="R59" s="28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5"/>
      <c r="AJ59" s="365"/>
      <c r="AK59" s="36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8"/>
      <c r="B60" s="22"/>
      <c r="C60" s="120"/>
      <c r="D60" s="155"/>
      <c r="E60" s="152"/>
      <c r="F60" s="85"/>
      <c r="G60" s="152"/>
      <c r="H60" s="85"/>
      <c r="I60" s="84"/>
      <c r="J60" s="277" t="s">
        <v>10</v>
      </c>
      <c r="K60" s="83"/>
      <c r="L60" s="278"/>
      <c r="M60" s="83"/>
      <c r="N60" s="279"/>
      <c r="O60" s="280" t="s">
        <v>33</v>
      </c>
      <c r="P60" s="281"/>
      <c r="Q60" s="281"/>
      <c r="R60" s="27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5"/>
      <c r="AJ60" s="365"/>
      <c r="AK60" s="36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8"/>
      <c r="B61" s="22"/>
      <c r="C61" s="205"/>
      <c r="D61" s="176"/>
      <c r="E61" s="152"/>
      <c r="F61" s="85"/>
      <c r="G61" s="152"/>
      <c r="H61" s="85"/>
      <c r="I61" s="84"/>
      <c r="J61" s="277" t="s">
        <v>11</v>
      </c>
      <c r="K61" s="83"/>
      <c r="L61" s="278"/>
      <c r="M61" s="83"/>
      <c r="N61" s="279"/>
      <c r="O61" s="83"/>
      <c r="P61" s="278"/>
      <c r="Q61" s="83"/>
      <c r="R61" s="27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5"/>
      <c r="AJ61" s="365"/>
      <c r="AK61" s="36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9"/>
      <c r="B62" s="166"/>
      <c r="C62" s="206"/>
      <c r="D62" s="177"/>
      <c r="E62" s="157"/>
      <c r="F62" s="156"/>
      <c r="G62" s="157"/>
      <c r="H62" s="156"/>
      <c r="I62" s="158"/>
      <c r="J62" s="284" t="s">
        <v>12</v>
      </c>
      <c r="K62" s="163"/>
      <c r="L62" s="282"/>
      <c r="M62" s="163"/>
      <c r="N62" s="283"/>
      <c r="O62" s="163" t="str">
        <f>R4</f>
        <v>Rákóczi Andrea</v>
      </c>
      <c r="P62" s="282"/>
      <c r="Q62" s="163"/>
      <c r="R62" s="159">
        <f>MIN(4,'Lány 1 kcs B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5"/>
      <c r="AJ62" s="365"/>
      <c r="AK62" s="36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L63" s="274"/>
      <c r="AM63" s="274"/>
      <c r="AN63" s="274"/>
      <c r="AO63" s="274"/>
      <c r="AP63" s="274"/>
      <c r="AQ63" s="274"/>
      <c r="AR63" s="274"/>
      <c r="AS63" s="274"/>
    </row>
    <row r="64" spans="1:45" x14ac:dyDescent="0.25"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L64" s="274"/>
      <c r="AM64" s="274"/>
      <c r="AN64" s="274"/>
      <c r="AO64" s="274"/>
      <c r="AP64" s="274"/>
      <c r="AQ64" s="274"/>
      <c r="AR64" s="274"/>
      <c r="AS64" s="274"/>
    </row>
    <row r="65" spans="20:45" x14ac:dyDescent="0.25"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L65" s="274"/>
      <c r="AM65" s="274"/>
      <c r="AN65" s="274"/>
      <c r="AO65" s="274"/>
      <c r="AP65" s="274"/>
      <c r="AQ65" s="274"/>
      <c r="AR65" s="274"/>
      <c r="AS65" s="274"/>
    </row>
    <row r="66" spans="20:45" x14ac:dyDescent="0.25"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L66" s="274"/>
      <c r="AM66" s="274"/>
      <c r="AN66" s="274"/>
      <c r="AO66" s="274"/>
      <c r="AP66" s="274"/>
      <c r="AQ66" s="274"/>
      <c r="AR66" s="274"/>
      <c r="AS66" s="274"/>
    </row>
    <row r="67" spans="20:45" x14ac:dyDescent="0.25"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L67" s="274"/>
      <c r="AM67" s="274"/>
      <c r="AN67" s="274"/>
      <c r="AO67" s="274"/>
      <c r="AP67" s="274"/>
      <c r="AQ67" s="274"/>
      <c r="AR67" s="274"/>
      <c r="AS67" s="274"/>
    </row>
    <row r="68" spans="20:45" x14ac:dyDescent="0.25"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L68" s="274"/>
      <c r="AM68" s="274"/>
      <c r="AN68" s="274"/>
      <c r="AO68" s="274"/>
      <c r="AP68" s="274"/>
      <c r="AQ68" s="274"/>
      <c r="AR68" s="274"/>
      <c r="AS68" s="274"/>
    </row>
    <row r="69" spans="20:45" x14ac:dyDescent="0.25"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L69" s="274"/>
      <c r="AM69" s="274"/>
      <c r="AN69" s="274"/>
      <c r="AO69" s="274"/>
      <c r="AP69" s="274"/>
      <c r="AQ69" s="274"/>
      <c r="AR69" s="274"/>
      <c r="AS69" s="274"/>
    </row>
    <row r="70" spans="20:45" x14ac:dyDescent="0.25"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L70" s="274"/>
      <c r="AM70" s="274"/>
      <c r="AN70" s="274"/>
      <c r="AO70" s="274"/>
      <c r="AP70" s="274"/>
      <c r="AQ70" s="274"/>
      <c r="AR70" s="274"/>
      <c r="AS70" s="274"/>
    </row>
    <row r="71" spans="20:45" x14ac:dyDescent="0.25"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L71" s="274"/>
      <c r="AM71" s="274"/>
      <c r="AN71" s="274"/>
      <c r="AO71" s="274"/>
      <c r="AP71" s="274"/>
      <c r="AQ71" s="274"/>
      <c r="AR71" s="274"/>
      <c r="AS71" s="274"/>
    </row>
    <row r="72" spans="20:45" x14ac:dyDescent="0.25"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L72" s="274"/>
      <c r="AM72" s="274"/>
      <c r="AN72" s="274"/>
      <c r="AO72" s="274"/>
      <c r="AP72" s="274"/>
      <c r="AQ72" s="274"/>
      <c r="AR72" s="274"/>
      <c r="AS72" s="274"/>
    </row>
    <row r="73" spans="20:45" x14ac:dyDescent="0.25"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L73" s="274"/>
      <c r="AM73" s="274"/>
      <c r="AN73" s="274"/>
      <c r="AO73" s="274"/>
      <c r="AP73" s="274"/>
      <c r="AQ73" s="274"/>
      <c r="AR73" s="274"/>
      <c r="AS73" s="274"/>
    </row>
    <row r="74" spans="20:45" x14ac:dyDescent="0.25"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74"/>
      <c r="AL74" s="274"/>
      <c r="AM74" s="274"/>
      <c r="AN74" s="274"/>
      <c r="AO74" s="274"/>
      <c r="AP74" s="274"/>
      <c r="AQ74" s="274"/>
      <c r="AR74" s="274"/>
      <c r="AS74" s="274"/>
    </row>
    <row r="75" spans="20:45" x14ac:dyDescent="0.25"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L75" s="274"/>
      <c r="AM75" s="274"/>
      <c r="AN75" s="274"/>
      <c r="AO75" s="274"/>
      <c r="AP75" s="274"/>
      <c r="AQ75" s="274"/>
      <c r="AR75" s="274"/>
      <c r="AS75" s="274"/>
    </row>
    <row r="76" spans="20:45" x14ac:dyDescent="0.25"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L76" s="274"/>
      <c r="AM76" s="274"/>
      <c r="AN76" s="274"/>
      <c r="AO76" s="274"/>
      <c r="AP76" s="274"/>
      <c r="AQ76" s="274"/>
      <c r="AR76" s="274"/>
      <c r="AS76" s="274"/>
    </row>
    <row r="77" spans="20:45" x14ac:dyDescent="0.25"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L77" s="274"/>
      <c r="AM77" s="274"/>
      <c r="AN77" s="274"/>
      <c r="AO77" s="274"/>
      <c r="AP77" s="274"/>
      <c r="AQ77" s="274"/>
      <c r="AR77" s="274"/>
      <c r="AS77" s="274"/>
    </row>
    <row r="78" spans="20:45" x14ac:dyDescent="0.25"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L78" s="274"/>
      <c r="AM78" s="274"/>
      <c r="AN78" s="274"/>
      <c r="AO78" s="274"/>
      <c r="AP78" s="274"/>
      <c r="AQ78" s="274"/>
      <c r="AR78" s="274"/>
      <c r="AS78" s="274"/>
    </row>
    <row r="79" spans="20:45" x14ac:dyDescent="0.25"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74"/>
      <c r="AL79" s="274"/>
      <c r="AM79" s="274"/>
      <c r="AN79" s="274"/>
      <c r="AO79" s="274"/>
      <c r="AP79" s="274"/>
      <c r="AQ79" s="274"/>
      <c r="AR79" s="274"/>
      <c r="AS79" s="274"/>
    </row>
    <row r="80" spans="20:45" x14ac:dyDescent="0.25"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L80" s="274"/>
      <c r="AM80" s="274"/>
      <c r="AN80" s="274"/>
      <c r="AO80" s="274"/>
      <c r="AP80" s="274"/>
      <c r="AQ80" s="274"/>
      <c r="AR80" s="274"/>
      <c r="AS80" s="274"/>
    </row>
    <row r="81" spans="20:45" x14ac:dyDescent="0.25"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L81" s="274"/>
      <c r="AM81" s="274"/>
      <c r="AN81" s="274"/>
      <c r="AO81" s="274"/>
      <c r="AP81" s="274"/>
      <c r="AQ81" s="274"/>
      <c r="AR81" s="274"/>
      <c r="AS81" s="274"/>
    </row>
    <row r="82" spans="20:45" x14ac:dyDescent="0.25"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L82" s="274"/>
      <c r="AM82" s="274"/>
      <c r="AN82" s="274"/>
      <c r="AO82" s="274"/>
      <c r="AP82" s="274"/>
      <c r="AQ82" s="274"/>
      <c r="AR82" s="274"/>
      <c r="AS82" s="274"/>
    </row>
    <row r="83" spans="20:45" x14ac:dyDescent="0.25"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L83" s="274"/>
      <c r="AM83" s="274"/>
      <c r="AN83" s="274"/>
      <c r="AO83" s="274"/>
      <c r="AP83" s="274"/>
      <c r="AQ83" s="274"/>
      <c r="AR83" s="274"/>
      <c r="AS83" s="274"/>
    </row>
    <row r="84" spans="20:45" x14ac:dyDescent="0.25"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L84" s="274"/>
      <c r="AM84" s="274"/>
      <c r="AN84" s="274"/>
      <c r="AO84" s="274"/>
      <c r="AP84" s="274"/>
      <c r="AQ84" s="274"/>
      <c r="AR84" s="274"/>
      <c r="AS84" s="274"/>
    </row>
    <row r="85" spans="20:45" x14ac:dyDescent="0.25"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L85" s="274"/>
      <c r="AM85" s="274"/>
      <c r="AN85" s="274"/>
      <c r="AO85" s="274"/>
      <c r="AP85" s="274"/>
      <c r="AQ85" s="274"/>
      <c r="AR85" s="274"/>
      <c r="AS85" s="274"/>
    </row>
    <row r="86" spans="20:45" x14ac:dyDescent="0.25"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74"/>
      <c r="AL86" s="274"/>
      <c r="AM86" s="274"/>
      <c r="AN86" s="274"/>
      <c r="AO86" s="274"/>
      <c r="AP86" s="274"/>
      <c r="AQ86" s="274"/>
      <c r="AR86" s="274"/>
      <c r="AS86" s="274"/>
    </row>
    <row r="87" spans="20:45" x14ac:dyDescent="0.25"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L87" s="274"/>
      <c r="AM87" s="274"/>
      <c r="AN87" s="274"/>
      <c r="AO87" s="274"/>
      <c r="AP87" s="274"/>
      <c r="AQ87" s="274"/>
      <c r="AR87" s="274"/>
      <c r="AS87" s="274"/>
    </row>
    <row r="88" spans="20:45" x14ac:dyDescent="0.25"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L88" s="274"/>
      <c r="AM88" s="274"/>
      <c r="AN88" s="274"/>
      <c r="AO88" s="274"/>
      <c r="AP88" s="274"/>
      <c r="AQ88" s="274"/>
      <c r="AR88" s="274"/>
      <c r="AS88" s="274"/>
    </row>
    <row r="89" spans="20:45" x14ac:dyDescent="0.25"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L89" s="274"/>
      <c r="AM89" s="274"/>
      <c r="AN89" s="274"/>
      <c r="AO89" s="274"/>
      <c r="AP89" s="274"/>
      <c r="AQ89" s="274"/>
      <c r="AR89" s="274"/>
      <c r="AS89" s="274"/>
    </row>
    <row r="90" spans="20:45" x14ac:dyDescent="0.25"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74"/>
      <c r="AL90" s="274"/>
      <c r="AM90" s="274"/>
      <c r="AN90" s="274"/>
      <c r="AO90" s="274"/>
      <c r="AP90" s="274"/>
      <c r="AQ90" s="274"/>
      <c r="AR90" s="274"/>
      <c r="AS90" s="274"/>
    </row>
    <row r="91" spans="20:45" x14ac:dyDescent="0.25"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L91" s="274"/>
      <c r="AM91" s="274"/>
      <c r="AN91" s="274"/>
      <c r="AO91" s="274"/>
      <c r="AP91" s="274"/>
      <c r="AQ91" s="274"/>
      <c r="AR91" s="274"/>
      <c r="AS91" s="274"/>
    </row>
    <row r="92" spans="20:45" x14ac:dyDescent="0.25"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L92" s="274"/>
      <c r="AM92" s="274"/>
      <c r="AN92" s="274"/>
      <c r="AO92" s="274"/>
      <c r="AP92" s="274"/>
      <c r="AQ92" s="274"/>
      <c r="AR92" s="274"/>
      <c r="AS92" s="274"/>
    </row>
    <row r="93" spans="20:45" x14ac:dyDescent="0.25"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L93" s="274"/>
      <c r="AM93" s="274"/>
      <c r="AN93" s="274"/>
      <c r="AO93" s="274"/>
      <c r="AP93" s="274"/>
      <c r="AQ93" s="274"/>
      <c r="AR93" s="274"/>
      <c r="AS93" s="274"/>
    </row>
    <row r="94" spans="20:45" x14ac:dyDescent="0.25"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L94" s="274"/>
      <c r="AM94" s="274"/>
      <c r="AN94" s="274"/>
      <c r="AO94" s="274"/>
      <c r="AP94" s="274"/>
      <c r="AQ94" s="274"/>
      <c r="AR94" s="274"/>
      <c r="AS94" s="274"/>
    </row>
    <row r="95" spans="20:45" x14ac:dyDescent="0.25"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74"/>
      <c r="AH95" s="274"/>
      <c r="AL95" s="274"/>
      <c r="AM95" s="274"/>
      <c r="AN95" s="274"/>
      <c r="AO95" s="274"/>
      <c r="AP95" s="274"/>
      <c r="AQ95" s="274"/>
      <c r="AR95" s="274"/>
      <c r="AS95" s="274"/>
    </row>
    <row r="96" spans="20:45" x14ac:dyDescent="0.25"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74"/>
      <c r="AH96" s="274"/>
      <c r="AL96" s="274"/>
      <c r="AM96" s="274"/>
      <c r="AN96" s="274"/>
      <c r="AO96" s="274"/>
      <c r="AP96" s="274"/>
      <c r="AQ96" s="274"/>
      <c r="AR96" s="274"/>
      <c r="AS96" s="274"/>
    </row>
    <row r="97" spans="20:45" x14ac:dyDescent="0.25"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L97" s="274"/>
      <c r="AM97" s="274"/>
      <c r="AN97" s="274"/>
      <c r="AO97" s="274"/>
      <c r="AP97" s="274"/>
      <c r="AQ97" s="274"/>
      <c r="AR97" s="274"/>
      <c r="AS97" s="274"/>
    </row>
    <row r="98" spans="20:45" x14ac:dyDescent="0.25"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L98" s="274"/>
      <c r="AM98" s="274"/>
      <c r="AN98" s="274"/>
      <c r="AO98" s="274"/>
      <c r="AP98" s="274"/>
      <c r="AQ98" s="274"/>
      <c r="AR98" s="274"/>
      <c r="AS98" s="274"/>
    </row>
    <row r="99" spans="20:45" x14ac:dyDescent="0.25"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74"/>
      <c r="AH99" s="274"/>
      <c r="AL99" s="274"/>
      <c r="AM99" s="274"/>
      <c r="AN99" s="274"/>
      <c r="AO99" s="274"/>
      <c r="AP99" s="274"/>
      <c r="AQ99" s="274"/>
      <c r="AR99" s="274"/>
      <c r="AS99" s="274"/>
    </row>
    <row r="100" spans="20:45" x14ac:dyDescent="0.25"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L100" s="274"/>
      <c r="AM100" s="274"/>
      <c r="AN100" s="274"/>
      <c r="AO100" s="274"/>
      <c r="AP100" s="274"/>
      <c r="AQ100" s="274"/>
      <c r="AR100" s="274"/>
      <c r="AS100" s="274"/>
    </row>
    <row r="101" spans="20:45" x14ac:dyDescent="0.25"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L101" s="274"/>
      <c r="AM101" s="274"/>
      <c r="AN101" s="274"/>
      <c r="AO101" s="274"/>
      <c r="AP101" s="274"/>
      <c r="AQ101" s="274"/>
      <c r="AR101" s="274"/>
      <c r="AS101" s="274"/>
    </row>
    <row r="102" spans="20:45" x14ac:dyDescent="0.25"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L102" s="274"/>
      <c r="AM102" s="274"/>
      <c r="AN102" s="274"/>
      <c r="AO102" s="274"/>
      <c r="AP102" s="274"/>
      <c r="AQ102" s="274"/>
      <c r="AR102" s="274"/>
      <c r="AS102" s="274"/>
    </row>
    <row r="103" spans="20:45" x14ac:dyDescent="0.25"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L103" s="274"/>
      <c r="AM103" s="274"/>
      <c r="AN103" s="274"/>
      <c r="AO103" s="274"/>
      <c r="AP103" s="274"/>
      <c r="AQ103" s="274"/>
      <c r="AR103" s="274"/>
      <c r="AS103" s="274"/>
    </row>
    <row r="104" spans="20:45" x14ac:dyDescent="0.25"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L104" s="274"/>
      <c r="AM104" s="274"/>
      <c r="AN104" s="274"/>
      <c r="AO104" s="274"/>
      <c r="AP104" s="274"/>
      <c r="AQ104" s="274"/>
      <c r="AR104" s="274"/>
      <c r="AS104" s="274"/>
    </row>
    <row r="105" spans="20:45" x14ac:dyDescent="0.25"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L105" s="274"/>
      <c r="AM105" s="274"/>
      <c r="AN105" s="274"/>
      <c r="AO105" s="274"/>
      <c r="AP105" s="274"/>
      <c r="AQ105" s="274"/>
      <c r="AR105" s="274"/>
      <c r="AS105" s="274"/>
    </row>
    <row r="106" spans="20:45" x14ac:dyDescent="0.25"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L106" s="274"/>
      <c r="AM106" s="274"/>
      <c r="AN106" s="274"/>
      <c r="AO106" s="274"/>
      <c r="AP106" s="274"/>
      <c r="AQ106" s="274"/>
      <c r="AR106" s="274"/>
      <c r="AS106" s="274"/>
    </row>
    <row r="107" spans="20:45" x14ac:dyDescent="0.25"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L107" s="274"/>
      <c r="AM107" s="274"/>
      <c r="AN107" s="274"/>
      <c r="AO107" s="274"/>
      <c r="AP107" s="274"/>
      <c r="AQ107" s="274"/>
      <c r="AR107" s="274"/>
      <c r="AS107" s="274"/>
    </row>
    <row r="108" spans="20:45" x14ac:dyDescent="0.25"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4"/>
      <c r="AE108" s="274"/>
      <c r="AF108" s="274"/>
      <c r="AG108" s="274"/>
      <c r="AH108" s="274"/>
      <c r="AL108" s="274"/>
      <c r="AM108" s="274"/>
      <c r="AN108" s="274"/>
      <c r="AO108" s="274"/>
      <c r="AP108" s="274"/>
      <c r="AQ108" s="274"/>
      <c r="AR108" s="274"/>
      <c r="AS108" s="274"/>
    </row>
    <row r="109" spans="20:45" x14ac:dyDescent="0.25"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L109" s="274"/>
      <c r="AM109" s="274"/>
      <c r="AN109" s="274"/>
      <c r="AO109" s="274"/>
      <c r="AP109" s="274"/>
      <c r="AQ109" s="274"/>
      <c r="AR109" s="274"/>
      <c r="AS109" s="274"/>
    </row>
    <row r="110" spans="20:45" x14ac:dyDescent="0.25"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L110" s="274"/>
      <c r="AM110" s="274"/>
      <c r="AN110" s="274"/>
      <c r="AO110" s="274"/>
      <c r="AP110" s="274"/>
      <c r="AQ110" s="274"/>
      <c r="AR110" s="274"/>
      <c r="AS110" s="274"/>
    </row>
    <row r="111" spans="20:45" x14ac:dyDescent="0.25"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L111" s="274"/>
      <c r="AM111" s="274"/>
      <c r="AN111" s="274"/>
      <c r="AO111" s="274"/>
      <c r="AP111" s="274"/>
      <c r="AQ111" s="274"/>
      <c r="AR111" s="274"/>
      <c r="AS111" s="274"/>
    </row>
    <row r="112" spans="20:45" x14ac:dyDescent="0.25"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74"/>
      <c r="AH112" s="274"/>
      <c r="AL112" s="274"/>
      <c r="AM112" s="274"/>
      <c r="AN112" s="274"/>
      <c r="AO112" s="274"/>
      <c r="AP112" s="274"/>
      <c r="AQ112" s="274"/>
      <c r="AR112" s="274"/>
      <c r="AS112" s="274"/>
    </row>
    <row r="113" spans="20:45" x14ac:dyDescent="0.25"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L113" s="274"/>
      <c r="AM113" s="274"/>
      <c r="AN113" s="274"/>
      <c r="AO113" s="274"/>
      <c r="AP113" s="274"/>
      <c r="AQ113" s="274"/>
      <c r="AR113" s="274"/>
      <c r="AS113" s="274"/>
    </row>
    <row r="114" spans="20:45" x14ac:dyDescent="0.25">
      <c r="T114" s="274"/>
      <c r="U114" s="274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L114" s="274"/>
      <c r="AM114" s="274"/>
      <c r="AN114" s="274"/>
      <c r="AO114" s="274"/>
      <c r="AP114" s="274"/>
      <c r="AQ114" s="274"/>
      <c r="AR114" s="274"/>
      <c r="AS114" s="274"/>
    </row>
    <row r="115" spans="20:45" x14ac:dyDescent="0.25"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L115" s="274"/>
      <c r="AM115" s="274"/>
      <c r="AN115" s="274"/>
      <c r="AO115" s="274"/>
      <c r="AP115" s="274"/>
      <c r="AQ115" s="274"/>
      <c r="AR115" s="274"/>
      <c r="AS115" s="274"/>
    </row>
    <row r="116" spans="20:45" x14ac:dyDescent="0.25"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4"/>
      <c r="AG116" s="274"/>
      <c r="AH116" s="274"/>
      <c r="AL116" s="274"/>
      <c r="AM116" s="274"/>
      <c r="AN116" s="274"/>
      <c r="AO116" s="274"/>
      <c r="AP116" s="274"/>
      <c r="AQ116" s="274"/>
      <c r="AR116" s="274"/>
      <c r="AS116" s="274"/>
    </row>
    <row r="117" spans="20:45" x14ac:dyDescent="0.25"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L117" s="274"/>
      <c r="AM117" s="274"/>
      <c r="AN117" s="274"/>
      <c r="AO117" s="274"/>
      <c r="AP117" s="274"/>
      <c r="AQ117" s="274"/>
      <c r="AR117" s="274"/>
      <c r="AS117" s="274"/>
    </row>
    <row r="118" spans="20:45" x14ac:dyDescent="0.25"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274"/>
      <c r="AE118" s="274"/>
      <c r="AF118" s="274"/>
      <c r="AG118" s="274"/>
      <c r="AH118" s="274"/>
      <c r="AL118" s="274"/>
      <c r="AM118" s="274"/>
      <c r="AN118" s="274"/>
      <c r="AO118" s="274"/>
      <c r="AP118" s="274"/>
      <c r="AQ118" s="274"/>
      <c r="AR118" s="274"/>
      <c r="AS118" s="274"/>
    </row>
    <row r="119" spans="20:45" x14ac:dyDescent="0.25">
      <c r="T119" s="274"/>
      <c r="U119" s="274"/>
      <c r="V119" s="274"/>
      <c r="W119" s="274"/>
      <c r="X119" s="274"/>
      <c r="Y119" s="274"/>
      <c r="Z119" s="274"/>
      <c r="AA119" s="274"/>
      <c r="AB119" s="274"/>
      <c r="AC119" s="274"/>
      <c r="AD119" s="274"/>
      <c r="AE119" s="274"/>
      <c r="AF119" s="274"/>
      <c r="AG119" s="274"/>
      <c r="AH119" s="274"/>
      <c r="AL119" s="274"/>
      <c r="AM119" s="274"/>
      <c r="AN119" s="274"/>
      <c r="AO119" s="274"/>
      <c r="AP119" s="274"/>
      <c r="AQ119" s="274"/>
      <c r="AR119" s="274"/>
      <c r="AS119" s="274"/>
    </row>
    <row r="120" spans="20:45" x14ac:dyDescent="0.25"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L120" s="274"/>
      <c r="AM120" s="274"/>
      <c r="AN120" s="274"/>
      <c r="AO120" s="274"/>
      <c r="AP120" s="274"/>
      <c r="AQ120" s="274"/>
      <c r="AR120" s="274"/>
      <c r="AS120" s="274"/>
    </row>
    <row r="121" spans="20:45" x14ac:dyDescent="0.25"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L121" s="274"/>
      <c r="AM121" s="274"/>
      <c r="AN121" s="274"/>
      <c r="AO121" s="274"/>
      <c r="AP121" s="274"/>
      <c r="AQ121" s="274"/>
      <c r="AR121" s="274"/>
      <c r="AS121" s="274"/>
    </row>
    <row r="122" spans="20:45" x14ac:dyDescent="0.25"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L122" s="274"/>
      <c r="AM122" s="274"/>
      <c r="AN122" s="274"/>
      <c r="AO122" s="274"/>
      <c r="AP122" s="274"/>
      <c r="AQ122" s="274"/>
      <c r="AR122" s="274"/>
      <c r="AS122" s="274"/>
    </row>
    <row r="123" spans="20:45" x14ac:dyDescent="0.25"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74"/>
      <c r="AF123" s="274"/>
      <c r="AG123" s="274"/>
      <c r="AH123" s="274"/>
      <c r="AL123" s="274"/>
      <c r="AM123" s="274"/>
      <c r="AN123" s="274"/>
      <c r="AO123" s="274"/>
      <c r="AP123" s="274"/>
      <c r="AQ123" s="274"/>
      <c r="AR123" s="274"/>
      <c r="AS123" s="274"/>
    </row>
    <row r="124" spans="20:45" x14ac:dyDescent="0.25"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  <c r="AL124" s="274"/>
      <c r="AM124" s="274"/>
      <c r="AN124" s="274"/>
      <c r="AO124" s="274"/>
      <c r="AP124" s="274"/>
      <c r="AQ124" s="274"/>
      <c r="AR124" s="274"/>
      <c r="AS124" s="274"/>
    </row>
    <row r="125" spans="20:45" x14ac:dyDescent="0.25"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L125" s="274"/>
      <c r="AM125" s="274"/>
      <c r="AN125" s="274"/>
      <c r="AO125" s="274"/>
      <c r="AP125" s="274"/>
      <c r="AQ125" s="274"/>
      <c r="AR125" s="274"/>
      <c r="AS125" s="274"/>
    </row>
    <row r="126" spans="20:45" x14ac:dyDescent="0.25"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L126" s="274"/>
      <c r="AM126" s="274"/>
      <c r="AN126" s="274"/>
      <c r="AO126" s="274"/>
      <c r="AP126" s="274"/>
      <c r="AQ126" s="274"/>
      <c r="AR126" s="274"/>
      <c r="AS126" s="274"/>
    </row>
    <row r="127" spans="20:45" x14ac:dyDescent="0.25"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L127" s="274"/>
      <c r="AM127" s="274"/>
      <c r="AN127" s="274"/>
      <c r="AO127" s="274"/>
      <c r="AP127" s="274"/>
      <c r="AQ127" s="274"/>
      <c r="AR127" s="274"/>
      <c r="AS127" s="274"/>
    </row>
    <row r="128" spans="20:45" x14ac:dyDescent="0.25">
      <c r="T128" s="274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L128" s="274"/>
      <c r="AM128" s="274"/>
      <c r="AN128" s="274"/>
      <c r="AO128" s="274"/>
      <c r="AP128" s="274"/>
      <c r="AQ128" s="274"/>
      <c r="AR128" s="274"/>
      <c r="AS128" s="274"/>
    </row>
    <row r="129" spans="20:45" x14ac:dyDescent="0.25"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L129" s="274"/>
      <c r="AM129" s="274"/>
      <c r="AN129" s="274"/>
      <c r="AO129" s="274"/>
      <c r="AP129" s="274"/>
      <c r="AQ129" s="274"/>
      <c r="AR129" s="274"/>
      <c r="AS129" s="274"/>
    </row>
    <row r="130" spans="20:45" x14ac:dyDescent="0.25"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274"/>
      <c r="AE130" s="274"/>
      <c r="AF130" s="274"/>
      <c r="AG130" s="274"/>
      <c r="AH130" s="274"/>
      <c r="AL130" s="274"/>
      <c r="AM130" s="274"/>
      <c r="AN130" s="274"/>
      <c r="AO130" s="274"/>
      <c r="AP130" s="274"/>
      <c r="AQ130" s="274"/>
      <c r="AR130" s="274"/>
      <c r="AS130" s="274"/>
    </row>
    <row r="131" spans="20:45" x14ac:dyDescent="0.25"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274"/>
      <c r="AE131" s="274"/>
      <c r="AF131" s="274"/>
      <c r="AG131" s="274"/>
      <c r="AH131" s="274"/>
      <c r="AL131" s="274"/>
      <c r="AM131" s="274"/>
      <c r="AN131" s="274"/>
      <c r="AO131" s="274"/>
      <c r="AP131" s="274"/>
      <c r="AQ131" s="274"/>
      <c r="AR131" s="274"/>
      <c r="AS131" s="274"/>
    </row>
    <row r="132" spans="20:45" x14ac:dyDescent="0.25"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274"/>
      <c r="AE132" s="274"/>
      <c r="AF132" s="274"/>
      <c r="AG132" s="274"/>
      <c r="AH132" s="274"/>
      <c r="AL132" s="274"/>
      <c r="AM132" s="274"/>
      <c r="AN132" s="274"/>
      <c r="AO132" s="274"/>
      <c r="AP132" s="274"/>
      <c r="AQ132" s="274"/>
      <c r="AR132" s="274"/>
      <c r="AS132" s="274"/>
    </row>
    <row r="133" spans="20:45" x14ac:dyDescent="0.25">
      <c r="T133" s="274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4"/>
      <c r="AF133" s="274"/>
      <c r="AG133" s="274"/>
      <c r="AH133" s="274"/>
      <c r="AL133" s="274"/>
      <c r="AM133" s="274"/>
      <c r="AN133" s="274"/>
      <c r="AO133" s="274"/>
      <c r="AP133" s="274"/>
      <c r="AQ133" s="274"/>
      <c r="AR133" s="274"/>
      <c r="AS133" s="274"/>
    </row>
    <row r="134" spans="20:45" x14ac:dyDescent="0.25">
      <c r="T134" s="274"/>
      <c r="U134" s="274"/>
      <c r="V134" s="274"/>
      <c r="W134" s="274"/>
      <c r="X134" s="274"/>
      <c r="Y134" s="274"/>
      <c r="Z134" s="274"/>
      <c r="AA134" s="274"/>
      <c r="AB134" s="274"/>
      <c r="AC134" s="274"/>
      <c r="AD134" s="274"/>
      <c r="AE134" s="274"/>
      <c r="AF134" s="274"/>
      <c r="AG134" s="274"/>
      <c r="AH134" s="274"/>
      <c r="AL134" s="274"/>
      <c r="AM134" s="274"/>
      <c r="AN134" s="274"/>
      <c r="AO134" s="274"/>
      <c r="AP134" s="274"/>
      <c r="AQ134" s="274"/>
      <c r="AR134" s="274"/>
      <c r="AS134" s="274"/>
    </row>
    <row r="135" spans="20:45" x14ac:dyDescent="0.25">
      <c r="T135" s="274"/>
      <c r="U135" s="274"/>
      <c r="V135" s="274"/>
      <c r="W135" s="274"/>
      <c r="X135" s="274"/>
      <c r="Y135" s="274"/>
      <c r="Z135" s="274"/>
      <c r="AA135" s="274"/>
      <c r="AB135" s="274"/>
      <c r="AC135" s="274"/>
      <c r="AD135" s="274"/>
      <c r="AE135" s="274"/>
      <c r="AF135" s="274"/>
      <c r="AG135" s="274"/>
      <c r="AH135" s="274"/>
      <c r="AL135" s="274"/>
      <c r="AM135" s="274"/>
      <c r="AN135" s="274"/>
      <c r="AO135" s="274"/>
      <c r="AP135" s="274"/>
      <c r="AQ135" s="274"/>
      <c r="AR135" s="274"/>
      <c r="AS135" s="274"/>
    </row>
    <row r="136" spans="20:45" x14ac:dyDescent="0.25"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L136" s="274"/>
      <c r="AM136" s="274"/>
      <c r="AN136" s="274"/>
      <c r="AO136" s="274"/>
      <c r="AP136" s="274"/>
      <c r="AQ136" s="274"/>
      <c r="AR136" s="274"/>
      <c r="AS136" s="274"/>
    </row>
    <row r="137" spans="20:45" x14ac:dyDescent="0.25"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L137" s="274"/>
      <c r="AM137" s="274"/>
      <c r="AN137" s="274"/>
      <c r="AO137" s="274"/>
      <c r="AP137" s="274"/>
      <c r="AQ137" s="274"/>
      <c r="AR137" s="274"/>
      <c r="AS137" s="274"/>
    </row>
    <row r="138" spans="20:45" x14ac:dyDescent="0.25"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L138" s="274"/>
      <c r="AM138" s="274"/>
      <c r="AN138" s="274"/>
      <c r="AO138" s="274"/>
      <c r="AP138" s="274"/>
      <c r="AQ138" s="274"/>
      <c r="AR138" s="274"/>
      <c r="AS138" s="274"/>
    </row>
    <row r="139" spans="20:45" x14ac:dyDescent="0.25"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274"/>
      <c r="AE139" s="274"/>
      <c r="AF139" s="274"/>
      <c r="AG139" s="274"/>
      <c r="AH139" s="274"/>
      <c r="AL139" s="274"/>
      <c r="AM139" s="274"/>
      <c r="AN139" s="274"/>
      <c r="AO139" s="274"/>
      <c r="AP139" s="274"/>
      <c r="AQ139" s="274"/>
      <c r="AR139" s="274"/>
      <c r="AS139" s="274"/>
    </row>
    <row r="140" spans="20:45" x14ac:dyDescent="0.25"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274"/>
      <c r="AE140" s="274"/>
      <c r="AF140" s="274"/>
      <c r="AG140" s="274"/>
      <c r="AH140" s="274"/>
      <c r="AL140" s="274"/>
      <c r="AM140" s="274"/>
      <c r="AN140" s="274"/>
      <c r="AO140" s="274"/>
      <c r="AP140" s="274"/>
      <c r="AQ140" s="274"/>
      <c r="AR140" s="274"/>
      <c r="AS140" s="274"/>
    </row>
  </sheetData>
  <mergeCells count="1">
    <mergeCell ref="A4:C4"/>
  </mergeCells>
  <conditionalFormatting sqref="B22 B24 B26 B28 B30 B32 B34 B36 B38 B40 B42 B44 B46 B48 B50 B52">
    <cfRule type="cellIs" dxfId="85" priority="7" stopIfTrue="1" operator="equal">
      <formula>"QA"</formula>
    </cfRule>
    <cfRule type="cellIs" dxfId="84" priority="8" stopIfTrue="1" operator="equal">
      <formula>"DA"</formula>
    </cfRule>
  </conditionalFormatting>
  <conditionalFormatting sqref="E7 E21">
    <cfRule type="expression" dxfId="83" priority="5" stopIfTrue="1">
      <formula>$E7&lt;5</formula>
    </cfRule>
  </conditionalFormatting>
  <conditionalFormatting sqref="E22 E24 E26 E28 E30 E32 E34 E36 E38 E40 E42 E44 E46 E48 E50 E52">
    <cfRule type="expression" dxfId="82" priority="13" stopIfTrue="1">
      <formula>AND($E22&lt;9,$C22&gt;0)</formula>
    </cfRule>
  </conditionalFormatting>
  <conditionalFormatting sqref="F7 F9 F11 F13 F15 F17 F19 F21:F22">
    <cfRule type="cellIs" dxfId="81" priority="4" stopIfTrue="1" operator="equal">
      <formula>"Bye"</formula>
    </cfRule>
  </conditionalFormatting>
  <conditionalFormatting sqref="F24 F26 F28 F30 F32 F34 F36 F38 F40 F42 F44 F46 F48 F50">
    <cfRule type="cellIs" dxfId="80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79" priority="12" stopIfTrue="1">
      <formula>AND($E22&lt;9,$C22&gt;0)</formula>
    </cfRule>
  </conditionalFormatting>
  <conditionalFormatting sqref="H7 H9 H11 H13 H15 H17 H19 H21">
    <cfRule type="expression" dxfId="78" priority="17" stopIfTrue="1">
      <formula>AND($E7&lt;9,$C7&gt;0)</formula>
    </cfRule>
  </conditionalFormatting>
  <conditionalFormatting sqref="I8 K10 I12 M14 I16 K18 I20 I23 K25 I27 M29 I31 K33 I35 I39 K41 I43 M45 I47 K49 I51">
    <cfRule type="expression" dxfId="77" priority="14" stopIfTrue="1">
      <formula>AND($O$1="CU",I8="Umpire")</formula>
    </cfRule>
    <cfRule type="expression" dxfId="76" priority="15" stopIfTrue="1">
      <formula>AND($O$1="CU",I8&lt;&gt;"Umpire",J8&lt;&gt;"")</formula>
    </cfRule>
    <cfRule type="expression" dxfId="75" priority="16" stopIfTrue="1">
      <formula>AND($O$1="CU",I8&lt;&gt;"Umpire")</formula>
    </cfRule>
  </conditionalFormatting>
  <conditionalFormatting sqref="J8 L10 J12 N14 J16 L18 J20 R62">
    <cfRule type="expression" dxfId="74" priority="6" stopIfTrue="1">
      <formula>$O$1="CU"</formula>
    </cfRule>
  </conditionalFormatting>
  <conditionalFormatting sqref="K8 M10 K12 O14 K16 M18 K20 K23 M25 K27 O29 K31 M33 K35 K39 M41 K43 O45 K47 M49 K51">
    <cfRule type="expression" dxfId="73" priority="9" stopIfTrue="1">
      <formula>J8="as"</formula>
    </cfRule>
    <cfRule type="expression" dxfId="72" priority="10" stopIfTrue="1">
      <formula>J8="bs"</formula>
    </cfRule>
  </conditionalFormatting>
  <conditionalFormatting sqref="O16">
    <cfRule type="expression" dxfId="71" priority="1" stopIfTrue="1">
      <formula>AND($O$1="CU",O16="Umpire")</formula>
    </cfRule>
    <cfRule type="expression" dxfId="70" priority="2" stopIfTrue="1">
      <formula>AND($O$1="CU",O16&lt;&gt;"Umpire",P16&lt;&gt;"")</formula>
    </cfRule>
    <cfRule type="expression" dxfId="6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9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1" sqref="B1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51.5546875" style="40" bestFit="1" customWidth="1"/>
    <col min="5" max="5" width="12.109375" style="386" customWidth="1"/>
    <col min="6" max="6" width="6.109375" style="91" hidden="1" customWidth="1"/>
    <col min="7" max="7" width="29.8867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08" t="str">
        <f>Altalanos!$C$8</f>
        <v>Fiú 1 kcs A</v>
      </c>
      <c r="D2" s="104"/>
      <c r="E2" s="201" t="s">
        <v>34</v>
      </c>
      <c r="F2" s="92"/>
      <c r="G2" s="92"/>
      <c r="H2" s="375"/>
      <c r="I2" s="375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69" t="s">
        <v>50</v>
      </c>
      <c r="B3" s="373"/>
      <c r="C3" s="373"/>
      <c r="D3" s="373"/>
      <c r="E3" s="373"/>
      <c r="F3" s="373"/>
      <c r="G3" s="373"/>
      <c r="H3" s="373"/>
      <c r="I3" s="374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88" t="s">
        <v>30</v>
      </c>
      <c r="I4" s="379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89"/>
      <c r="J5" s="111"/>
      <c r="K5" s="82"/>
      <c r="L5" s="82"/>
      <c r="M5" s="82"/>
      <c r="N5" s="111"/>
      <c r="O5" s="90"/>
      <c r="P5" s="90"/>
      <c r="Q5" s="397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76" t="s">
        <v>37</v>
      </c>
      <c r="I6" s="377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3" t="s">
        <v>251</v>
      </c>
      <c r="C7" s="411" t="s">
        <v>252</v>
      </c>
      <c r="D7" s="411" t="s">
        <v>253</v>
      </c>
      <c r="E7" s="204"/>
      <c r="F7" s="370"/>
      <c r="G7" s="371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1" t="s">
        <v>254</v>
      </c>
      <c r="C8" s="411" t="s">
        <v>255</v>
      </c>
      <c r="D8" s="411" t="s">
        <v>154</v>
      </c>
      <c r="E8" s="204"/>
      <c r="F8" s="372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29" t="s">
        <v>256</v>
      </c>
      <c r="C9" s="411" t="s">
        <v>257</v>
      </c>
      <c r="D9" s="422" t="s">
        <v>165</v>
      </c>
      <c r="E9" s="204"/>
      <c r="F9" s="372"/>
      <c r="G9" s="216"/>
      <c r="H9" s="94"/>
      <c r="I9" s="94"/>
      <c r="J9" s="188"/>
      <c r="K9" s="186"/>
      <c r="L9" s="190"/>
      <c r="M9" s="186"/>
      <c r="N9" s="183"/>
      <c r="O9" s="94"/>
      <c r="P9" s="381"/>
      <c r="Q9" s="211"/>
    </row>
    <row r="10" spans="1:17" s="11" customFormat="1" ht="18.899999999999999" customHeight="1" x14ac:dyDescent="0.3">
      <c r="A10" s="191">
        <v>4</v>
      </c>
      <c r="B10" s="429" t="s">
        <v>258</v>
      </c>
      <c r="C10" s="411" t="s">
        <v>259</v>
      </c>
      <c r="D10" s="422" t="s">
        <v>165</v>
      </c>
      <c r="E10" s="204"/>
      <c r="F10" s="372"/>
      <c r="G10" s="216"/>
      <c r="H10" s="94"/>
      <c r="I10" s="94"/>
      <c r="J10" s="188"/>
      <c r="K10" s="186"/>
      <c r="L10" s="190"/>
      <c r="M10" s="186"/>
      <c r="N10" s="183"/>
      <c r="O10" s="94"/>
      <c r="P10" s="380"/>
      <c r="Q10" s="378"/>
    </row>
    <row r="11" spans="1:17" s="11" customFormat="1" ht="18.899999999999999" customHeight="1" x14ac:dyDescent="0.3">
      <c r="A11" s="191">
        <v>5</v>
      </c>
      <c r="B11" s="431" t="s">
        <v>260</v>
      </c>
      <c r="C11" s="419" t="s">
        <v>261</v>
      </c>
      <c r="D11" s="419" t="s">
        <v>262</v>
      </c>
      <c r="E11" s="204"/>
      <c r="F11" s="372"/>
      <c r="G11" s="216"/>
      <c r="H11" s="94"/>
      <c r="I11" s="94"/>
      <c r="J11" s="188"/>
      <c r="K11" s="186"/>
      <c r="L11" s="190"/>
      <c r="M11" s="186"/>
      <c r="N11" s="183"/>
      <c r="O11" s="94"/>
      <c r="P11" s="380"/>
      <c r="Q11" s="378"/>
    </row>
    <row r="12" spans="1:17" s="11" customFormat="1" ht="18.899999999999999" customHeight="1" x14ac:dyDescent="0.3">
      <c r="A12" s="191">
        <v>6</v>
      </c>
      <c r="B12" s="411" t="s">
        <v>263</v>
      </c>
      <c r="C12" s="411" t="s">
        <v>264</v>
      </c>
      <c r="D12" s="411" t="s">
        <v>265</v>
      </c>
      <c r="E12" s="204"/>
      <c r="F12" s="372"/>
      <c r="G12" s="216"/>
      <c r="H12" s="94"/>
      <c r="I12" s="94"/>
      <c r="J12" s="188"/>
      <c r="K12" s="186"/>
      <c r="L12" s="190"/>
      <c r="M12" s="186"/>
      <c r="N12" s="183"/>
      <c r="O12" s="94"/>
      <c r="P12" s="380"/>
      <c r="Q12" s="378"/>
    </row>
    <row r="13" spans="1:17" s="11" customFormat="1" ht="18.899999999999999" customHeight="1" x14ac:dyDescent="0.25">
      <c r="A13" s="191">
        <v>7</v>
      </c>
      <c r="B13" s="412" t="s">
        <v>266</v>
      </c>
      <c r="C13" s="412" t="s">
        <v>267</v>
      </c>
      <c r="D13" s="412" t="s">
        <v>268</v>
      </c>
      <c r="E13" s="204"/>
      <c r="F13" s="372"/>
      <c r="G13" s="216"/>
      <c r="H13" s="94"/>
      <c r="I13" s="94"/>
      <c r="J13" s="188"/>
      <c r="K13" s="186"/>
      <c r="L13" s="190"/>
      <c r="M13" s="186"/>
      <c r="N13" s="183"/>
      <c r="O13" s="94"/>
      <c r="P13" s="380"/>
      <c r="Q13" s="378"/>
    </row>
    <row r="14" spans="1:17" s="11" customFormat="1" ht="18.899999999999999" customHeight="1" x14ac:dyDescent="0.3">
      <c r="A14" s="191">
        <v>8</v>
      </c>
      <c r="B14" s="428" t="s">
        <v>269</v>
      </c>
      <c r="C14" s="411" t="s">
        <v>270</v>
      </c>
      <c r="D14" s="411" t="s">
        <v>271</v>
      </c>
      <c r="E14" s="204"/>
      <c r="F14" s="372"/>
      <c r="G14" s="216"/>
      <c r="H14" s="94"/>
      <c r="I14" s="94"/>
      <c r="J14" s="188"/>
      <c r="K14" s="186"/>
      <c r="L14" s="190"/>
      <c r="M14" s="186"/>
      <c r="N14" s="183"/>
      <c r="O14" s="94"/>
      <c r="P14" s="380"/>
      <c r="Q14" s="378"/>
    </row>
    <row r="15" spans="1:17" s="11" customFormat="1" ht="18.899999999999999" customHeight="1" x14ac:dyDescent="0.3">
      <c r="A15" s="191">
        <v>9</v>
      </c>
      <c r="B15" s="411" t="s">
        <v>281</v>
      </c>
      <c r="C15" s="411" t="s">
        <v>282</v>
      </c>
      <c r="D15" s="94"/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25">
      <c r="A16" s="191">
        <v>10</v>
      </c>
      <c r="B16" s="405"/>
      <c r="C16" s="93"/>
      <c r="D16" s="94"/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25">
      <c r="A17" s="191">
        <v>11</v>
      </c>
      <c r="B17" s="93"/>
      <c r="C17" s="93"/>
      <c r="D17" s="94"/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25">
      <c r="A18" s="191">
        <v>12</v>
      </c>
      <c r="B18" s="93"/>
      <c r="C18" s="93"/>
      <c r="D18" s="94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25">
      <c r="A19" s="191">
        <v>13</v>
      </c>
      <c r="B19" s="93"/>
      <c r="C19" s="93"/>
      <c r="D19" s="94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25">
      <c r="A20" s="191">
        <v>14</v>
      </c>
      <c r="B20" s="93"/>
      <c r="C20" s="93"/>
      <c r="D20" s="94"/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93"/>
      <c r="C21" s="93"/>
      <c r="D21" s="94"/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25">
      <c r="A22" s="191">
        <v>16</v>
      </c>
      <c r="B22" s="93"/>
      <c r="C22" s="93"/>
      <c r="D22" s="94"/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25">
      <c r="A23" s="191">
        <v>17</v>
      </c>
      <c r="B23" s="93"/>
      <c r="C23" s="93"/>
      <c r="D23" s="94"/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25">
      <c r="A24" s="191">
        <v>18</v>
      </c>
      <c r="B24" s="93"/>
      <c r="C24" s="93"/>
      <c r="D24" s="94"/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25">
      <c r="A25" s="191">
        <v>19</v>
      </c>
      <c r="B25" s="93"/>
      <c r="C25" s="93"/>
      <c r="D25" s="94"/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25">
      <c r="A26" s="191">
        <v>20</v>
      </c>
      <c r="B26" s="93"/>
      <c r="C26" s="93"/>
      <c r="D26" s="9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25">
      <c r="A27" s="191">
        <v>21</v>
      </c>
      <c r="B27" s="93"/>
      <c r="C27" s="93"/>
      <c r="D27" s="94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6"/>
      <c r="F28" s="390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07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87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2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2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2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2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2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2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2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2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2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2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2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2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2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2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2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2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2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2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2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2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2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2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2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2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2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2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2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2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2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2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2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2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2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2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2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2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2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2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2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2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2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2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2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2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2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2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2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2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2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2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2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2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2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2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2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2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2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2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2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2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2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2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2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2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2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2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2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2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2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2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2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2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2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2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2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2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2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2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2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2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2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2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2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2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2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2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2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2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2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2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2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2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2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2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2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2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2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2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2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2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2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2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2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2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2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2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2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2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2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2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2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2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2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2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2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2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2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2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2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7:A15 A16:D156">
    <cfRule type="expression" dxfId="68" priority="15" stopIfTrue="1">
      <formula>$Q7&gt;=1</formula>
    </cfRule>
  </conditionalFormatting>
  <conditionalFormatting sqref="B13:D13">
    <cfRule type="expression" dxfId="67" priority="1" stopIfTrue="1">
      <formula>$S13&gt;=1</formula>
    </cfRule>
  </conditionalFormatting>
  <conditionalFormatting sqref="D15 B16:D37">
    <cfRule type="expression" dxfId="66" priority="2" stopIfTrue="1">
      <formula>$Q15&gt;=1</formula>
    </cfRule>
  </conditionalFormatting>
  <conditionalFormatting sqref="E7:E14">
    <cfRule type="expression" dxfId="65" priority="7" stopIfTrue="1">
      <formula>AND(ROUNDDOWN(($A$4-E7)/365.25,0)&lt;=13,G7&lt;&gt;"OK")</formula>
    </cfRule>
    <cfRule type="expression" dxfId="64" priority="8" stopIfTrue="1">
      <formula>AND(ROUNDDOWN(($A$4-E7)/365.25,0)&lt;=14,G7&lt;&gt;"OK")</formula>
    </cfRule>
    <cfRule type="expression" dxfId="63" priority="9" stopIfTrue="1">
      <formula>AND(ROUNDDOWN(($A$4-E7)/365.25,0)&lt;=17,G7&lt;&gt;"OK")</formula>
    </cfRule>
    <cfRule type="expression" dxfId="62" priority="12" stopIfTrue="1">
      <formula>AND(ROUNDDOWN(($A$4-E7)/365.25,0)&lt;=13,G7&lt;&gt;"OK")</formula>
    </cfRule>
    <cfRule type="expression" dxfId="61" priority="13" stopIfTrue="1">
      <formula>AND(ROUNDDOWN(($A$4-E7)/365.25,0)&lt;=14,G7&lt;&gt;"OK")</formula>
    </cfRule>
    <cfRule type="expression" dxfId="60" priority="14" stopIfTrue="1">
      <formula>AND(ROUNDDOWN(($A$4-E7)/365.25,0)&lt;=17,G7&lt;&gt;"OK")</formula>
    </cfRule>
  </conditionalFormatting>
  <conditionalFormatting sqref="E7:E27 E29:E37">
    <cfRule type="expression" dxfId="59" priority="3" stopIfTrue="1">
      <formula>AND(ROUNDDOWN(($A$4-E7)/365.25,0)&lt;=13,G7&lt;&gt;"OK")</formula>
    </cfRule>
    <cfRule type="expression" dxfId="58" priority="4" stopIfTrue="1">
      <formula>AND(ROUNDDOWN(($A$4-E7)/365.25,0)&lt;=14,G7&lt;&gt;"OK")</formula>
    </cfRule>
    <cfRule type="expression" dxfId="57" priority="5" stopIfTrue="1">
      <formula>AND(ROUNDDOWN(($A$4-E7)/365.25,0)&lt;=17,G7&lt;&gt;"OK")</formula>
    </cfRule>
  </conditionalFormatting>
  <conditionalFormatting sqref="E7:E156">
    <cfRule type="expression" dxfId="56" priority="17" stopIfTrue="1">
      <formula>AND(ROUNDDOWN(($A$4-E7)/365.25,0)&lt;=13,G7&lt;&gt;"OK")</formula>
    </cfRule>
    <cfRule type="expression" dxfId="55" priority="18" stopIfTrue="1">
      <formula>AND(ROUNDDOWN(($A$4-E7)/365.25,0)&lt;=14,G7&lt;&gt;"OK")</formula>
    </cfRule>
    <cfRule type="expression" dxfId="54" priority="19" stopIfTrue="1">
      <formula>AND(ROUNDDOWN(($A$4-E7)/365.25,0)&lt;=17,G7&lt;&gt;"OK")</formula>
    </cfRule>
  </conditionalFormatting>
  <conditionalFormatting sqref="J7:J156">
    <cfRule type="cellIs" dxfId="53" priority="11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23">
    <tabColor indexed="11"/>
  </sheetPr>
  <dimension ref="A1:AK41"/>
  <sheetViews>
    <sheetView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Altalanos!$C$8</f>
        <v>Fiú 1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04" t="s">
        <v>64</v>
      </c>
      <c r="B7" s="329">
        <v>4</v>
      </c>
      <c r="C7" s="298">
        <f>IF($B7="","",VLOOKUP($B7,'Fiú 1 kcs. A ELO'!$A$7:$O$22,5))</f>
        <v>0</v>
      </c>
      <c r="D7" s="298">
        <f>IF($B7="","",VLOOKUP($B7,'Fiú 1 kcs. A ELO'!$A$7:$O$22,15))</f>
        <v>0</v>
      </c>
      <c r="E7" s="293" t="str">
        <f>UPPER(IF($B7="","",VLOOKUP($B7,'Fiú 1 kcs. A ELO'!$A$7:$O$22,2)))</f>
        <v xml:space="preserve">BÉLECZKI </v>
      </c>
      <c r="F7" s="299"/>
      <c r="G7" s="293" t="str">
        <f>IF($B7="","",VLOOKUP($B7,'Fiú 1 kcs. A ELO'!$A$7:$O$22,3))</f>
        <v>Vencel</v>
      </c>
      <c r="H7" s="299"/>
      <c r="I7" s="293" t="str">
        <f>IF($B7="","",VLOOKUP($B7,'Fiú 1 kcs. A ELO'!$A$7:$O$22,4))</f>
        <v>Városligeti Magyar-Angol Két Tanítási Nyelvű Általános Iskola</v>
      </c>
      <c r="J7" s="274"/>
      <c r="K7" s="360"/>
      <c r="L7" s="351" t="str">
        <f>IF(K7="","",CONCATENATE(VLOOKUP($Y$3,$AB$1:$AK$1,K7)," pont"))</f>
        <v/>
      </c>
      <c r="M7" s="361"/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29">
        <v>7</v>
      </c>
      <c r="C9" s="298">
        <f>IF($B9="","",VLOOKUP($B9,'Fiú 1 kcs. A ELO'!$A$7:$O$22,5))</f>
        <v>0</v>
      </c>
      <c r="D9" s="298">
        <f>IF($B9="","",VLOOKUP($B9,'Fiú 1 kcs. A ELO'!$A$7:$O$22,15))</f>
        <v>0</v>
      </c>
      <c r="E9" s="293" t="str">
        <f>UPPER(IF($B9="","",VLOOKUP($B9,'Fiú 1 kcs. A ELO'!$A$7:$O$22,2)))</f>
        <v>NEMÉNYI</v>
      </c>
      <c r="F9" s="299"/>
      <c r="G9" s="293" t="str">
        <f>IF($B9="","",VLOOKUP($B9,'Fiú 1 kcs. A ELO'!$A$7:$O$22,3))</f>
        <v>Noé</v>
      </c>
      <c r="H9" s="299"/>
      <c r="I9" s="293" t="str">
        <f>IF($B9="","",VLOOKUP($B9,'Fiú 1 kcs. A ELO'!$A$7:$O$22,4))</f>
        <v>D.kesziFazekas M.Német Nyelvoktató Nemzetiségi Á.I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29">
        <v>2</v>
      </c>
      <c r="C11" s="298">
        <f>IF($B11="","",VLOOKUP($B11,'Fiú 1 kcs. A ELO'!$A$7:$O$22,5))</f>
        <v>0</v>
      </c>
      <c r="D11" s="298">
        <f>IF($B11="","",VLOOKUP($B11,'Fiú 1 kcs. A ELO'!$A$7:$O$22,15))</f>
        <v>0</v>
      </c>
      <c r="E11" s="293" t="str">
        <f>UPPER(IF($B11="","",VLOOKUP($B11,'Fiú 1 kcs. A ELO'!$A$7:$O$22,2)))</f>
        <v xml:space="preserve">PAPP </v>
      </c>
      <c r="F11" s="299"/>
      <c r="G11" s="293" t="str">
        <f>IF($B11="","",VLOOKUP($B11,'Fiú 1 kcs. A ELO'!$A$7:$O$22,3))</f>
        <v>Flórián</v>
      </c>
      <c r="H11" s="299"/>
      <c r="I11" s="293" t="str">
        <f>IF($B11="","",VLOOKUP($B11,'Fiú 1 kcs. A ELO'!$A$7:$O$22,4))</f>
        <v>Mezőberény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ht="18.75" customHeight="1" x14ac:dyDescent="0.25">
      <c r="A18" s="274"/>
      <c r="B18" s="446"/>
      <c r="C18" s="446"/>
      <c r="D18" s="447" t="str">
        <f>E7</f>
        <v xml:space="preserve">BÉLECZKI </v>
      </c>
      <c r="E18" s="447"/>
      <c r="F18" s="447" t="str">
        <f>E9</f>
        <v>NEMÉNYI</v>
      </c>
      <c r="G18" s="447"/>
      <c r="H18" s="447" t="str">
        <f>E11</f>
        <v xml:space="preserve">PAPP </v>
      </c>
      <c r="I18" s="447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8.75" customHeight="1" x14ac:dyDescent="0.25">
      <c r="A19" s="331" t="s">
        <v>64</v>
      </c>
      <c r="B19" s="450" t="str">
        <f>E7</f>
        <v xml:space="preserve">BÉLECZKI </v>
      </c>
      <c r="C19" s="450"/>
      <c r="D19" s="451"/>
      <c r="E19" s="451"/>
      <c r="F19" s="448" t="s">
        <v>296</v>
      </c>
      <c r="G19" s="449"/>
      <c r="H19" s="448" t="s">
        <v>296</v>
      </c>
      <c r="I19" s="449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ht="18.75" customHeight="1" x14ac:dyDescent="0.25">
      <c r="A20" s="331" t="s">
        <v>65</v>
      </c>
      <c r="B20" s="450" t="str">
        <f>E9</f>
        <v>NEMÉNYI</v>
      </c>
      <c r="C20" s="450"/>
      <c r="D20" s="448" t="s">
        <v>368</v>
      </c>
      <c r="E20" s="449"/>
      <c r="F20" s="451"/>
      <c r="G20" s="451"/>
      <c r="H20" s="448" t="s">
        <v>305</v>
      </c>
      <c r="I20" s="449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ht="18.75" customHeight="1" x14ac:dyDescent="0.25">
      <c r="A21" s="331" t="s">
        <v>66</v>
      </c>
      <c r="B21" s="450" t="str">
        <f>E11</f>
        <v xml:space="preserve">PAPP </v>
      </c>
      <c r="C21" s="450"/>
      <c r="D21" s="448" t="s">
        <v>367</v>
      </c>
      <c r="E21" s="449"/>
      <c r="F21" s="448" t="s">
        <v>306</v>
      </c>
      <c r="G21" s="449"/>
      <c r="H21" s="451"/>
      <c r="I21" s="451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99"/>
      <c r="N33" s="398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4"/>
      <c r="F34" s="454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53"/>
      <c r="F35" s="453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52" priority="2" stopIfTrue="1" operator="equal">
      <formula>"Bye"</formula>
    </cfRule>
  </conditionalFormatting>
  <conditionalFormatting sqref="R41">
    <cfRule type="expression" dxfId="5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26">
    <tabColor indexed="11"/>
  </sheetPr>
  <dimension ref="A1:AK47"/>
  <sheetViews>
    <sheetView topLeftCell="A6" workbookViewId="0">
      <selection activeCell="M29" sqref="M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Altalanos!$C$8</f>
        <v>Fiú 1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39" t="s">
        <v>78</v>
      </c>
      <c r="P5" s="340" t="s">
        <v>84</v>
      </c>
      <c r="R5" s="339" t="s">
        <v>78</v>
      </c>
      <c r="S5" s="400" t="s">
        <v>110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1" t="s">
        <v>85</v>
      </c>
      <c r="P6" s="342" t="s">
        <v>80</v>
      </c>
      <c r="R6" s="341" t="s">
        <v>85</v>
      </c>
      <c r="S6" s="401" t="s">
        <v>111</v>
      </c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8</v>
      </c>
      <c r="C7" s="298">
        <f>IF($B7="","",VLOOKUP($B7,'Fiú 1 kcs. A ELO'!$A$7:$O$22,5))</f>
        <v>0</v>
      </c>
      <c r="D7" s="298">
        <f>IF($B7="","",VLOOKUP($B7,'Fiú 1 kcs. A ELO'!$A$7:$O$22,15))</f>
        <v>0</v>
      </c>
      <c r="E7" s="294" t="str">
        <f>UPPER(IF($B7="","",VLOOKUP($B7,'Fiú 1 kcs. A ELO'!$A$7:$O$22,2)))</f>
        <v>SZOÓ</v>
      </c>
      <c r="F7" s="297"/>
      <c r="G7" s="294" t="str">
        <f>IF($B7="","",VLOOKUP($B7,'Fiú 1 kcs. A ELO'!$A$7:$O$22,3))</f>
        <v xml:space="preserve">Benedek </v>
      </c>
      <c r="H7" s="297"/>
      <c r="I7" s="294" t="str">
        <f>IF($B7="","",VLOOKUP($B7,'Fiú 1 kcs. A ELO'!$A$7:$O$22,4))</f>
        <v>ELTE Bolyai János Gyakorló Általános Iskola és Gimnázium</v>
      </c>
      <c r="J7" s="274"/>
      <c r="K7" s="360"/>
      <c r="L7" s="351" t="str">
        <f>IF(K7="","",CONCATENATE(VLOOKUP($Y$3,$AB$1:$AK$1,K7)," pont"))</f>
        <v/>
      </c>
      <c r="M7" s="361"/>
      <c r="O7" s="343" t="s">
        <v>86</v>
      </c>
      <c r="P7" s="344" t="s">
        <v>82</v>
      </c>
      <c r="R7" s="343" t="s">
        <v>86</v>
      </c>
      <c r="S7" s="402" t="s">
        <v>87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3</v>
      </c>
      <c r="C9" s="298">
        <f>IF($B9="","",VLOOKUP($B9,'Fiú 1 kcs. A ELO'!$A$7:$O$22,5))</f>
        <v>0</v>
      </c>
      <c r="D9" s="298">
        <f>IF($B9="","",VLOOKUP($B9,'Fiú 1 kcs. A ELO'!$A$7:$O$22,15))</f>
        <v>0</v>
      </c>
      <c r="E9" s="293" t="str">
        <f>UPPER(IF($B9="","",VLOOKUP($B9,'Fiú 1 kcs. A ELO'!$A$7:$O$22,2)))</f>
        <v xml:space="preserve">HONG </v>
      </c>
      <c r="F9" s="299"/>
      <c r="G9" s="293" t="str">
        <f>IF($B9="","",VLOOKUP($B9,'Fiú 1 kcs. A ELO'!$A$7:$O$22,3))</f>
        <v>Ruijie</v>
      </c>
      <c r="H9" s="299"/>
      <c r="I9" s="293" t="str">
        <f>IF($B9="","",VLOOKUP($B9,'Fiú 1 kcs. A ELO'!$A$7:$O$22,4))</f>
        <v>Városligeti Magyar-Angol Két Tanítási Nyelvű Általános Iskola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6</v>
      </c>
      <c r="C11" s="298">
        <f>IF($B11="","",VLOOKUP($B11,'Fiú 1 kcs. A ELO'!$A$7:$O$22,5))</f>
        <v>0</v>
      </c>
      <c r="D11" s="298">
        <f>IF($B11="","",VLOOKUP($B11,'Fiú 1 kcs. A ELO'!$A$7:$O$22,15))</f>
        <v>0</v>
      </c>
      <c r="E11" s="293" t="str">
        <f>UPPER(IF($B11="","",VLOOKUP($B11,'Fiú 1 kcs. A ELO'!$A$7:$O$22,2)))</f>
        <v>LUKÁCS</v>
      </c>
      <c r="F11" s="299"/>
      <c r="G11" s="293" t="str">
        <f>IF($B11="","",VLOOKUP($B11,'Fiú 1 kcs. A ELO'!$A$7:$O$22,3))</f>
        <v>Samu</v>
      </c>
      <c r="H11" s="299"/>
      <c r="I11" s="293" t="str">
        <f>IF($B11="","",VLOOKUP($B11,'Fiú 1 kcs. A ELO'!$A$7:$O$22,4))</f>
        <v>Tatabánya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32" t="s">
        <v>71</v>
      </c>
      <c r="B13" s="345">
        <v>5</v>
      </c>
      <c r="C13" s="298">
        <f>IF($B13="","",VLOOKUP($B13,'Fiú 1 kcs. A ELO'!$A$7:$O$22,5))</f>
        <v>0</v>
      </c>
      <c r="D13" s="298">
        <f>IF($B13="","",VLOOKUP($B13,'Fiú 1 kcs. A ELO'!$A$7:$O$22,15))</f>
        <v>0</v>
      </c>
      <c r="E13" s="294" t="str">
        <f>UPPER(IF($B13="","",VLOOKUP($B13,'Fiú 1 kcs. A ELO'!$A$7:$O$22,2)))</f>
        <v>VADÁSZ</v>
      </c>
      <c r="F13" s="297"/>
      <c r="G13" s="294" t="str">
        <f>IF($B13="","",VLOOKUP($B13,'Fiú 1 kcs. A ELO'!$A$7:$O$22,3))</f>
        <v>Noel</v>
      </c>
      <c r="H13" s="297"/>
      <c r="I13" s="294" t="str">
        <f>IF($B13="","",VLOOKUP($B13,'Fiú 1 kcs. A ELO'!$A$7:$O$22,4))</f>
        <v>AUDI Hungária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1</v>
      </c>
      <c r="C15" s="298">
        <f>IF($B15="","",VLOOKUP($B15,'Fiú 1 kcs. A ELO'!$A$7:$O$22,5))</f>
        <v>0</v>
      </c>
      <c r="D15" s="298">
        <f>IF($B15="","",VLOOKUP($B15,'Fiú 1 kcs. A ELO'!$A$7:$O$22,15))</f>
        <v>0</v>
      </c>
      <c r="E15" s="293" t="str">
        <f>UPPER(IF($B15="","",VLOOKUP($B15,'Fiú 1 kcs. A ELO'!$A$7:$O$22,2)))</f>
        <v xml:space="preserve">CSIKÓS </v>
      </c>
      <c r="F15" s="299"/>
      <c r="G15" s="293" t="str">
        <f>IF($B15="","",VLOOKUP($B15,'Fiú 1 kcs. A ELO'!$A$7:$O$22,3))</f>
        <v>Marcell</v>
      </c>
      <c r="H15" s="299"/>
      <c r="I15" s="293" t="str">
        <f>IF($B15="","",VLOOKUP($B15,'Fiú 1 kcs. A ELO'!$A$7:$O$22,4))</f>
        <v>Boldog Gizella - Mohács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9</v>
      </c>
      <c r="C17" s="298">
        <f>IF($B17="","",VLOOKUP($B17,'Fiú 1 kcs. A ELO'!$A$7:$O$22,5))</f>
        <v>0</v>
      </c>
      <c r="D17" s="298">
        <f>IF($B17="","",VLOOKUP($B17,'Fiú 1 kcs. A ELO'!$A$7:$O$22,15))</f>
        <v>0</v>
      </c>
      <c r="E17" s="293" t="str">
        <f>UPPER(IF($B17="","",VLOOKUP($B17,'Fiú 1 kcs. A ELO'!$A$7:$O$22,2)))</f>
        <v xml:space="preserve">NAGY </v>
      </c>
      <c r="F17" s="299"/>
      <c r="G17" s="293" t="str">
        <f>IF($B17="","",VLOOKUP($B17,'Fiú 1 kcs. A ELO'!$A$7:$O$22,3))</f>
        <v>Kadosa</v>
      </c>
      <c r="H17" s="299"/>
      <c r="I17" s="293">
        <f>IF($B17="","",VLOOKUP($B17,'Fiú 1 kcs. A ELO'!$A$7:$O$22,4))</f>
        <v>0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52" t="str">
        <f>E7</f>
        <v>SZOÓ</v>
      </c>
      <c r="E22" s="452"/>
      <c r="F22" s="452" t="str">
        <f>E9</f>
        <v xml:space="preserve">HONG </v>
      </c>
      <c r="G22" s="452"/>
      <c r="H22" s="452" t="str">
        <f>E11</f>
        <v>LUKÁCS</v>
      </c>
      <c r="I22" s="452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>SZOÓ</v>
      </c>
      <c r="C23" s="450"/>
      <c r="D23" s="451"/>
      <c r="E23" s="451"/>
      <c r="F23" s="448" t="s">
        <v>369</v>
      </c>
      <c r="G23" s="449"/>
      <c r="H23" s="448" t="s">
        <v>326</v>
      </c>
      <c r="I23" s="449"/>
      <c r="J23" s="274"/>
      <c r="K23" s="274"/>
      <c r="L23" s="274"/>
      <c r="M23" s="334" t="s">
        <v>299</v>
      </c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 xml:space="preserve">HONG </v>
      </c>
      <c r="C24" s="450"/>
      <c r="D24" s="448" t="s">
        <v>296</v>
      </c>
      <c r="E24" s="449"/>
      <c r="F24" s="451"/>
      <c r="G24" s="451"/>
      <c r="H24" s="448" t="s">
        <v>296</v>
      </c>
      <c r="I24" s="449"/>
      <c r="J24" s="274"/>
      <c r="K24" s="274"/>
      <c r="L24" s="274"/>
      <c r="M24" s="33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>LUKÁCS</v>
      </c>
      <c r="C25" s="450"/>
      <c r="D25" s="448" t="s">
        <v>327</v>
      </c>
      <c r="E25" s="449"/>
      <c r="F25" s="448" t="s">
        <v>369</v>
      </c>
      <c r="G25" s="449"/>
      <c r="H25" s="451"/>
      <c r="I25" s="45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437"/>
      <c r="E26" s="437"/>
      <c r="F26" s="437"/>
      <c r="G26" s="437"/>
      <c r="H26" s="437"/>
      <c r="I26" s="437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52" t="str">
        <f>E13</f>
        <v>VADÁSZ</v>
      </c>
      <c r="E27" s="452"/>
      <c r="F27" s="452" t="str">
        <f>E15</f>
        <v xml:space="preserve">CSIKÓS </v>
      </c>
      <c r="G27" s="452"/>
      <c r="H27" s="452" t="str">
        <f>E17</f>
        <v xml:space="preserve">NAGY </v>
      </c>
      <c r="I27" s="452"/>
      <c r="J27" s="274"/>
      <c r="K27" s="274"/>
      <c r="L27" s="274"/>
      <c r="M27" s="335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31" t="s">
        <v>71</v>
      </c>
      <c r="B28" s="450" t="str">
        <f>E13</f>
        <v>VADÁSZ</v>
      </c>
      <c r="C28" s="450"/>
      <c r="D28" s="451"/>
      <c r="E28" s="451"/>
      <c r="F28" s="448" t="s">
        <v>307</v>
      </c>
      <c r="G28" s="449"/>
      <c r="H28" s="448" t="s">
        <v>318</v>
      </c>
      <c r="I28" s="449"/>
      <c r="J28" s="274"/>
      <c r="K28" s="274"/>
      <c r="L28" s="274"/>
      <c r="M28" s="334" t="s">
        <v>299</v>
      </c>
    </row>
    <row r="29" spans="1:37" ht="18.75" customHeight="1" x14ac:dyDescent="0.25">
      <c r="A29" s="331" t="s">
        <v>72</v>
      </c>
      <c r="B29" s="450" t="str">
        <f>E15</f>
        <v xml:space="preserve">CSIKÓS </v>
      </c>
      <c r="C29" s="450"/>
      <c r="D29" s="448" t="s">
        <v>308</v>
      </c>
      <c r="E29" s="449"/>
      <c r="F29" s="451"/>
      <c r="G29" s="451"/>
      <c r="H29" s="448" t="s">
        <v>309</v>
      </c>
      <c r="I29" s="449"/>
      <c r="J29" s="274"/>
      <c r="K29" s="274"/>
      <c r="L29" s="274"/>
      <c r="M29" s="334"/>
    </row>
    <row r="30" spans="1:37" ht="18.75" customHeight="1" x14ac:dyDescent="0.25">
      <c r="A30" s="331" t="s">
        <v>73</v>
      </c>
      <c r="B30" s="450" t="str">
        <f>E17</f>
        <v xml:space="preserve">NAGY </v>
      </c>
      <c r="C30" s="450"/>
      <c r="D30" s="448" t="s">
        <v>319</v>
      </c>
      <c r="E30" s="449"/>
      <c r="F30" s="448" t="s">
        <v>310</v>
      </c>
      <c r="G30" s="449"/>
      <c r="H30" s="451"/>
      <c r="I30" s="451"/>
      <c r="J30" s="274"/>
      <c r="K30" s="274"/>
      <c r="L30" s="274"/>
      <c r="M30" s="33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55" t="str">
        <f>IF(M23=1,B23,IF(M24=1,B24,IF(M25=1,B25,"")))</f>
        <v/>
      </c>
      <c r="D32" s="455"/>
      <c r="E32" s="304" t="s">
        <v>75</v>
      </c>
      <c r="F32" s="455" t="str">
        <f>IF(M28=1,B28,IF(M29=1,B29,IF(M30=1,B30,"")))</f>
        <v/>
      </c>
      <c r="G32" s="455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55" t="str">
        <f>IF(M23=2,B23,IF(M24=2,B24,IF(M25=2,B25,"")))</f>
        <v/>
      </c>
      <c r="D34" s="455"/>
      <c r="E34" s="304" t="s">
        <v>75</v>
      </c>
      <c r="F34" s="455" t="str">
        <f>IF(M28=2,B28,IF(M29=2,B29,IF(M30=2,B30,"")))</f>
        <v/>
      </c>
      <c r="G34" s="455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55" t="str">
        <f>IF(M23=3,B23,IF(M24=3,B24,IF(M25=3,B25,"")))</f>
        <v/>
      </c>
      <c r="D36" s="455"/>
      <c r="E36" s="304" t="s">
        <v>75</v>
      </c>
      <c r="F36" s="455" t="str">
        <f>IF(M28=3,B28,IF(M29=3,B29,IF(M30=3,B30,"")))</f>
        <v/>
      </c>
      <c r="G36" s="455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4" t="str">
        <f>IF(D40&gt;$R$47,,UPPER(VLOOKUP(D40,'Fiú 1 kcs. A ELO'!$A$7:$Q$134,2)))</f>
        <v xml:space="preserve">CSIKÓS </v>
      </c>
      <c r="F40" s="454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53" t="str">
        <f>IF(D41&gt;$R$47,,UPPER(VLOOKUP(D41,'Fiú 1 kcs. A ELO'!$A$7:$Q$134,2)))</f>
        <v xml:space="preserve">PAPP </v>
      </c>
      <c r="F41" s="453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MIN(4,'Fiú 1 kcs. A ELO'!Q5)</f>
        <v>4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50" priority="1" stopIfTrue="1" operator="equal">
      <formula>"Bye"</formula>
    </cfRule>
  </conditionalFormatting>
  <conditionalFormatting sqref="R47">
    <cfRule type="expression" dxfId="4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1"/>
  </sheetPr>
  <dimension ref="A1:AK41"/>
  <sheetViews>
    <sheetView zoomScale="97" workbookViewId="0">
      <selection activeCell="G12" sqref="G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str">
        <f>IF(Y5=1,CONCATENATE(VLOOKUP(Y3,AA16:AH27,2)),CONCATENATE(VLOOKUP(Y3,AA2:AK13,2)))</f>
        <v>150</v>
      </c>
      <c r="AC1" s="359" t="str">
        <f>IF(Y5=1,CONCATENATE(VLOOKUP(Y3,AA16:AK27,3)),CONCATENATE(VLOOKUP(Y3,AA2:AK13,3)))</f>
        <v>120</v>
      </c>
      <c r="AD1" s="359" t="str">
        <f>IF(Y5=1,CONCATENATE(VLOOKUP(Y3,AA16:AK27,4)),CONCATENATE(VLOOKUP(Y3,AA2:AK13,4)))</f>
        <v>100</v>
      </c>
      <c r="AE1" s="359" t="str">
        <f>IF(Y5=1,CONCATENATE(VLOOKUP(Y3,AA16:AK27,5)),CONCATENATE(VLOOKUP(Y3,AA2:AK13,5)))</f>
        <v>80</v>
      </c>
      <c r="AF1" s="359" t="str">
        <f>IF(Y5=1,CONCATENATE(VLOOKUP(Y3,AA16:AK27,6)),CONCATENATE(VLOOKUP(Y3,AA2:AK13,6)))</f>
        <v>70</v>
      </c>
      <c r="AG1" s="359" t="str">
        <f>IF(Y5=1,CONCATENATE(VLOOKUP(Y3,AA16:AK27,7)),CONCATENATE(VLOOKUP(Y3,AA2:AK13,7)))</f>
        <v>60</v>
      </c>
      <c r="AH1" s="359" t="str">
        <f>IF(Y5=1,CONCATENATE(VLOOKUP(Y3,AA16:AK27,8)),CONCATENATE(VLOOKUP(Y3,AA2:AK13,8)))</f>
        <v>55</v>
      </c>
      <c r="AI1" s="359" t="str">
        <f>IF(Y5=1,CONCATENATE(VLOOKUP(Y3,AA16:AK27,9)),CONCATENATE(VLOOKUP(Y3,AA2:AK13,9)))</f>
        <v>50</v>
      </c>
      <c r="AJ1" s="359" t="str">
        <f>IF(Y5=1,CONCATENATE(VLOOKUP(Y3,AA16:AK27,10)),CONCATENATE(VLOOKUP(Y3,AA2:AK13,10)))</f>
        <v>45</v>
      </c>
      <c r="AK1" s="359" t="str">
        <f>IF(Y5=1,CONCATENATE(VLOOKUP(Y3,AA16:AK27,11)),CONCATENATE(VLOOKUP(Y3,AA2:AK13,11)))</f>
        <v>40</v>
      </c>
    </row>
    <row r="2" spans="1:37" x14ac:dyDescent="0.25">
      <c r="A2" s="229" t="s">
        <v>51</v>
      </c>
      <c r="B2" s="230"/>
      <c r="C2" s="230"/>
      <c r="D2" s="230"/>
      <c r="E2" s="214" t="s">
        <v>285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Y3" s="349" t="str">
        <f>IF(H4="OB","A",IF(H4="IX","W",H4))</f>
        <v>Döntő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 t="s">
        <v>58</v>
      </c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04" t="s">
        <v>64</v>
      </c>
      <c r="B7" s="329"/>
      <c r="C7" s="298" t="str">
        <f>IF($B7="","",VLOOKUP($B7,#REF!,5))</f>
        <v/>
      </c>
      <c r="D7" s="298" t="str">
        <f>IF($B7="","",VLOOKUP($B7,#REF!,15))</f>
        <v/>
      </c>
      <c r="E7" s="433" t="s">
        <v>370</v>
      </c>
      <c r="F7" s="299"/>
      <c r="G7" s="433" t="s">
        <v>267</v>
      </c>
      <c r="H7" s="299"/>
      <c r="I7" s="433" t="s">
        <v>373</v>
      </c>
      <c r="J7" s="274"/>
      <c r="K7" s="442" t="s">
        <v>377</v>
      </c>
      <c r="L7" s="351"/>
      <c r="M7" s="361"/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29"/>
      <c r="C9" s="298" t="str">
        <f>IF($B9="","",VLOOKUP($B9,#REF!,5))</f>
        <v/>
      </c>
      <c r="D9" s="298" t="str">
        <f>IF($B9="","",VLOOKUP($B9,#REF!,15))</f>
        <v/>
      </c>
      <c r="E9" s="433" t="s">
        <v>371</v>
      </c>
      <c r="F9" s="299"/>
      <c r="G9" s="433" t="s">
        <v>372</v>
      </c>
      <c r="H9" s="299"/>
      <c r="I9" s="433" t="s">
        <v>376</v>
      </c>
      <c r="J9" s="274"/>
      <c r="K9" s="442" t="s">
        <v>300</v>
      </c>
      <c r="L9" s="351"/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29"/>
      <c r="C11" s="298" t="str">
        <f>IF($B11="","",VLOOKUP($B11,#REF!,5))</f>
        <v/>
      </c>
      <c r="D11" s="298" t="str">
        <f>IF($B11="","",VLOOKUP($B11,#REF!,15))</f>
        <v/>
      </c>
      <c r="E11" s="433" t="s">
        <v>374</v>
      </c>
      <c r="F11" s="299"/>
      <c r="G11" s="433" t="s">
        <v>261</v>
      </c>
      <c r="H11" s="299"/>
      <c r="I11" s="433" t="s">
        <v>375</v>
      </c>
      <c r="J11" s="274"/>
      <c r="K11" s="442" t="s">
        <v>299</v>
      </c>
      <c r="L11" s="351"/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ht="18.75" customHeight="1" x14ac:dyDescent="0.25">
      <c r="A18" s="274"/>
      <c r="B18" s="446"/>
      <c r="C18" s="446"/>
      <c r="D18" s="447" t="str">
        <f>E7</f>
        <v>NEMÉNYI</v>
      </c>
      <c r="E18" s="447"/>
      <c r="F18" s="447" t="str">
        <f>E9</f>
        <v>SZOÓ</v>
      </c>
      <c r="G18" s="447"/>
      <c r="H18" s="447" t="str">
        <f>E11</f>
        <v>VADÁSZ</v>
      </c>
      <c r="I18" s="447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8.75" customHeight="1" x14ac:dyDescent="0.25">
      <c r="A19" s="331" t="s">
        <v>64</v>
      </c>
      <c r="B19" s="450" t="str">
        <f>E7</f>
        <v>NEMÉNYI</v>
      </c>
      <c r="C19" s="450"/>
      <c r="D19" s="451"/>
      <c r="E19" s="451"/>
      <c r="F19" s="448" t="s">
        <v>325</v>
      </c>
      <c r="G19" s="449"/>
      <c r="H19" s="448" t="s">
        <v>325</v>
      </c>
      <c r="I19" s="449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ht="18.75" customHeight="1" x14ac:dyDescent="0.25">
      <c r="A20" s="331" t="s">
        <v>65</v>
      </c>
      <c r="B20" s="450" t="str">
        <f>E9</f>
        <v>SZOÓ</v>
      </c>
      <c r="C20" s="450"/>
      <c r="D20" s="448" t="s">
        <v>324</v>
      </c>
      <c r="E20" s="449"/>
      <c r="F20" s="451"/>
      <c r="G20" s="451"/>
      <c r="H20" s="448" t="s">
        <v>325</v>
      </c>
      <c r="I20" s="449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ht="18.75" customHeight="1" x14ac:dyDescent="0.25">
      <c r="A21" s="331" t="s">
        <v>66</v>
      </c>
      <c r="B21" s="450" t="str">
        <f>E11</f>
        <v>VADÁSZ</v>
      </c>
      <c r="C21" s="450"/>
      <c r="D21" s="448" t="s">
        <v>324</v>
      </c>
      <c r="E21" s="449"/>
      <c r="F21" s="448" t="s">
        <v>324</v>
      </c>
      <c r="G21" s="449"/>
      <c r="H21" s="451"/>
      <c r="I21" s="451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x14ac:dyDescent="0.25">
      <c r="A22" s="274"/>
      <c r="B22" s="274"/>
      <c r="C22" s="274"/>
      <c r="D22" s="437"/>
      <c r="E22" s="437"/>
      <c r="F22" s="437"/>
      <c r="G22" s="437"/>
      <c r="H22" s="437"/>
      <c r="I22" s="437"/>
      <c r="J22" s="274"/>
      <c r="K22" s="274"/>
      <c r="L22" s="274"/>
      <c r="M22" s="274"/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99"/>
      <c r="N33" s="398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4"/>
      <c r="F34" s="454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53"/>
      <c r="F35" s="453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48" priority="2" stopIfTrue="1" operator="equal">
      <formula>"Bye"</formula>
    </cfRule>
  </conditionalFormatting>
  <conditionalFormatting sqref="R41">
    <cfRule type="expression" dxfId="47" priority="1" stopIfTrue="1">
      <formula>$O$1="CU"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D30" sqref="D30"/>
    </sheetView>
  </sheetViews>
  <sheetFormatPr defaultRowHeight="13.2" x14ac:dyDescent="0.25"/>
  <cols>
    <col min="1" max="1" width="3.88671875" customWidth="1"/>
    <col min="2" max="2" width="14" customWidth="1"/>
    <col min="3" max="3" width="13.5546875" bestFit="1" customWidth="1"/>
    <col min="4" max="4" width="75.44140625" style="40" bestFit="1" customWidth="1"/>
    <col min="5" max="5" width="12.109375" style="386" customWidth="1"/>
    <col min="6" max="6" width="6.109375" style="91" hidden="1" customWidth="1"/>
    <col min="7" max="7" width="31.441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08" t="str">
        <f>Altalanos!$D$8</f>
        <v>Fiú 1 kcs B</v>
      </c>
      <c r="D2" s="104"/>
      <c r="E2" s="201" t="s">
        <v>34</v>
      </c>
      <c r="F2" s="92"/>
      <c r="G2" s="92"/>
      <c r="H2" s="375"/>
      <c r="I2" s="375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69" t="s">
        <v>50</v>
      </c>
      <c r="B3" s="373"/>
      <c r="C3" s="373"/>
      <c r="D3" s="373"/>
      <c r="E3" s="373"/>
      <c r="F3" s="373"/>
      <c r="G3" s="373"/>
      <c r="H3" s="373"/>
      <c r="I3" s="374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88" t="s">
        <v>30</v>
      </c>
      <c r="I4" s="379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89"/>
      <c r="J5" s="111"/>
      <c r="K5" s="82"/>
      <c r="L5" s="82"/>
      <c r="M5" s="82"/>
      <c r="N5" s="111"/>
      <c r="O5" s="90"/>
      <c r="P5" s="90"/>
      <c r="Q5" s="397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76" t="s">
        <v>37</v>
      </c>
      <c r="I6" s="377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3" t="s">
        <v>198</v>
      </c>
      <c r="C7" s="412" t="s">
        <v>199</v>
      </c>
      <c r="D7" s="411" t="s">
        <v>200</v>
      </c>
      <c r="E7" s="204"/>
      <c r="F7" s="370"/>
      <c r="G7" s="371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3" t="s">
        <v>201</v>
      </c>
      <c r="C8" s="412" t="s">
        <v>202</v>
      </c>
      <c r="D8" s="411" t="s">
        <v>200</v>
      </c>
      <c r="E8" s="204"/>
      <c r="F8" s="372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1" t="s">
        <v>203</v>
      </c>
      <c r="C9" s="411" t="s">
        <v>204</v>
      </c>
      <c r="D9" s="411" t="s">
        <v>205</v>
      </c>
      <c r="E9" s="204"/>
      <c r="F9" s="372"/>
      <c r="G9" s="216"/>
      <c r="H9" s="94"/>
      <c r="I9" s="94"/>
      <c r="J9" s="188"/>
      <c r="K9" s="186"/>
      <c r="L9" s="190"/>
      <c r="M9" s="186"/>
      <c r="N9" s="183"/>
      <c r="O9" s="94"/>
      <c r="P9" s="381"/>
      <c r="Q9" s="211"/>
    </row>
    <row r="10" spans="1:17" s="11" customFormat="1" ht="18.899999999999999" customHeight="1" x14ac:dyDescent="0.3">
      <c r="A10" s="191">
        <v>4</v>
      </c>
      <c r="B10" s="411" t="s">
        <v>206</v>
      </c>
      <c r="C10" s="411" t="s">
        <v>207</v>
      </c>
      <c r="D10" s="411" t="s">
        <v>208</v>
      </c>
      <c r="E10" s="204"/>
      <c r="F10" s="372"/>
      <c r="G10" s="216"/>
      <c r="H10" s="94"/>
      <c r="I10" s="94"/>
      <c r="J10" s="188"/>
      <c r="K10" s="186"/>
      <c r="L10" s="190"/>
      <c r="M10" s="186"/>
      <c r="N10" s="183"/>
      <c r="O10" s="94"/>
      <c r="P10" s="380"/>
      <c r="Q10" s="378"/>
    </row>
    <row r="11" spans="1:17" s="11" customFormat="1" ht="18.899999999999999" customHeight="1" x14ac:dyDescent="0.3">
      <c r="A11" s="191">
        <v>5</v>
      </c>
      <c r="B11" s="411" t="s">
        <v>209</v>
      </c>
      <c r="C11" s="411" t="s">
        <v>210</v>
      </c>
      <c r="D11" s="411" t="s">
        <v>211</v>
      </c>
      <c r="E11" s="204"/>
      <c r="F11" s="372"/>
      <c r="G11" s="216"/>
      <c r="H11" s="94"/>
      <c r="I11" s="94"/>
      <c r="J11" s="188"/>
      <c r="K11" s="186"/>
      <c r="L11" s="190"/>
      <c r="M11" s="186"/>
      <c r="N11" s="183"/>
      <c r="O11" s="94"/>
      <c r="P11" s="380"/>
      <c r="Q11" s="378"/>
    </row>
    <row r="12" spans="1:17" s="11" customFormat="1" ht="18.899999999999999" customHeight="1" x14ac:dyDescent="0.3">
      <c r="A12" s="191">
        <v>6</v>
      </c>
      <c r="B12" s="411" t="s">
        <v>212</v>
      </c>
      <c r="C12" s="411" t="s">
        <v>213</v>
      </c>
      <c r="D12" s="411" t="s">
        <v>214</v>
      </c>
      <c r="E12" s="204"/>
      <c r="F12" s="372"/>
      <c r="G12" s="216"/>
      <c r="H12" s="94"/>
      <c r="I12" s="94"/>
      <c r="J12" s="188"/>
      <c r="K12" s="186"/>
      <c r="L12" s="190"/>
      <c r="M12" s="186"/>
      <c r="N12" s="183"/>
      <c r="O12" s="94"/>
      <c r="P12" s="380"/>
      <c r="Q12" s="378"/>
    </row>
    <row r="13" spans="1:17" s="11" customFormat="1" ht="18.899999999999999" customHeight="1" x14ac:dyDescent="0.3">
      <c r="A13" s="191">
        <v>7</v>
      </c>
      <c r="B13" s="429" t="s">
        <v>311</v>
      </c>
      <c r="C13" s="411" t="s">
        <v>215</v>
      </c>
      <c r="D13" s="422" t="s">
        <v>216</v>
      </c>
      <c r="E13" s="204"/>
      <c r="F13" s="372"/>
      <c r="G13" s="216"/>
      <c r="H13" s="94"/>
      <c r="I13" s="94"/>
      <c r="J13" s="188"/>
      <c r="K13" s="186"/>
      <c r="L13" s="190"/>
      <c r="M13" s="186"/>
      <c r="N13" s="183"/>
      <c r="O13" s="94"/>
      <c r="P13" s="380"/>
      <c r="Q13" s="378"/>
    </row>
    <row r="14" spans="1:17" s="11" customFormat="1" ht="18.899999999999999" customHeight="1" x14ac:dyDescent="0.3">
      <c r="A14" s="191">
        <v>8</v>
      </c>
      <c r="B14" s="429" t="s">
        <v>198</v>
      </c>
      <c r="C14" s="411" t="s">
        <v>217</v>
      </c>
      <c r="D14" s="422" t="s">
        <v>165</v>
      </c>
      <c r="E14" s="204"/>
      <c r="F14" s="372"/>
      <c r="G14" s="216"/>
      <c r="H14" s="94"/>
      <c r="I14" s="94"/>
      <c r="J14" s="188"/>
      <c r="K14" s="186"/>
      <c r="L14" s="190"/>
      <c r="M14" s="186"/>
      <c r="N14" s="183"/>
      <c r="O14" s="94"/>
      <c r="P14" s="380"/>
      <c r="Q14" s="378"/>
    </row>
    <row r="15" spans="1:17" s="11" customFormat="1" ht="18.899999999999999" customHeight="1" x14ac:dyDescent="0.25">
      <c r="A15" s="191">
        <v>9</v>
      </c>
      <c r="B15" s="412" t="s">
        <v>218</v>
      </c>
      <c r="C15" s="412" t="s">
        <v>219</v>
      </c>
      <c r="D15" s="430" t="s">
        <v>220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25">
      <c r="A16" s="191">
        <v>10</v>
      </c>
      <c r="B16" s="412" t="s">
        <v>221</v>
      </c>
      <c r="C16" s="412" t="s">
        <v>222</v>
      </c>
      <c r="D16" s="430" t="s">
        <v>177</v>
      </c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3">
      <c r="A17" s="191">
        <v>11</v>
      </c>
      <c r="B17" s="422" t="s">
        <v>223</v>
      </c>
      <c r="C17" s="411" t="s">
        <v>224</v>
      </c>
      <c r="D17" s="411"/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3">
      <c r="A18" s="191">
        <v>12</v>
      </c>
      <c r="B18" s="422" t="s">
        <v>225</v>
      </c>
      <c r="C18" s="411" t="s">
        <v>226</v>
      </c>
      <c r="D18" s="411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3">
      <c r="A19" s="191">
        <v>13</v>
      </c>
      <c r="B19" s="423" t="s">
        <v>213</v>
      </c>
      <c r="C19" s="423" t="s">
        <v>227</v>
      </c>
      <c r="D19" s="424" t="s">
        <v>183</v>
      </c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25">
      <c r="A20" s="191">
        <v>14</v>
      </c>
      <c r="B20" s="425" t="s">
        <v>228</v>
      </c>
      <c r="C20" s="425" t="s">
        <v>229</v>
      </c>
      <c r="D20" s="426" t="s">
        <v>230</v>
      </c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3">
      <c r="A21" s="191">
        <v>15</v>
      </c>
      <c r="B21" s="411" t="s">
        <v>231</v>
      </c>
      <c r="C21" s="411" t="s">
        <v>232</v>
      </c>
      <c r="D21" s="411" t="s">
        <v>233</v>
      </c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3">
      <c r="A22" s="191">
        <v>16</v>
      </c>
      <c r="B22" s="411" t="s">
        <v>234</v>
      </c>
      <c r="C22" s="411" t="s">
        <v>235</v>
      </c>
      <c r="D22" s="411" t="s">
        <v>236</v>
      </c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3">
      <c r="A23" s="191">
        <v>17</v>
      </c>
      <c r="B23" s="411" t="s">
        <v>237</v>
      </c>
      <c r="C23" s="411" t="s">
        <v>238</v>
      </c>
      <c r="D23" s="411" t="s">
        <v>239</v>
      </c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3">
      <c r="A24" s="191">
        <v>18</v>
      </c>
      <c r="B24" s="411" t="s">
        <v>240</v>
      </c>
      <c r="C24" s="411" t="s">
        <v>241</v>
      </c>
      <c r="D24" s="411" t="s">
        <v>242</v>
      </c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3">
      <c r="A25" s="191">
        <v>19</v>
      </c>
      <c r="B25" s="428" t="s">
        <v>245</v>
      </c>
      <c r="C25" s="411" t="s">
        <v>246</v>
      </c>
      <c r="D25" s="411" t="s">
        <v>247</v>
      </c>
      <c r="E25" s="407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3">
      <c r="A26" s="191">
        <v>20</v>
      </c>
      <c r="B26" s="428" t="s">
        <v>248</v>
      </c>
      <c r="C26" s="411" t="s">
        <v>249</v>
      </c>
      <c r="D26" s="411" t="s">
        <v>250</v>
      </c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3">
      <c r="A27" s="191">
        <v>21</v>
      </c>
      <c r="B27" s="411" t="s">
        <v>243</v>
      </c>
      <c r="C27" s="411" t="s">
        <v>244</v>
      </c>
      <c r="D27" s="411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3">
      <c r="A28" s="191">
        <v>22</v>
      </c>
      <c r="B28" s="435" t="s">
        <v>283</v>
      </c>
      <c r="C28" s="411" t="s">
        <v>228</v>
      </c>
      <c r="D28" s="411"/>
      <c r="E28" s="406"/>
      <c r="F28" s="390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3">
      <c r="A29" s="191">
        <v>23</v>
      </c>
      <c r="B29" s="435" t="s">
        <v>281</v>
      </c>
      <c r="C29" s="411" t="s">
        <v>284</v>
      </c>
      <c r="D29" s="411"/>
      <c r="E29" s="407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3">
      <c r="A30" s="191">
        <v>24</v>
      </c>
      <c r="B30" s="428"/>
      <c r="C30" s="411"/>
      <c r="D30" s="411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87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2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2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2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2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2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2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2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2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2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2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2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2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2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2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2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2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2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2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2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2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2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2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2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2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2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2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2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2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2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2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2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2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2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2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2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2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2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2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2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2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2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2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2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2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2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2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2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2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2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2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2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2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2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2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2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2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2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2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2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2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2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2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2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2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2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2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2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2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2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2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2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2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2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2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2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2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2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2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2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2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2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2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2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2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2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2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2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2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2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2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2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2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2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2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2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2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2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2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2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2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2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2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2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2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2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2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2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2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2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2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2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2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2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2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2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2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2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2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2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7:A30 A31:D156">
    <cfRule type="expression" dxfId="46" priority="21" stopIfTrue="1">
      <formula>$Q7&gt;=1</formula>
    </cfRule>
  </conditionalFormatting>
  <conditionalFormatting sqref="B31:D37">
    <cfRule type="expression" dxfId="45" priority="8" stopIfTrue="1">
      <formula>$Q31&gt;=1</formula>
    </cfRule>
  </conditionalFormatting>
  <conditionalFormatting sqref="C7:D8">
    <cfRule type="expression" dxfId="44" priority="7" stopIfTrue="1">
      <formula>$S7&gt;=1</formula>
    </cfRule>
  </conditionalFormatting>
  <conditionalFormatting sqref="E7:E14">
    <cfRule type="expression" dxfId="43" priority="13" stopIfTrue="1">
      <formula>AND(ROUNDDOWN(($A$4-E7)/365.25,0)&lt;=13,G7&lt;&gt;"OK")</formula>
    </cfRule>
    <cfRule type="expression" dxfId="42" priority="14" stopIfTrue="1">
      <formula>AND(ROUNDDOWN(($A$4-E7)/365.25,0)&lt;=14,G7&lt;&gt;"OK")</formula>
    </cfRule>
    <cfRule type="expression" dxfId="41" priority="15" stopIfTrue="1">
      <formula>AND(ROUNDDOWN(($A$4-E7)/365.25,0)&lt;=17,G7&lt;&gt;"OK")</formula>
    </cfRule>
    <cfRule type="expression" dxfId="40" priority="18" stopIfTrue="1">
      <formula>AND(ROUNDDOWN(($A$4-E7)/365.25,0)&lt;=13,G7&lt;&gt;"OK")</formula>
    </cfRule>
    <cfRule type="expression" dxfId="39" priority="19" stopIfTrue="1">
      <formula>AND(ROUNDDOWN(($A$4-E7)/365.25,0)&lt;=14,G7&lt;&gt;"OK")</formula>
    </cfRule>
    <cfRule type="expression" dxfId="38" priority="20" stopIfTrue="1">
      <formula>AND(ROUNDDOWN(($A$4-E7)/365.25,0)&lt;=17,G7&lt;&gt;"OK")</formula>
    </cfRule>
  </conditionalFormatting>
  <conditionalFormatting sqref="E7:E24 E27:E156">
    <cfRule type="expression" dxfId="37" priority="23" stopIfTrue="1">
      <formula>AND(ROUNDDOWN(($A$4-E7)/365.25,0)&lt;=13,G7&lt;&gt;"OK")</formula>
    </cfRule>
    <cfRule type="expression" dxfId="36" priority="24" stopIfTrue="1">
      <formula>AND(ROUNDDOWN(($A$4-E7)/365.25,0)&lt;=14,G7&lt;&gt;"OK")</formula>
    </cfRule>
    <cfRule type="expression" dxfId="35" priority="25" stopIfTrue="1">
      <formula>AND(ROUNDDOWN(($A$4-E7)/365.25,0)&lt;=17,G7&lt;&gt;"OK")</formula>
    </cfRule>
  </conditionalFormatting>
  <conditionalFormatting sqref="E7:E27">
    <cfRule type="expression" dxfId="34" priority="4" stopIfTrue="1">
      <formula>AND(ROUNDDOWN(($A$4-E7)/365.25,0)&lt;=13,G7&lt;&gt;"OK")</formula>
    </cfRule>
    <cfRule type="expression" dxfId="33" priority="5" stopIfTrue="1">
      <formula>AND(ROUNDDOWN(($A$4-E7)/365.25,0)&lt;=14,G7&lt;&gt;"OK")</formula>
    </cfRule>
    <cfRule type="expression" dxfId="32" priority="6" stopIfTrue="1">
      <formula>AND(ROUNDDOWN(($A$4-E7)/365.25,0)&lt;=17,G7&lt;&gt;"OK")</formula>
    </cfRule>
  </conditionalFormatting>
  <conditionalFormatting sqref="E25:E26">
    <cfRule type="expression" dxfId="31" priority="1" stopIfTrue="1">
      <formula>AND(ROUNDDOWN(($A$4-E25)/365.25,0)&lt;=13,G25&lt;&gt;"OK")</formula>
    </cfRule>
    <cfRule type="expression" dxfId="30" priority="2" stopIfTrue="1">
      <formula>AND(ROUNDDOWN(($A$4-E25)/365.25,0)&lt;=14,G25&lt;&gt;"OK")</formula>
    </cfRule>
    <cfRule type="expression" dxfId="29" priority="3" stopIfTrue="1">
      <formula>AND(ROUNDDOWN(($A$4-E25)/365.25,0)&lt;=17,G25&lt;&gt;"OK")</formula>
    </cfRule>
  </conditionalFormatting>
  <conditionalFormatting sqref="E29:E37">
    <cfRule type="expression" dxfId="28" priority="9" stopIfTrue="1">
      <formula>AND(ROUNDDOWN(($A$4-E29)/365.25,0)&lt;=13,G29&lt;&gt;"OK")</formula>
    </cfRule>
    <cfRule type="expression" dxfId="27" priority="10" stopIfTrue="1">
      <formula>AND(ROUNDDOWN(($A$4-E29)/365.25,0)&lt;=14,G29&lt;&gt;"OK")</formula>
    </cfRule>
    <cfRule type="expression" dxfId="26" priority="11" stopIfTrue="1">
      <formula>AND(ROUNDDOWN(($A$4-E29)/365.25,0)&lt;=17,G29&lt;&gt;"OK")</formula>
    </cfRule>
  </conditionalFormatting>
  <conditionalFormatting sqref="J7:J156">
    <cfRule type="cellIs" dxfId="25" priority="17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34">
    <tabColor indexed="11"/>
  </sheetPr>
  <dimension ref="A1:AK41"/>
  <sheetViews>
    <sheetView workbookViewId="0">
      <selection activeCell="D21" sqref="D21:E2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Altalanos!$D$8</f>
        <v>Fiú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ht="13.8" x14ac:dyDescent="0.3">
      <c r="A7" s="304" t="s">
        <v>64</v>
      </c>
      <c r="B7" s="329"/>
      <c r="C7" s="298">
        <v>0</v>
      </c>
      <c r="D7" s="298">
        <v>0</v>
      </c>
      <c r="E7" s="433" t="s">
        <v>290</v>
      </c>
      <c r="F7" s="299"/>
      <c r="G7" s="433" t="s">
        <v>291</v>
      </c>
      <c r="H7" s="299"/>
      <c r="I7" s="411" t="s">
        <v>239</v>
      </c>
      <c r="J7" s="274"/>
      <c r="K7" s="360"/>
      <c r="L7" s="351" t="str">
        <f>IF(K7="","",CONCATENATE(VLOOKUP($Y$3,$AB$1:$AK$1,K7)," pont"))</f>
        <v/>
      </c>
      <c r="M7" s="361"/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29"/>
      <c r="C9" s="298">
        <v>0</v>
      </c>
      <c r="D9" s="298">
        <v>0</v>
      </c>
      <c r="E9" s="433" t="s">
        <v>293</v>
      </c>
      <c r="F9" s="299"/>
      <c r="G9" s="433" t="s">
        <v>244</v>
      </c>
      <c r="H9" s="299"/>
      <c r="I9" s="293" t="str">
        <f>IF($B9="","",VLOOKUP($B9,'Fiú 1 kcs. B ELO'!$A$7:$O$22,4))</f>
        <v/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ht="13.8" x14ac:dyDescent="0.3">
      <c r="A11" s="304" t="s">
        <v>66</v>
      </c>
      <c r="B11" s="329"/>
      <c r="C11" s="298">
        <v>0</v>
      </c>
      <c r="D11" s="298">
        <v>0</v>
      </c>
      <c r="E11" s="433" t="s">
        <v>292</v>
      </c>
      <c r="F11" s="299"/>
      <c r="G11" s="433" t="s">
        <v>246</v>
      </c>
      <c r="H11" s="299"/>
      <c r="I11" s="411" t="s">
        <v>247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ht="18.75" customHeight="1" x14ac:dyDescent="0.25">
      <c r="A18" s="274"/>
      <c r="B18" s="446"/>
      <c r="C18" s="446"/>
      <c r="D18" s="447" t="str">
        <f>E7</f>
        <v>KOLLÁR</v>
      </c>
      <c r="E18" s="447"/>
      <c r="F18" s="447" t="str">
        <f>E9</f>
        <v>BARTOS</v>
      </c>
      <c r="G18" s="447"/>
      <c r="H18" s="447" t="str">
        <f>E11</f>
        <v>VIDA</v>
      </c>
      <c r="I18" s="447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8.75" customHeight="1" x14ac:dyDescent="0.25">
      <c r="A19" s="331" t="s">
        <v>64</v>
      </c>
      <c r="B19" s="450" t="str">
        <f>E7</f>
        <v>KOLLÁR</v>
      </c>
      <c r="C19" s="450"/>
      <c r="D19" s="451"/>
      <c r="E19" s="451"/>
      <c r="F19" s="448" t="s">
        <v>295</v>
      </c>
      <c r="G19" s="449"/>
      <c r="H19" s="448" t="s">
        <v>325</v>
      </c>
      <c r="I19" s="449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ht="18.75" customHeight="1" x14ac:dyDescent="0.25">
      <c r="A20" s="331" t="s">
        <v>65</v>
      </c>
      <c r="B20" s="450" t="str">
        <f>E9</f>
        <v>BARTOS</v>
      </c>
      <c r="C20" s="450"/>
      <c r="D20" s="448" t="s">
        <v>296</v>
      </c>
      <c r="E20" s="449"/>
      <c r="F20" s="451"/>
      <c r="G20" s="451"/>
      <c r="H20" s="448" t="s">
        <v>296</v>
      </c>
      <c r="I20" s="449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ht="18.75" customHeight="1" x14ac:dyDescent="0.25">
      <c r="A21" s="331" t="s">
        <v>66</v>
      </c>
      <c r="B21" s="450" t="str">
        <f>E11</f>
        <v>VIDA</v>
      </c>
      <c r="C21" s="450"/>
      <c r="D21" s="448" t="s">
        <v>324</v>
      </c>
      <c r="E21" s="449"/>
      <c r="F21" s="448" t="s">
        <v>295</v>
      </c>
      <c r="G21" s="449"/>
      <c r="H21" s="451"/>
      <c r="I21" s="451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99"/>
      <c r="N33" s="398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4"/>
      <c r="F34" s="454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53"/>
      <c r="F35" s="453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24" priority="2" stopIfTrue="1" operator="equal">
      <formula>"Bye"</formula>
    </cfRule>
  </conditionalFormatting>
  <conditionalFormatting sqref="R41">
    <cfRule type="expression" dxfId="2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37">
    <tabColor indexed="11"/>
  </sheetPr>
  <dimension ref="A1:AK47"/>
  <sheetViews>
    <sheetView topLeftCell="A5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Altalanos!$D$8</f>
        <v>Fiú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39" t="s">
        <v>78</v>
      </c>
      <c r="P5" s="340" t="s">
        <v>84</v>
      </c>
      <c r="R5" s="339" t="s">
        <v>78</v>
      </c>
      <c r="S5" s="400" t="s">
        <v>110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1" t="s">
        <v>85</v>
      </c>
      <c r="P6" s="342" t="s">
        <v>80</v>
      </c>
      <c r="R6" s="341" t="s">
        <v>85</v>
      </c>
      <c r="S6" s="401" t="s">
        <v>111</v>
      </c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13</v>
      </c>
      <c r="C7" s="298">
        <f>IF($B7="","",VLOOKUP($B7,'Fiú 1 kcs. B ELO'!$A$7:$O$22,5))</f>
        <v>0</v>
      </c>
      <c r="D7" s="298">
        <f>IF($B7="","",VLOOKUP($B7,'Fiú 1 kcs. B ELO'!$A$7:$O$22,15))</f>
        <v>0</v>
      </c>
      <c r="E7" s="294" t="str">
        <f>UPPER(IF($B7="","",VLOOKUP($B7,'Fiú 1 kcs. B ELO'!$A$7:$O$22,2)))</f>
        <v>SEBESTYÉN</v>
      </c>
      <c r="F7" s="297"/>
      <c r="G7" s="294" t="str">
        <f>IF($B7="","",VLOOKUP($B7,'Fiú 1 kcs. B ELO'!$A$7:$O$22,3))</f>
        <v>Nolen</v>
      </c>
      <c r="H7" s="297"/>
      <c r="I7" s="294" t="str">
        <f>IF($B7="","",VLOOKUP($B7,'Fiú 1 kcs. B ELO'!$A$7:$O$22,4))</f>
        <v>Jászberényi Nagyboldogasszony Katolikus Óvoda, Kéttannyelvű Általános Iskola és Gimnázium</v>
      </c>
      <c r="J7" s="274"/>
      <c r="K7" s="360"/>
      <c r="L7" s="351" t="str">
        <f>IF(K7="","",CONCATENATE(VLOOKUP($Y$3,$AB$1:$AK$1,K7)," pont"))</f>
        <v/>
      </c>
      <c r="M7" s="361"/>
      <c r="O7" s="343" t="s">
        <v>86</v>
      </c>
      <c r="P7" s="344" t="s">
        <v>82</v>
      </c>
      <c r="R7" s="343" t="s">
        <v>86</v>
      </c>
      <c r="S7" s="402" t="s">
        <v>87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9</v>
      </c>
      <c r="C9" s="298">
        <f>IF($B9="","",VLOOKUP($B9,'Fiú 1 kcs. B ELO'!$A$7:$O$22,5))</f>
        <v>0</v>
      </c>
      <c r="D9" s="298">
        <f>IF($B9="","",VLOOKUP($B9,'Fiú 1 kcs. B ELO'!$A$7:$O$22,15))</f>
        <v>0</v>
      </c>
      <c r="E9" s="293" t="str">
        <f>UPPER(IF($B9="","",VLOOKUP($B9,'Fiú 1 kcs. B ELO'!$A$7:$O$22,2)))</f>
        <v>KISS</v>
      </c>
      <c r="F9" s="299"/>
      <c r="G9" s="293" t="str">
        <f>IF($B9="","",VLOOKUP($B9,'Fiú 1 kcs. B ELO'!$A$7:$O$22,3))</f>
        <v>Márton</v>
      </c>
      <c r="H9" s="299"/>
      <c r="I9" s="293" t="str">
        <f>IF($B9="","",VLOOKUP($B9,'Fiú 1 kcs. B ELO'!$A$7:$O$22,4))</f>
        <v>Db., Hatvani I.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ht="13.8" x14ac:dyDescent="0.3">
      <c r="A11" s="304" t="s">
        <v>66</v>
      </c>
      <c r="B11" s="347"/>
      <c r="C11" s="298">
        <v>0</v>
      </c>
      <c r="D11" s="298">
        <v>0</v>
      </c>
      <c r="E11" s="433" t="s">
        <v>286</v>
      </c>
      <c r="F11" s="299"/>
      <c r="G11" s="433" t="s">
        <v>241</v>
      </c>
      <c r="H11" s="299"/>
      <c r="I11" s="411" t="s">
        <v>242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32" t="s">
        <v>71</v>
      </c>
      <c r="B13" s="345">
        <v>8</v>
      </c>
      <c r="C13" s="298">
        <f>IF($B13="","",VLOOKUP($B13,'Fiú 1 kcs. B ELO'!$A$7:$O$22,5))</f>
        <v>0</v>
      </c>
      <c r="D13" s="298">
        <f>IF($B13="","",VLOOKUP($B13,'Fiú 1 kcs. B ELO'!$A$7:$O$22,15))</f>
        <v>0</v>
      </c>
      <c r="E13" s="294" t="str">
        <f>UPPER(IF($B13="","",VLOOKUP($B13,'Fiú 1 kcs. B ELO'!$A$7:$O$22,2)))</f>
        <v xml:space="preserve">SZABÓ </v>
      </c>
      <c r="F13" s="297"/>
      <c r="G13" s="294" t="str">
        <f>IF($B13="","",VLOOKUP($B13,'Fiú 1 kcs. B ELO'!$A$7:$O$22,3))</f>
        <v>Ágoston</v>
      </c>
      <c r="H13" s="297"/>
      <c r="I13" s="294" t="str">
        <f>IF($B13="","",VLOOKUP($B13,'Fiú 1 kcs. B ELO'!$A$7:$O$22,4))</f>
        <v>Városligeti Magyar-Angol Két Tanítási Nyelvű Általános Iskola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3</v>
      </c>
      <c r="C15" s="298">
        <f>IF($B15="","",VLOOKUP($B15,'Fiú 1 kcs. B ELO'!$A$7:$O$22,5))</f>
        <v>0</v>
      </c>
      <c r="D15" s="298">
        <f>IF($B15="","",VLOOKUP($B15,'Fiú 1 kcs. B ELO'!$A$7:$O$22,15))</f>
        <v>0</v>
      </c>
      <c r="E15" s="293" t="str">
        <f>UPPER(IF($B15="","",VLOOKUP($B15,'Fiú 1 kcs. B ELO'!$A$7:$O$22,2)))</f>
        <v xml:space="preserve">VINCZE 	</v>
      </c>
      <c r="F15" s="299"/>
      <c r="G15" s="293" t="str">
        <f>IF($B15="","",VLOOKUP($B15,'Fiú 1 kcs. B ELO'!$A$7:$O$22,3))</f>
        <v>Árpád</v>
      </c>
      <c r="H15" s="299"/>
      <c r="I15" s="293" t="str">
        <f>IF($B15="","",VLOOKUP($B15,'Fiú 1 kcs. B ELO'!$A$7:$O$22,4))</f>
        <v xml:space="preserve">Gyula Karácsonyi 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15</v>
      </c>
      <c r="C17" s="298">
        <f>IF($B17="","",VLOOKUP($B17,'Fiú 1 kcs. B ELO'!$A$7:$O$22,5))</f>
        <v>0</v>
      </c>
      <c r="D17" s="298">
        <f>IF($B17="","",VLOOKUP($B17,'Fiú 1 kcs. B ELO'!$A$7:$O$22,15))</f>
        <v>0</v>
      </c>
      <c r="E17" s="293" t="str">
        <f>UPPER(IF($B17="","",VLOOKUP($B17,'Fiú 1 kcs. B ELO'!$A$7:$O$22,2)))</f>
        <v>BARICZA</v>
      </c>
      <c r="F17" s="299"/>
      <c r="G17" s="293" t="str">
        <f>IF($B17="","",VLOOKUP($B17,'Fiú 1 kcs. B ELO'!$A$7:$O$22,3))</f>
        <v>Hunor</v>
      </c>
      <c r="H17" s="299"/>
      <c r="I17" s="293" t="str">
        <f>IF($B17="","",VLOOKUP($B17,'Fiú 1 kcs. B ELO'!$A$7:$O$22,4))</f>
        <v>Tata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47" t="str">
        <f>E7</f>
        <v>SEBESTYÉN</v>
      </c>
      <c r="E22" s="447"/>
      <c r="F22" s="447" t="str">
        <f>E9</f>
        <v>KISS</v>
      </c>
      <c r="G22" s="447"/>
      <c r="H22" s="447" t="str">
        <f>E11</f>
        <v>MÁZSA</v>
      </c>
      <c r="I22" s="447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>SEBESTYÉN</v>
      </c>
      <c r="C23" s="450"/>
      <c r="D23" s="451"/>
      <c r="E23" s="451"/>
      <c r="F23" s="448" t="s">
        <v>343</v>
      </c>
      <c r="G23" s="449"/>
      <c r="H23" s="459" t="s">
        <v>325</v>
      </c>
      <c r="I23" s="460"/>
      <c r="J23" s="274"/>
      <c r="K23" s="274"/>
      <c r="L23" s="274"/>
      <c r="M23" s="33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>KISS</v>
      </c>
      <c r="C24" s="450"/>
      <c r="D24" s="448" t="s">
        <v>342</v>
      </c>
      <c r="E24" s="449"/>
      <c r="F24" s="451"/>
      <c r="G24" s="451"/>
      <c r="H24" s="459" t="s">
        <v>320</v>
      </c>
      <c r="I24" s="460"/>
      <c r="J24" s="274"/>
      <c r="K24" s="274"/>
      <c r="L24" s="274"/>
      <c r="M24" s="33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>MÁZSA</v>
      </c>
      <c r="C25" s="450"/>
      <c r="D25" s="459" t="s">
        <v>324</v>
      </c>
      <c r="E25" s="460"/>
      <c r="F25" s="459" t="s">
        <v>321</v>
      </c>
      <c r="G25" s="460"/>
      <c r="H25" s="461"/>
      <c r="I25" s="46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52" t="str">
        <f>E13</f>
        <v xml:space="preserve">SZABÓ </v>
      </c>
      <c r="E27" s="452"/>
      <c r="F27" s="452" t="str">
        <f>E15</f>
        <v xml:space="preserve">VINCZE 	</v>
      </c>
      <c r="G27" s="452"/>
      <c r="H27" s="452" t="str">
        <f>E17</f>
        <v>BARICZA</v>
      </c>
      <c r="I27" s="452"/>
      <c r="J27" s="274"/>
      <c r="K27" s="274"/>
      <c r="L27" s="274"/>
      <c r="M27" s="335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31" t="s">
        <v>71</v>
      </c>
      <c r="B28" s="450" t="str">
        <f>E13</f>
        <v xml:space="preserve">SZABÓ </v>
      </c>
      <c r="C28" s="450"/>
      <c r="D28" s="451"/>
      <c r="E28" s="451"/>
      <c r="F28" s="448" t="s">
        <v>296</v>
      </c>
      <c r="G28" s="449"/>
      <c r="H28" s="448" t="s">
        <v>296</v>
      </c>
      <c r="I28" s="449"/>
      <c r="J28" s="274"/>
      <c r="K28" s="274"/>
      <c r="L28" s="274"/>
      <c r="M28" s="334"/>
    </row>
    <row r="29" spans="1:37" ht="18.75" customHeight="1" x14ac:dyDescent="0.25">
      <c r="A29" s="331" t="s">
        <v>72</v>
      </c>
      <c r="B29" s="450" t="str">
        <f>E15</f>
        <v xml:space="preserve">VINCZE 	</v>
      </c>
      <c r="C29" s="450"/>
      <c r="D29" s="448" t="s">
        <v>295</v>
      </c>
      <c r="E29" s="449"/>
      <c r="F29" s="451"/>
      <c r="G29" s="451"/>
      <c r="H29" s="448" t="s">
        <v>297</v>
      </c>
      <c r="I29" s="449"/>
      <c r="J29" s="274"/>
      <c r="K29" s="274"/>
      <c r="L29" s="274"/>
      <c r="M29" s="334"/>
    </row>
    <row r="30" spans="1:37" ht="18.75" customHeight="1" x14ac:dyDescent="0.25">
      <c r="A30" s="331" t="s">
        <v>73</v>
      </c>
      <c r="B30" s="450" t="str">
        <f>E17</f>
        <v>BARICZA</v>
      </c>
      <c r="C30" s="450"/>
      <c r="D30" s="448" t="s">
        <v>295</v>
      </c>
      <c r="E30" s="449"/>
      <c r="F30" s="448" t="s">
        <v>298</v>
      </c>
      <c r="G30" s="449"/>
      <c r="H30" s="451"/>
      <c r="I30" s="451"/>
      <c r="J30" s="274"/>
      <c r="K30" s="274"/>
      <c r="L30" s="274"/>
      <c r="M30" s="33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55" t="str">
        <f>IF(M23=1,B23,IF(M24=1,B24,IF(M25=1,B25,"")))</f>
        <v/>
      </c>
      <c r="D32" s="455"/>
      <c r="E32" s="304" t="s">
        <v>75</v>
      </c>
      <c r="F32" s="455" t="str">
        <f>IF(M28=1,B28,IF(M29=1,B29,IF(M30=1,B30,"")))</f>
        <v/>
      </c>
      <c r="G32" s="455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55" t="str">
        <f>IF(M23=2,B23,IF(M24=2,B24,IF(M25=2,B25,"")))</f>
        <v/>
      </c>
      <c r="D34" s="455"/>
      <c r="E34" s="304" t="s">
        <v>75</v>
      </c>
      <c r="F34" s="455" t="str">
        <f>IF(M28=2,B28,IF(M29=2,B29,IF(M30=2,B30,"")))</f>
        <v/>
      </c>
      <c r="G34" s="455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55" t="str">
        <f>IF(M23=3,B23,IF(M24=3,B24,IF(M25=3,B25,"")))</f>
        <v/>
      </c>
      <c r="D36" s="455"/>
      <c r="E36" s="304" t="s">
        <v>75</v>
      </c>
      <c r="F36" s="455" t="str">
        <f>IF(M28=3,B28,IF(M29=3,B29,IF(M30=3,B30,"")))</f>
        <v/>
      </c>
      <c r="G36" s="455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4" t="str">
        <f>IF(D40&gt;$R$47,,UPPER(VLOOKUP(D40,'Fiú 1 kcs. B ELO'!$A$7:$Q$134,2)))</f>
        <v xml:space="preserve">SZABÓ </v>
      </c>
      <c r="F40" s="454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53" t="str">
        <f>IF(D41&gt;$R$47,,UPPER(VLOOKUP(D41,'Fiú 1 kcs. B ELO'!$A$7:$Q$134,2)))</f>
        <v xml:space="preserve">PONGRÁCZ </v>
      </c>
      <c r="F41" s="453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MIN(4,'Fiú 1 kcs. B ELO'!Q5)</f>
        <v>4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22" priority="1" stopIfTrue="1" operator="equal">
      <formula>"Bye"</formula>
    </cfRule>
  </conditionalFormatting>
  <conditionalFormatting sqref="R47">
    <cfRule type="expression" dxfId="2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38">
    <tabColor indexed="11"/>
  </sheetPr>
  <dimension ref="A1:AK48"/>
  <sheetViews>
    <sheetView topLeftCell="A7" workbookViewId="0">
      <selection activeCell="D24" sqref="D24:E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Altalanos!$D$8</f>
        <v>Fiú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S3" s="340" t="s">
        <v>79</v>
      </c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S4" s="342" t="s">
        <v>81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S5" s="344" t="s">
        <v>83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4</v>
      </c>
      <c r="C7" s="298">
        <f>IF($B7="","",VLOOKUP($B7,'Fiú 1 kcs. B ELO'!$A$7:$O$22,5))</f>
        <v>0</v>
      </c>
      <c r="D7" s="298">
        <f>IF($B7="","",VLOOKUP($B7,'Fiú 1 kcs. B ELO'!$A$7:$O$22,15))</f>
        <v>0</v>
      </c>
      <c r="E7" s="294" t="str">
        <f>UPPER(IF($B7="","",VLOOKUP($B7,'Fiú 1 kcs. B ELO'!$A$7:$O$22,2)))</f>
        <v xml:space="preserve">MIZÓ </v>
      </c>
      <c r="F7" s="297"/>
      <c r="G7" s="294" t="str">
        <f>IF($B7="","",VLOOKUP($B7,'Fiú 1 kcs. B ELO'!$A$7:$O$22,3))</f>
        <v>Martin</v>
      </c>
      <c r="H7" s="297"/>
      <c r="I7" s="294" t="str">
        <f>IF($B7="","",VLOOKUP($B7,'Fiú 1 kcs. B ELO'!$A$7:$O$22,4))</f>
        <v>Békéscsaba Petőfi</v>
      </c>
      <c r="J7" s="274"/>
      <c r="K7" s="360"/>
      <c r="L7" s="351" t="str">
        <f>IF(K7="","",CONCATENATE(VLOOKUP($Y$3,$AB$1:$AK$1,K7)," pont"))</f>
        <v/>
      </c>
      <c r="M7" s="361"/>
      <c r="Q7" s="339" t="s">
        <v>78</v>
      </c>
      <c r="R7" s="400" t="s">
        <v>110</v>
      </c>
      <c r="S7" s="400" t="s">
        <v>112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Q8" s="341" t="s">
        <v>85</v>
      </c>
      <c r="R8" s="401" t="s">
        <v>111</v>
      </c>
      <c r="S8" s="401" t="s">
        <v>113</v>
      </c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14</v>
      </c>
      <c r="C9" s="298">
        <f>IF($B9="","",VLOOKUP($B9,'Fiú 1 kcs. B ELO'!$A$7:$O$22,5))</f>
        <v>0</v>
      </c>
      <c r="D9" s="298">
        <f>IF($B9="","",VLOOKUP($B9,'Fiú 1 kcs. B ELO'!$A$7:$O$22,15))</f>
        <v>0</v>
      </c>
      <c r="E9" s="293" t="str">
        <f>UPPER(IF($B9="","",VLOOKUP($B9,'Fiú 1 kcs. B ELO'!$A$7:$O$22,2)))</f>
        <v>BÁLINT</v>
      </c>
      <c r="F9" s="299"/>
      <c r="G9" s="293" t="str">
        <f>IF($B9="","",VLOOKUP($B9,'Fiú 1 kcs. B ELO'!$A$7:$O$22,3))</f>
        <v>Máté</v>
      </c>
      <c r="H9" s="299"/>
      <c r="I9" s="293" t="str">
        <f>IF($B9="","",VLOOKUP($B9,'Fiú 1 kcs. B ELO'!$A$7:$O$22,4))</f>
        <v>Jászsági Gróf Apponyi Albert Általános Iskola és Alapfokú Művészeti Iskola</v>
      </c>
      <c r="J9" s="274"/>
      <c r="K9" s="360"/>
      <c r="L9" s="351" t="str">
        <f>IF(K9="","",CONCATENATE(VLOOKUP($Y$3,$AB$1:$AK$1,K9)," pont"))</f>
        <v/>
      </c>
      <c r="M9" s="361"/>
      <c r="Q9" s="343" t="s">
        <v>86</v>
      </c>
      <c r="R9" s="402" t="s">
        <v>87</v>
      </c>
      <c r="S9" s="402" t="s">
        <v>114</v>
      </c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1</v>
      </c>
      <c r="C11" s="298">
        <f>IF($B11="","",VLOOKUP($B11,'Fiú 1 kcs. B ELO'!$A$7:$O$22,5))</f>
        <v>0</v>
      </c>
      <c r="D11" s="298">
        <f>IF($B11="","",VLOOKUP($B11,'Fiú 1 kcs. B ELO'!$A$7:$O$22,15))</f>
        <v>0</v>
      </c>
      <c r="E11" s="293" t="str">
        <f>UPPER(IF($B11="","",VLOOKUP($B11,'Fiú 1 kcs. B ELO'!$A$7:$O$22,2)))</f>
        <v xml:space="preserve">SZABÓ </v>
      </c>
      <c r="F11" s="299"/>
      <c r="G11" s="293" t="str">
        <f>IF($B11="","",VLOOKUP($B11,'Fiú 1 kcs. B ELO'!$A$7:$O$22,3))</f>
        <v>Barnabás</v>
      </c>
      <c r="H11" s="299"/>
      <c r="I11" s="293" t="str">
        <f>IF($B11="","",VLOOKUP($B11,'Fiú 1 kcs. B ELO'!$A$7:$O$22,4))</f>
        <v>Bóly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32" t="s">
        <v>71</v>
      </c>
      <c r="B13" s="345">
        <v>5</v>
      </c>
      <c r="C13" s="298">
        <f>IF($B13="","",VLOOKUP($B13,'Fiú 1 kcs. B ELO'!$A$7:$O$22,5))</f>
        <v>0</v>
      </c>
      <c r="D13" s="298">
        <f>IF($B13="","",VLOOKUP($B13,'Fiú 1 kcs. B ELO'!$A$7:$O$22,15))</f>
        <v>0</v>
      </c>
      <c r="E13" s="294" t="str">
        <f>UPPER(IF($B13="","",VLOOKUP($B13,'Fiú 1 kcs. B ELO'!$A$7:$O$22,2)))</f>
        <v xml:space="preserve">MOLNÁR </v>
      </c>
      <c r="F13" s="297"/>
      <c r="G13" s="294" t="str">
        <f>IF($B13="","",VLOOKUP($B13,'Fiú 1 kcs. B ELO'!$A$7:$O$22,3))</f>
        <v>Zente</v>
      </c>
      <c r="H13" s="297"/>
      <c r="I13" s="294" t="str">
        <f>IF($B13="","",VLOOKUP($B13,'Fiú 1 kcs. B ELO'!$A$7:$O$22,4))</f>
        <v>Fazekas Utcai Általános Iskola és Alapfokú Művészeti Iskola Miskolc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16</v>
      </c>
      <c r="C15" s="298">
        <f>IF($B15="","",VLOOKUP($B15,'Fiú 1 kcs. B ELO'!$A$7:$O$22,5))</f>
        <v>0</v>
      </c>
      <c r="D15" s="298">
        <f>IF($B15="","",VLOOKUP($B15,'Fiú 1 kcs. B ELO'!$A$7:$O$22,15))</f>
        <v>0</v>
      </c>
      <c r="E15" s="293" t="str">
        <f>UPPER(IF($B15="","",VLOOKUP($B15,'Fiú 1 kcs. B ELO'!$A$7:$O$22,2)))</f>
        <v>RACSEK</v>
      </c>
      <c r="F15" s="299"/>
      <c r="G15" s="293" t="str">
        <f>IF($B15="","",VLOOKUP($B15,'Fiú 1 kcs. B ELO'!$A$7:$O$22,3))</f>
        <v>Álmos</v>
      </c>
      <c r="H15" s="299"/>
      <c r="I15" s="293" t="str">
        <f>IF($B15="","",VLOOKUP($B15,'Fiú 1 kcs. B ELO'!$A$7:$O$22,4))</f>
        <v xml:space="preserve">Tata-Tarján 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11</v>
      </c>
      <c r="C17" s="298">
        <f>IF($B17="","",VLOOKUP($B17,'Fiú 1 kcs. B ELO'!$A$7:$O$22,5))</f>
        <v>0</v>
      </c>
      <c r="D17" s="298">
        <f>IF($B17="","",VLOOKUP($B17,'Fiú 1 kcs. B ELO'!$A$7:$O$22,15))</f>
        <v>0</v>
      </c>
      <c r="E17" s="293" t="str">
        <f>UPPER(IF($B17="","",VLOOKUP($B17,'Fiú 1 kcs. B ELO'!$A$7:$O$22,2)))</f>
        <v xml:space="preserve">FEHÉR </v>
      </c>
      <c r="F17" s="299"/>
      <c r="G17" s="293" t="str">
        <f>IF($B17="","",VLOOKUP($B17,'Fiú 1 kcs. B ELO'!$A$7:$O$22,3))</f>
        <v>Gyula Bendegúz</v>
      </c>
      <c r="H17" s="299"/>
      <c r="I17" s="293">
        <f>IF($B17="","",VLOOKUP($B17,'Fiú 1 kcs. B ELO'!$A$7:$O$22,4))</f>
        <v>0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304"/>
      <c r="B18" s="346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2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304" t="s">
        <v>73</v>
      </c>
      <c r="B19" s="347"/>
      <c r="C19" s="298" t="str">
        <f>IF($B19="","",VLOOKUP($B19,'Fiú 1 kcs. B ELO'!$A$7:$O$22,5))</f>
        <v/>
      </c>
      <c r="D19" s="298" t="str">
        <f>IF($B19="","",VLOOKUP($B19,'Fiú 1 kcs. B ELO'!$A$7:$O$22,15))</f>
        <v/>
      </c>
      <c r="E19" s="293" t="str">
        <f>UPPER(IF($B19="","",VLOOKUP($B19,'Fiú 1 kcs. B ELO'!$A$7:$O$22,2)))</f>
        <v/>
      </c>
      <c r="F19" s="299"/>
      <c r="G19" s="293" t="str">
        <f>IF($B19="","",VLOOKUP($B19,'Fiú 1 kcs. B ELO'!$A$7:$O$22,3))</f>
        <v/>
      </c>
      <c r="H19" s="299"/>
      <c r="I19" s="293" t="str">
        <f>IF($B19="","",VLOOKUP($B19,'Fiú 1 kcs. B ELO'!$A$7:$O$22,4))</f>
        <v/>
      </c>
      <c r="J19" s="274"/>
      <c r="K19" s="360"/>
      <c r="L19" s="351" t="str">
        <f>IF(K19="","",CONCATENATE(VLOOKUP($Y$3,$AB$1:$AK$1,K19)," pont"))</f>
        <v/>
      </c>
      <c r="M19" s="361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47" t="str">
        <f>E7</f>
        <v xml:space="preserve">MIZÓ </v>
      </c>
      <c r="E22" s="447"/>
      <c r="F22" s="447" t="str">
        <f>E9</f>
        <v>BÁLINT</v>
      </c>
      <c r="G22" s="447"/>
      <c r="H22" s="447" t="str">
        <f>E11</f>
        <v xml:space="preserve">SZABÓ </v>
      </c>
      <c r="I22" s="447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 xml:space="preserve">MIZÓ </v>
      </c>
      <c r="C23" s="450"/>
      <c r="D23" s="451"/>
      <c r="E23" s="451"/>
      <c r="F23" s="448" t="s">
        <v>305</v>
      </c>
      <c r="G23" s="449"/>
      <c r="H23" s="448" t="s">
        <v>323</v>
      </c>
      <c r="I23" s="449"/>
      <c r="J23" s="274"/>
      <c r="K23" s="274"/>
      <c r="L23" s="274"/>
      <c r="M23" s="33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>BÁLINT</v>
      </c>
      <c r="C24" s="450"/>
      <c r="D24" s="448" t="s">
        <v>306</v>
      </c>
      <c r="E24" s="449"/>
      <c r="F24" s="451"/>
      <c r="G24" s="451"/>
      <c r="H24" s="448" t="s">
        <v>298</v>
      </c>
      <c r="I24" s="449"/>
      <c r="J24" s="274"/>
      <c r="K24" s="274"/>
      <c r="L24" s="274"/>
      <c r="M24" s="33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 xml:space="preserve">SZABÓ </v>
      </c>
      <c r="C25" s="450"/>
      <c r="D25" s="448" t="s">
        <v>322</v>
      </c>
      <c r="E25" s="449"/>
      <c r="F25" s="448" t="s">
        <v>297</v>
      </c>
      <c r="G25" s="449"/>
      <c r="H25" s="451"/>
      <c r="I25" s="45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437"/>
      <c r="E26" s="437"/>
      <c r="F26" s="437"/>
      <c r="G26" s="437"/>
      <c r="H26" s="437"/>
      <c r="I26" s="437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52" t="str">
        <f>E13</f>
        <v xml:space="preserve">MOLNÁR </v>
      </c>
      <c r="E27" s="452"/>
      <c r="F27" s="452" t="str">
        <f>E15</f>
        <v>RACSEK</v>
      </c>
      <c r="G27" s="452"/>
      <c r="H27" s="452" t="str">
        <f>E17</f>
        <v xml:space="preserve">FEHÉR </v>
      </c>
      <c r="I27" s="452"/>
      <c r="J27" s="274"/>
      <c r="K27" s="335"/>
      <c r="W27" s="349"/>
      <c r="X27" s="349"/>
      <c r="Y27" s="349" t="s">
        <v>97</v>
      </c>
      <c r="Z27" s="349">
        <v>3</v>
      </c>
      <c r="AA27" s="349">
        <v>2</v>
      </c>
      <c r="AB27" s="349">
        <v>1</v>
      </c>
      <c r="AC27" s="349">
        <v>0</v>
      </c>
      <c r="AD27" s="349">
        <v>0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</row>
    <row r="28" spans="1:37" ht="18.75" customHeight="1" x14ac:dyDescent="0.25">
      <c r="A28" s="331" t="s">
        <v>71</v>
      </c>
      <c r="B28" s="450" t="str">
        <f>E13</f>
        <v xml:space="preserve">MOLNÁR </v>
      </c>
      <c r="C28" s="450"/>
      <c r="D28" s="451"/>
      <c r="E28" s="451"/>
      <c r="F28" s="448" t="s">
        <v>327</v>
      </c>
      <c r="G28" s="449"/>
      <c r="H28" s="448" t="s">
        <v>313</v>
      </c>
      <c r="I28" s="449"/>
      <c r="J28" s="274"/>
      <c r="K28" s="274"/>
      <c r="L28" s="274"/>
      <c r="M28" s="436"/>
    </row>
    <row r="29" spans="1:37" ht="18.75" customHeight="1" x14ac:dyDescent="0.25">
      <c r="A29" s="331" t="s">
        <v>72</v>
      </c>
      <c r="B29" s="450" t="str">
        <f>E15</f>
        <v>RACSEK</v>
      </c>
      <c r="C29" s="450"/>
      <c r="D29" s="448" t="s">
        <v>326</v>
      </c>
      <c r="E29" s="449"/>
      <c r="F29" s="451"/>
      <c r="G29" s="451"/>
      <c r="H29" s="448" t="s">
        <v>319</v>
      </c>
      <c r="I29" s="449"/>
      <c r="J29" s="274"/>
      <c r="K29" s="274"/>
      <c r="L29" s="274"/>
      <c r="M29" s="436"/>
    </row>
    <row r="30" spans="1:37" ht="18.75" customHeight="1" x14ac:dyDescent="0.25">
      <c r="A30" s="331" t="s">
        <v>73</v>
      </c>
      <c r="B30" s="450" t="str">
        <f>E17</f>
        <v xml:space="preserve">FEHÉR </v>
      </c>
      <c r="C30" s="450"/>
      <c r="D30" s="448" t="s">
        <v>312</v>
      </c>
      <c r="E30" s="449"/>
      <c r="F30" s="448" t="s">
        <v>318</v>
      </c>
      <c r="G30" s="449"/>
      <c r="H30" s="451"/>
      <c r="I30" s="451"/>
      <c r="J30" s="274"/>
      <c r="K30" s="274"/>
      <c r="L30" s="274"/>
      <c r="M30" s="436"/>
    </row>
    <row r="31" spans="1:37" ht="18.75" customHeight="1" x14ac:dyDescent="0.25">
      <c r="A31" s="336"/>
      <c r="B31" s="337"/>
      <c r="C31" s="337"/>
      <c r="D31" s="336"/>
      <c r="E31" s="336"/>
      <c r="F31" s="336"/>
      <c r="G31" s="336"/>
      <c r="H31" s="336"/>
      <c r="I31" s="336"/>
      <c r="J31" s="274"/>
      <c r="K31" s="274"/>
      <c r="L31" s="274"/>
      <c r="M31" s="338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</row>
    <row r="33" spans="1:18" x14ac:dyDescent="0.25">
      <c r="A33" s="274" t="s">
        <v>58</v>
      </c>
      <c r="B33" s="274"/>
      <c r="C33" s="455" t="str">
        <f>IF(M23=1,B23,IF(M24=1,B24,IF(M25=1,B25,"")))</f>
        <v/>
      </c>
      <c r="D33" s="455"/>
      <c r="E33" s="304" t="s">
        <v>75</v>
      </c>
      <c r="F33" s="455" t="e">
        <f>IF(K28=1,B28,IF(K29=1,B29,IF(K30=1,B30,IF(#REF!=1,#REF!,""))))</f>
        <v>#REF!</v>
      </c>
      <c r="G33" s="455"/>
      <c r="H33" s="274"/>
      <c r="I33" s="252"/>
      <c r="J33" s="274"/>
      <c r="K33" s="274"/>
      <c r="L33" s="274"/>
      <c r="M33" s="274"/>
    </row>
    <row r="34" spans="1:18" x14ac:dyDescent="0.25">
      <c r="A34" s="274"/>
      <c r="B34" s="274"/>
      <c r="C34" s="274"/>
      <c r="D34" s="274"/>
      <c r="E34" s="274"/>
      <c r="F34" s="304"/>
      <c r="G34" s="304"/>
      <c r="H34" s="274"/>
      <c r="I34" s="274"/>
      <c r="J34" s="274"/>
      <c r="K34" s="274"/>
      <c r="L34" s="274"/>
      <c r="M34" s="274"/>
    </row>
    <row r="35" spans="1:18" x14ac:dyDescent="0.25">
      <c r="A35" s="274" t="s">
        <v>74</v>
      </c>
      <c r="B35" s="274"/>
      <c r="C35" s="455" t="str">
        <f>IF(M23=2,B23,IF(M24=2,B24,IF(M25=2,B25,"")))</f>
        <v/>
      </c>
      <c r="D35" s="455"/>
      <c r="E35" s="304" t="s">
        <v>75</v>
      </c>
      <c r="F35" s="455" t="e">
        <f>IF(K28=2,B28,IF(K29=2,B29,IF(K30=2,B30,IF(#REF!=2,#REF!,""))))</f>
        <v>#REF!</v>
      </c>
      <c r="G35" s="455"/>
      <c r="H35" s="274"/>
      <c r="I35" s="252"/>
      <c r="J35" s="274"/>
      <c r="K35" s="274"/>
      <c r="L35" s="274"/>
      <c r="M35" s="274"/>
    </row>
    <row r="36" spans="1:18" x14ac:dyDescent="0.25">
      <c r="A36" s="274"/>
      <c r="B36" s="274"/>
      <c r="C36" s="304"/>
      <c r="D36" s="304"/>
      <c r="E36" s="304"/>
      <c r="F36" s="304"/>
      <c r="G36" s="304"/>
      <c r="H36" s="274"/>
      <c r="I36" s="274"/>
      <c r="J36" s="274"/>
      <c r="K36" s="274"/>
      <c r="L36" s="274"/>
      <c r="M36" s="274"/>
    </row>
    <row r="37" spans="1:18" x14ac:dyDescent="0.25">
      <c r="A37" s="274" t="s">
        <v>76</v>
      </c>
      <c r="B37" s="274"/>
      <c r="C37" s="455" t="str">
        <f>IF(M23=3,B23,IF(M24=3,B24,IF(M25=3,B25,"")))</f>
        <v/>
      </c>
      <c r="D37" s="455"/>
      <c r="E37" s="304" t="s">
        <v>75</v>
      </c>
      <c r="F37" s="455" t="e">
        <f>IF(K28=3,B28,IF(K29=3,B29,IF(K30=3,B30,IF(#REF!=3,#REF!,""))))</f>
        <v>#REF!</v>
      </c>
      <c r="G37" s="455"/>
      <c r="H37" s="274"/>
      <c r="I37" s="252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</row>
    <row r="39" spans="1:18" x14ac:dyDescent="0.25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52"/>
      <c r="M39" s="274"/>
    </row>
    <row r="40" spans="1:18" x14ac:dyDescent="0.25">
      <c r="A40" s="140" t="s">
        <v>43</v>
      </c>
      <c r="B40" s="141"/>
      <c r="C40" s="209"/>
      <c r="D40" s="310" t="s">
        <v>4</v>
      </c>
      <c r="E40" s="311" t="s">
        <v>45</v>
      </c>
      <c r="F40" s="325"/>
      <c r="G40" s="310" t="s">
        <v>4</v>
      </c>
      <c r="H40" s="311" t="s">
        <v>54</v>
      </c>
      <c r="I40" s="165"/>
      <c r="J40" s="311" t="s">
        <v>55</v>
      </c>
      <c r="K40" s="164" t="s">
        <v>56</v>
      </c>
      <c r="L40" s="33"/>
      <c r="M40" s="325"/>
      <c r="P40" s="306"/>
      <c r="Q40" s="306"/>
      <c r="R40" s="307"/>
    </row>
    <row r="41" spans="1:18" x14ac:dyDescent="0.25">
      <c r="A41" s="285" t="s">
        <v>44</v>
      </c>
      <c r="B41" s="286"/>
      <c r="C41" s="288"/>
      <c r="D41" s="312">
        <v>1</v>
      </c>
      <c r="E41" s="454" t="str">
        <f>IF(D41&gt;$R$43,,UPPER(VLOOKUP(D41,'Fiú 1 kcs. B ELO'!$A$7:$Q$134,2)))</f>
        <v xml:space="preserve">SZABÓ </v>
      </c>
      <c r="F41" s="454"/>
      <c r="G41" s="319" t="s">
        <v>5</v>
      </c>
      <c r="H41" s="286"/>
      <c r="I41" s="313"/>
      <c r="J41" s="320"/>
      <c r="K41" s="280" t="s">
        <v>46</v>
      </c>
      <c r="L41" s="326"/>
      <c r="M41" s="314"/>
      <c r="P41" s="308"/>
      <c r="Q41" s="308"/>
      <c r="R41" s="153"/>
    </row>
    <row r="42" spans="1:18" x14ac:dyDescent="0.25">
      <c r="A42" s="289" t="s">
        <v>53</v>
      </c>
      <c r="B42" s="163"/>
      <c r="C42" s="291"/>
      <c r="D42" s="315">
        <v>2</v>
      </c>
      <c r="E42" s="453" t="str">
        <f>IF(D42&gt;$R$43,,UPPER(VLOOKUP(D42,'Fiú 1 kcs. B ELO'!$A$7:$Q$134,2)))</f>
        <v xml:space="preserve">PONGRÁCZ </v>
      </c>
      <c r="F42" s="453"/>
      <c r="G42" s="321" t="s">
        <v>6</v>
      </c>
      <c r="H42" s="83"/>
      <c r="I42" s="278"/>
      <c r="J42" s="84"/>
      <c r="K42" s="323"/>
      <c r="L42" s="252"/>
      <c r="M42" s="318"/>
      <c r="P42" s="153"/>
      <c r="Q42" s="151"/>
      <c r="R42" s="153"/>
    </row>
    <row r="43" spans="1:18" x14ac:dyDescent="0.25">
      <c r="A43" s="178"/>
      <c r="B43" s="179"/>
      <c r="C43" s="180"/>
      <c r="D43" s="315"/>
      <c r="E43" s="85"/>
      <c r="F43" s="274"/>
      <c r="G43" s="321" t="s">
        <v>7</v>
      </c>
      <c r="H43" s="83"/>
      <c r="I43" s="278"/>
      <c r="J43" s="84"/>
      <c r="K43" s="280" t="s">
        <v>47</v>
      </c>
      <c r="L43" s="326"/>
      <c r="M43" s="314"/>
      <c r="P43" s="308"/>
      <c r="Q43" s="308"/>
      <c r="R43" s="309">
        <f>MIN(4,'Fiú 1 kcs. B ELO'!Q2)</f>
        <v>4</v>
      </c>
    </row>
    <row r="44" spans="1:18" x14ac:dyDescent="0.25">
      <c r="A44" s="154"/>
      <c r="B44" s="120"/>
      <c r="C44" s="155"/>
      <c r="D44" s="315"/>
      <c r="E44" s="85"/>
      <c r="F44" s="274"/>
      <c r="G44" s="321" t="s">
        <v>8</v>
      </c>
      <c r="H44" s="83"/>
      <c r="I44" s="278"/>
      <c r="J44" s="84"/>
      <c r="K44" s="324"/>
      <c r="L44" s="274"/>
      <c r="M44" s="316"/>
      <c r="P44" s="153"/>
      <c r="Q44" s="151"/>
      <c r="R44" s="153"/>
    </row>
    <row r="45" spans="1:18" x14ac:dyDescent="0.25">
      <c r="A45" s="167"/>
      <c r="B45" s="181"/>
      <c r="C45" s="208"/>
      <c r="D45" s="315"/>
      <c r="E45" s="85"/>
      <c r="F45" s="274"/>
      <c r="G45" s="321" t="s">
        <v>9</v>
      </c>
      <c r="H45" s="83"/>
      <c r="I45" s="278"/>
      <c r="J45" s="84"/>
      <c r="K45" s="289"/>
      <c r="L45" s="252"/>
      <c r="M45" s="318"/>
      <c r="P45" s="153"/>
      <c r="Q45" s="151"/>
      <c r="R45" s="153"/>
    </row>
    <row r="46" spans="1:18" x14ac:dyDescent="0.25">
      <c r="A46" s="168"/>
      <c r="B46" s="22"/>
      <c r="C46" s="155"/>
      <c r="D46" s="315"/>
      <c r="E46" s="85"/>
      <c r="F46" s="274"/>
      <c r="G46" s="321" t="s">
        <v>10</v>
      </c>
      <c r="H46" s="83"/>
      <c r="I46" s="278"/>
      <c r="J46" s="84"/>
      <c r="K46" s="280" t="s">
        <v>33</v>
      </c>
      <c r="L46" s="326"/>
      <c r="M46" s="314"/>
      <c r="P46" s="308"/>
      <c r="Q46" s="308"/>
      <c r="R46" s="153"/>
    </row>
    <row r="47" spans="1:18" x14ac:dyDescent="0.25">
      <c r="A47" s="168"/>
      <c r="B47" s="22"/>
      <c r="C47" s="176"/>
      <c r="D47" s="315"/>
      <c r="E47" s="85"/>
      <c r="F47" s="274"/>
      <c r="G47" s="321" t="s">
        <v>11</v>
      </c>
      <c r="H47" s="83"/>
      <c r="I47" s="278"/>
      <c r="J47" s="84"/>
      <c r="K47" s="324"/>
      <c r="L47" s="274"/>
      <c r="M47" s="316"/>
      <c r="P47" s="153"/>
      <c r="Q47" s="151"/>
      <c r="R47" s="153"/>
    </row>
    <row r="48" spans="1:18" x14ac:dyDescent="0.25">
      <c r="A48" s="169"/>
      <c r="B48" s="166"/>
      <c r="C48" s="177"/>
      <c r="D48" s="317"/>
      <c r="E48" s="156"/>
      <c r="F48" s="252"/>
      <c r="G48" s="322" t="s">
        <v>12</v>
      </c>
      <c r="H48" s="163"/>
      <c r="I48" s="282"/>
      <c r="J48" s="158"/>
      <c r="K48" s="289" t="str">
        <f>L4</f>
        <v>Rákóczi Andrea</v>
      </c>
      <c r="L48" s="252"/>
      <c r="M48" s="318"/>
      <c r="P48" s="153"/>
      <c r="Q48" s="151"/>
      <c r="R48" s="309"/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1:F41"/>
    <mergeCell ref="E42:F42"/>
    <mergeCell ref="C33:D33"/>
    <mergeCell ref="F33:G33"/>
    <mergeCell ref="C35:D35"/>
    <mergeCell ref="F35:G35"/>
    <mergeCell ref="C37:D37"/>
    <mergeCell ref="F37:G37"/>
  </mergeCells>
  <conditionalFormatting sqref="E7 E9 E11 E13 E15 E17 E19">
    <cfRule type="cellIs" dxfId="20" priority="1" stopIfTrue="1" operator="equal">
      <formula>"Bye"</formula>
    </cfRule>
  </conditionalFormatting>
  <conditionalFormatting sqref="R43 R48">
    <cfRule type="expression" dxfId="1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59">
    <tabColor indexed="11"/>
  </sheetPr>
  <dimension ref="A1:AK53"/>
  <sheetViews>
    <sheetView topLeftCell="A9" zoomScale="99" workbookViewId="0">
      <selection activeCell="D29" sqref="D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IF(Y5=1,CONCATENATE(VLOOKUP(Y3,AA16:AH30,2)),CONCATENATE(VLOOKUP(Y3,AA2:AK13,2)))</f>
        <v>#N/A</v>
      </c>
      <c r="AC1" s="359" t="e">
        <f>IF(Y5=1,CONCATENATE(VLOOKUP(Y3,AA16:AK30,3)),CONCATENATE(VLOOKUP(Y3,AA2:AK13,3)))</f>
        <v>#N/A</v>
      </c>
      <c r="AD1" s="359" t="e">
        <f>IF(Y5=1,CONCATENATE(VLOOKUP(Y3,AA16:AK30,4)),CONCATENATE(VLOOKUP(Y3,AA2:AK13,4)))</f>
        <v>#N/A</v>
      </c>
      <c r="AE1" s="359" t="e">
        <f>IF(Y5=1,CONCATENATE(VLOOKUP(Y3,AA16:AK30,5)),CONCATENATE(VLOOKUP(Y3,AA2:AK13,5)))</f>
        <v>#N/A</v>
      </c>
      <c r="AF1" s="359" t="e">
        <f>IF(Y5=1,CONCATENATE(VLOOKUP(Y3,AA16:AK30,6)),CONCATENATE(VLOOKUP(Y3,AA2:AK13,6)))</f>
        <v>#N/A</v>
      </c>
      <c r="AG1" s="359" t="e">
        <f>IF(Y5=1,CONCATENATE(VLOOKUP(Y3,AA16:AK30,7)),CONCATENATE(VLOOKUP(Y3,AA2:AK13,7)))</f>
        <v>#N/A</v>
      </c>
      <c r="AH1" s="359" t="e">
        <f>IF(Y5=1,CONCATENATE(VLOOKUP(Y3,AA16:AK30,8)),CONCATENATE(VLOOKUP(Y3,AA2:AK13,8)))</f>
        <v>#N/A</v>
      </c>
      <c r="AI1" s="359" t="e">
        <f>IF(Y5=1,CONCATENATE(VLOOKUP(Y3,AA16:AK30,9)),CONCATENATE(VLOOKUP(Y3,AA2:AK13,9)))</f>
        <v>#N/A</v>
      </c>
      <c r="AJ1" s="359" t="e">
        <f>IF(Y5=1,CONCATENATE(VLOOKUP(Y3,AA16:AK30,10)),CONCATENATE(VLOOKUP(Y3,AA2:AK13,10)))</f>
        <v>#N/A</v>
      </c>
      <c r="AK1" s="359" t="e">
        <f>IF(Y5=1,CONCATENATE(VLOOKUP(Y3,AA16:AK30,11)),CONCATENATE(VLOOKUP(Y3,AA2:AK13,11)))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Altalanos!$D$8</f>
        <v>Fiú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S3" s="340" t="s">
        <v>79</v>
      </c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S4" s="342" t="s">
        <v>81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S5" s="344" t="s">
        <v>83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7</v>
      </c>
      <c r="C7" s="298">
        <f>IF($B7="","",VLOOKUP($B7,'Fiú 1 kcs. B ELO'!$A$7:$O$22,5))</f>
        <v>0</v>
      </c>
      <c r="D7" s="298">
        <f>IF($B7="","",VLOOKUP($B7,'Fiú 1 kcs. B ELO'!$A$7:$O$22,15))</f>
        <v>0</v>
      </c>
      <c r="E7" s="294" t="str">
        <f>UPPER(IF($B7="","",VLOOKUP($B7,'Fiú 1 kcs. B ELO'!$A$7:$O$22,2)))</f>
        <v xml:space="preserve">FAZAKAS-BAFFI </v>
      </c>
      <c r="F7" s="297"/>
      <c r="G7" s="294" t="str">
        <f>IF($B7="","",VLOOKUP($B7,'Fiú 1 kcs. B ELO'!$A$7:$O$22,3))</f>
        <v>Milán</v>
      </c>
      <c r="H7" s="297"/>
      <c r="I7" s="294" t="str">
        <f>IF($B7="","",VLOOKUP($B7,'Fiú 1 kcs. B ELO'!$A$7:$O$22,4))</f>
        <v>ELTE Gyertyánffy István Gyakorló Általános Iskola</v>
      </c>
      <c r="J7" s="274"/>
      <c r="K7" s="360"/>
      <c r="L7" s="351" t="str">
        <f>IF(K7="","",CONCATENATE(VLOOKUP($Y$3,$AB$1:$AK$1,K7)," pont"))</f>
        <v/>
      </c>
      <c r="M7" s="361"/>
      <c r="Q7" s="339" t="s">
        <v>78</v>
      </c>
      <c r="R7" s="400" t="s">
        <v>115</v>
      </c>
      <c r="S7" s="400" t="s">
        <v>116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Q8" s="341" t="s">
        <v>85</v>
      </c>
      <c r="R8" s="401" t="s">
        <v>113</v>
      </c>
      <c r="S8" s="401" t="s">
        <v>117</v>
      </c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2</v>
      </c>
      <c r="C9" s="298">
        <f>IF($B9="","",VLOOKUP($B9,'Fiú 1 kcs. B ELO'!$A$7:$O$22,5))</f>
        <v>0</v>
      </c>
      <c r="D9" s="298">
        <f>IF($B9="","",VLOOKUP($B9,'Fiú 1 kcs. B ELO'!$A$7:$O$22,15))</f>
        <v>0</v>
      </c>
      <c r="E9" s="293" t="str">
        <f>UPPER(IF($B9="","",VLOOKUP($B9,'Fiú 1 kcs. B ELO'!$A$7:$O$22,2)))</f>
        <v xml:space="preserve">PONGRÁCZ </v>
      </c>
      <c r="F9" s="299"/>
      <c r="G9" s="293" t="str">
        <f>IF($B9="","",VLOOKUP($B9,'Fiú 1 kcs. B ELO'!$A$7:$O$22,3))</f>
        <v>Nándor</v>
      </c>
      <c r="H9" s="299"/>
      <c r="I9" s="293" t="str">
        <f>IF($B9="","",VLOOKUP($B9,'Fiú 1 kcs. B ELO'!$A$7:$O$22,4))</f>
        <v>Bóly</v>
      </c>
      <c r="J9" s="274"/>
      <c r="K9" s="360"/>
      <c r="L9" s="351" t="str">
        <f>IF(K9="","",CONCATENATE(VLOOKUP($Y$3,$AB$1:$AK$1,K9)," pont"))</f>
        <v/>
      </c>
      <c r="M9" s="361"/>
      <c r="Q9" s="343" t="s">
        <v>86</v>
      </c>
      <c r="R9" s="402" t="s">
        <v>110</v>
      </c>
      <c r="S9" s="402" t="s">
        <v>118</v>
      </c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6</v>
      </c>
      <c r="C11" s="298">
        <f>IF($B11="","",VLOOKUP($B11,'Fiú 1 kcs. B ELO'!$A$7:$O$22,5))</f>
        <v>0</v>
      </c>
      <c r="D11" s="298">
        <f>IF($B11="","",VLOOKUP($B11,'Fiú 1 kcs. B ELO'!$A$7:$O$22,15))</f>
        <v>0</v>
      </c>
      <c r="E11" s="293" t="str">
        <f>UPPER(IF($B11="","",VLOOKUP($B11,'Fiú 1 kcs. B ELO'!$A$7:$O$22,2)))</f>
        <v xml:space="preserve">OLÁH </v>
      </c>
      <c r="F11" s="299"/>
      <c r="G11" s="293" t="str">
        <f>IF($B11="","",VLOOKUP($B11,'Fiú 1 kcs. B ELO'!$A$7:$O$22,3))</f>
        <v>Sebestyén</v>
      </c>
      <c r="H11" s="299"/>
      <c r="I11" s="293" t="str">
        <f>IF($B11="","",VLOOKUP($B11,'Fiú 1 kcs. B ELO'!$A$7:$O$22,4))</f>
        <v>Kazincbarcikai Pollack Mihály Általános Iskola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93" t="s">
        <v>71</v>
      </c>
      <c r="B13" s="396"/>
      <c r="C13" s="298">
        <v>0</v>
      </c>
      <c r="D13" s="298">
        <v>0</v>
      </c>
      <c r="E13" s="433" t="s">
        <v>287</v>
      </c>
      <c r="F13" s="299"/>
      <c r="G13" s="433" t="s">
        <v>284</v>
      </c>
      <c r="H13" s="299"/>
      <c r="I13" s="293" t="str">
        <f>IF($B13="","",VLOOKUP($B13,'Fiú 1 kcs. B ELO'!$A$7:$O$22,4))</f>
        <v/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32" t="s">
        <v>72</v>
      </c>
      <c r="B15" s="395"/>
      <c r="C15" s="298">
        <v>0</v>
      </c>
      <c r="D15" s="394">
        <v>0</v>
      </c>
      <c r="E15" s="434" t="s">
        <v>288</v>
      </c>
      <c r="F15" s="297"/>
      <c r="G15" s="434" t="s">
        <v>228</v>
      </c>
      <c r="H15" s="297"/>
      <c r="I15" s="294" t="str">
        <f>IF($B15="","",VLOOKUP($B15,'Fiú 1 kcs. B ELO'!$A$7:$O$22,4))</f>
        <v/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12</v>
      </c>
      <c r="C17" s="298">
        <f>IF($B17="","",VLOOKUP($B17,'Fiú 1 kcs. B ELO'!$A$7:$O$22,5))</f>
        <v>0</v>
      </c>
      <c r="D17" s="298">
        <f>IF($B17="","",VLOOKUP($B17,'Fiú 1 kcs. B ELO'!$A$7:$O$22,15))</f>
        <v>0</v>
      </c>
      <c r="E17" s="293" t="str">
        <f>UPPER(IF($B17="","",VLOOKUP($B17,'Fiú 1 kcs. B ELO'!$A$7:$O$22,2)))</f>
        <v xml:space="preserve">VAUGHAN </v>
      </c>
      <c r="F17" s="299"/>
      <c r="G17" s="293" t="str">
        <f>IF($B17="","",VLOOKUP($B17,'Fiú 1 kcs. B ELO'!$A$7:$O$22,3))</f>
        <v>Marcel Geoffrey</v>
      </c>
      <c r="H17" s="299"/>
      <c r="I17" s="293">
        <f>IF($B17="","",VLOOKUP($B17,'Fiú 1 kcs. B ELO'!$A$7:$O$22,4))</f>
        <v>0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304"/>
      <c r="B18" s="346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2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3.8" x14ac:dyDescent="0.3">
      <c r="A19" s="393" t="s">
        <v>77</v>
      </c>
      <c r="B19" s="347"/>
      <c r="C19" s="298">
        <v>0</v>
      </c>
      <c r="D19" s="298">
        <v>0</v>
      </c>
      <c r="E19" s="433" t="s">
        <v>289</v>
      </c>
      <c r="F19" s="299"/>
      <c r="G19" s="433" t="s">
        <v>249</v>
      </c>
      <c r="H19" s="299"/>
      <c r="I19" s="411" t="s">
        <v>250</v>
      </c>
      <c r="J19" s="274"/>
      <c r="K19" s="360"/>
      <c r="L19" s="351" t="str">
        <f>IF(K19="","",CONCATENATE(VLOOKUP($Y$3,$AB$1:$AK$1,K19)," pont"))</f>
        <v/>
      </c>
      <c r="M19" s="361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304"/>
      <c r="B20" s="346"/>
      <c r="C20" s="305"/>
      <c r="D20" s="305"/>
      <c r="E20" s="305"/>
      <c r="F20" s="305"/>
      <c r="G20" s="305"/>
      <c r="H20" s="305"/>
      <c r="I20" s="305"/>
      <c r="J20" s="274"/>
      <c r="K20" s="304"/>
      <c r="L20" s="304"/>
      <c r="M20" s="362"/>
      <c r="Y20" s="349"/>
      <c r="Z20" s="349"/>
      <c r="AA20" s="349" t="s">
        <v>89</v>
      </c>
      <c r="AB20" s="349">
        <v>200</v>
      </c>
      <c r="AC20" s="349">
        <v>150</v>
      </c>
      <c r="AD20" s="349">
        <v>130</v>
      </c>
      <c r="AE20" s="349">
        <v>110</v>
      </c>
      <c r="AF20" s="349">
        <v>95</v>
      </c>
      <c r="AG20" s="349">
        <v>80</v>
      </c>
      <c r="AH20" s="349">
        <v>70</v>
      </c>
      <c r="AI20" s="349">
        <v>60</v>
      </c>
      <c r="AJ20" s="349">
        <v>55</v>
      </c>
      <c r="AK20" s="349">
        <v>50</v>
      </c>
    </row>
    <row r="21" spans="1:37" x14ac:dyDescent="0.25">
      <c r="A21" s="393" t="s">
        <v>108</v>
      </c>
      <c r="B21" s="347">
        <v>10</v>
      </c>
      <c r="C21" s="298">
        <f>IF($B21="","",VLOOKUP($B21,'Fiú 1 kcs. B ELO'!$A$7:$O$22,5))</f>
        <v>0</v>
      </c>
      <c r="D21" s="298">
        <f>IF($B21="","",VLOOKUP($B21,'Fiú 1 kcs. B ELO'!$A$7:$O$22,15))</f>
        <v>0</v>
      </c>
      <c r="E21" s="293" t="str">
        <f>UPPER(IF($B21="","",VLOOKUP($B21,'Fiú 1 kcs. B ELO'!$A$7:$O$22,2)))</f>
        <v>ANDRÁSIK</v>
      </c>
      <c r="F21" s="299"/>
      <c r="G21" s="293" t="str">
        <f>IF($B21="","",VLOOKUP($B21,'Fiú 1 kcs. B ELO'!$A$7:$O$22,3))</f>
        <v>Miklós</v>
      </c>
      <c r="H21" s="299"/>
      <c r="I21" s="293" t="str">
        <f>IF($B21="","",VLOOKUP($B21,'Fiú 1 kcs. B ELO'!$A$7:$O$22,4))</f>
        <v>Db., Kossuth L.</v>
      </c>
      <c r="J21" s="274"/>
      <c r="K21" s="360"/>
      <c r="L21" s="351" t="str">
        <f>IF(K21="","",CONCATENATE(VLOOKUP($Y$3,$AB$1:$AK$1,K21)," pont"))</f>
        <v/>
      </c>
      <c r="M21" s="361"/>
      <c r="Y21" s="349"/>
      <c r="Z21" s="349"/>
      <c r="AA21" s="349" t="s">
        <v>90</v>
      </c>
      <c r="AB21" s="349">
        <v>150</v>
      </c>
      <c r="AC21" s="349">
        <v>120</v>
      </c>
      <c r="AD21" s="349">
        <v>100</v>
      </c>
      <c r="AE21" s="349">
        <v>80</v>
      </c>
      <c r="AF21" s="349">
        <v>70</v>
      </c>
      <c r="AG21" s="349">
        <v>60</v>
      </c>
      <c r="AH21" s="349">
        <v>55</v>
      </c>
      <c r="AI21" s="349">
        <v>50</v>
      </c>
      <c r="AJ21" s="349">
        <v>45</v>
      </c>
      <c r="AK21" s="349">
        <v>40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49"/>
      <c r="Z22" s="349"/>
      <c r="AA22" s="349" t="s">
        <v>91</v>
      </c>
      <c r="AB22" s="349">
        <v>120</v>
      </c>
      <c r="AC22" s="349">
        <v>90</v>
      </c>
      <c r="AD22" s="349">
        <v>65</v>
      </c>
      <c r="AE22" s="349">
        <v>55</v>
      </c>
      <c r="AF22" s="349">
        <v>50</v>
      </c>
      <c r="AG22" s="349">
        <v>45</v>
      </c>
      <c r="AH22" s="349">
        <v>40</v>
      </c>
      <c r="AI22" s="349">
        <v>35</v>
      </c>
      <c r="AJ22" s="349">
        <v>25</v>
      </c>
      <c r="AK22" s="349">
        <v>20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92</v>
      </c>
      <c r="AB23" s="349">
        <v>90</v>
      </c>
      <c r="AC23" s="349">
        <v>60</v>
      </c>
      <c r="AD23" s="349">
        <v>45</v>
      </c>
      <c r="AE23" s="349">
        <v>34</v>
      </c>
      <c r="AF23" s="349">
        <v>27</v>
      </c>
      <c r="AG23" s="349">
        <v>22</v>
      </c>
      <c r="AH23" s="349">
        <v>18</v>
      </c>
      <c r="AI23" s="349">
        <v>15</v>
      </c>
      <c r="AJ23" s="349">
        <v>12</v>
      </c>
      <c r="AK23" s="349">
        <v>9</v>
      </c>
    </row>
    <row r="24" spans="1:37" ht="18.75" customHeight="1" x14ac:dyDescent="0.25">
      <c r="A24" s="274"/>
      <c r="B24" s="446"/>
      <c r="C24" s="446"/>
      <c r="D24" s="447" t="str">
        <f>E7</f>
        <v xml:space="preserve">FAZAKAS-BAFFI </v>
      </c>
      <c r="E24" s="447"/>
      <c r="F24" s="447" t="str">
        <f>E9</f>
        <v xml:space="preserve">PONGRÁCZ </v>
      </c>
      <c r="G24" s="447"/>
      <c r="H24" s="447" t="str">
        <f>E11</f>
        <v xml:space="preserve">OLÁH </v>
      </c>
      <c r="I24" s="447"/>
      <c r="J24" s="447" t="str">
        <f>E13</f>
        <v>NAGY</v>
      </c>
      <c r="K24" s="447"/>
      <c r="L24" s="274"/>
      <c r="M24" s="333" t="s">
        <v>68</v>
      </c>
      <c r="Y24" s="349"/>
      <c r="Z24" s="349"/>
      <c r="AA24" s="349" t="s">
        <v>93</v>
      </c>
      <c r="AB24" s="349">
        <v>60</v>
      </c>
      <c r="AC24" s="349">
        <v>40</v>
      </c>
      <c r="AD24" s="349">
        <v>30</v>
      </c>
      <c r="AE24" s="349">
        <v>20</v>
      </c>
      <c r="AF24" s="349">
        <v>18</v>
      </c>
      <c r="AG24" s="349">
        <v>15</v>
      </c>
      <c r="AH24" s="349">
        <v>12</v>
      </c>
      <c r="AI24" s="349">
        <v>10</v>
      </c>
      <c r="AJ24" s="349">
        <v>8</v>
      </c>
      <c r="AK24" s="349">
        <v>6</v>
      </c>
    </row>
    <row r="25" spans="1:37" ht="18.75" customHeight="1" x14ac:dyDescent="0.25">
      <c r="A25" s="331" t="s">
        <v>64</v>
      </c>
      <c r="B25" s="450" t="str">
        <f>E7</f>
        <v xml:space="preserve">FAZAKAS-BAFFI </v>
      </c>
      <c r="C25" s="450"/>
      <c r="D25" s="451"/>
      <c r="E25" s="451"/>
      <c r="F25" s="448" t="s">
        <v>342</v>
      </c>
      <c r="G25" s="449"/>
      <c r="H25" s="448" t="s">
        <v>320</v>
      </c>
      <c r="I25" s="449"/>
      <c r="J25" s="458" t="s">
        <v>312</v>
      </c>
      <c r="K25" s="452"/>
      <c r="L25" s="274"/>
      <c r="M25" s="334"/>
      <c r="Y25" s="349"/>
      <c r="Z25" s="349"/>
      <c r="AA25" s="349" t="s">
        <v>94</v>
      </c>
      <c r="AB25" s="349">
        <v>40</v>
      </c>
      <c r="AC25" s="349">
        <v>25</v>
      </c>
      <c r="AD25" s="349">
        <v>18</v>
      </c>
      <c r="AE25" s="349">
        <v>13</v>
      </c>
      <c r="AF25" s="349">
        <v>8</v>
      </c>
      <c r="AG25" s="349">
        <v>7</v>
      </c>
      <c r="AH25" s="349">
        <v>6</v>
      </c>
      <c r="AI25" s="349">
        <v>5</v>
      </c>
      <c r="AJ25" s="349">
        <v>4</v>
      </c>
      <c r="AK25" s="349">
        <v>3</v>
      </c>
    </row>
    <row r="26" spans="1:37" ht="18.75" customHeight="1" x14ac:dyDescent="0.25">
      <c r="A26" s="331" t="s">
        <v>65</v>
      </c>
      <c r="B26" s="450" t="str">
        <f>E9</f>
        <v xml:space="preserve">PONGRÁCZ </v>
      </c>
      <c r="C26" s="450"/>
      <c r="D26" s="448" t="s">
        <v>343</v>
      </c>
      <c r="E26" s="449"/>
      <c r="F26" s="451"/>
      <c r="G26" s="451"/>
      <c r="H26" s="448" t="s">
        <v>314</v>
      </c>
      <c r="I26" s="449"/>
      <c r="J26" s="448" t="s">
        <v>315</v>
      </c>
      <c r="K26" s="449"/>
      <c r="L26" s="274"/>
      <c r="M26" s="334"/>
      <c r="Y26" s="349"/>
      <c r="Z26" s="349"/>
      <c r="AA26" s="349" t="s">
        <v>95</v>
      </c>
      <c r="AB26" s="349">
        <v>25</v>
      </c>
      <c r="AC26" s="349">
        <v>15</v>
      </c>
      <c r="AD26" s="349">
        <v>13</v>
      </c>
      <c r="AE26" s="349">
        <v>7</v>
      </c>
      <c r="AF26" s="349">
        <v>6</v>
      </c>
      <c r="AG26" s="349">
        <v>5</v>
      </c>
      <c r="AH26" s="349">
        <v>4</v>
      </c>
      <c r="AI26" s="349">
        <v>3</v>
      </c>
      <c r="AJ26" s="349">
        <v>2</v>
      </c>
      <c r="AK26" s="349">
        <v>1</v>
      </c>
    </row>
    <row r="27" spans="1:37" ht="18.75" customHeight="1" x14ac:dyDescent="0.25">
      <c r="A27" s="331" t="s">
        <v>66</v>
      </c>
      <c r="B27" s="450" t="str">
        <f>E11</f>
        <v xml:space="preserve">OLÁH </v>
      </c>
      <c r="C27" s="450"/>
      <c r="D27" s="448" t="s">
        <v>321</v>
      </c>
      <c r="E27" s="449"/>
      <c r="F27" s="448" t="s">
        <v>315</v>
      </c>
      <c r="G27" s="449"/>
      <c r="H27" s="451"/>
      <c r="I27" s="451"/>
      <c r="J27" s="448" t="s">
        <v>302</v>
      </c>
      <c r="K27" s="449"/>
      <c r="L27" s="274"/>
      <c r="M27" s="334"/>
      <c r="Y27" s="349"/>
      <c r="Z27" s="349"/>
      <c r="AA27" s="349" t="s">
        <v>100</v>
      </c>
      <c r="AB27" s="349">
        <v>15</v>
      </c>
      <c r="AC27" s="349">
        <v>10</v>
      </c>
      <c r="AD27" s="349">
        <v>8</v>
      </c>
      <c r="AE27" s="349">
        <v>4</v>
      </c>
      <c r="AF27" s="349">
        <v>3</v>
      </c>
      <c r="AG27" s="349">
        <v>2</v>
      </c>
      <c r="AH27" s="349">
        <v>1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92" t="s">
        <v>71</v>
      </c>
      <c r="B28" s="450" t="str">
        <f>E13</f>
        <v>NAGY</v>
      </c>
      <c r="C28" s="450"/>
      <c r="D28" s="448" t="s">
        <v>313</v>
      </c>
      <c r="E28" s="449"/>
      <c r="F28" s="448" t="s">
        <v>314</v>
      </c>
      <c r="G28" s="449"/>
      <c r="H28" s="458" t="s">
        <v>301</v>
      </c>
      <c r="I28" s="452"/>
      <c r="J28" s="451"/>
      <c r="K28" s="451"/>
      <c r="L28" s="274"/>
      <c r="M28" s="334"/>
      <c r="Y28" s="349"/>
      <c r="Z28" s="349"/>
      <c r="AA28" s="349" t="s">
        <v>100</v>
      </c>
      <c r="AB28" s="349">
        <v>15</v>
      </c>
      <c r="AC28" s="349">
        <v>10</v>
      </c>
      <c r="AD28" s="349">
        <v>8</v>
      </c>
      <c r="AE28" s="349">
        <v>4</v>
      </c>
      <c r="AF28" s="349">
        <v>3</v>
      </c>
      <c r="AG28" s="349">
        <v>2</v>
      </c>
      <c r="AH28" s="349">
        <v>1</v>
      </c>
      <c r="AI28" s="349">
        <v>0</v>
      </c>
      <c r="AJ28" s="349">
        <v>0</v>
      </c>
      <c r="AK28" s="349">
        <v>0</v>
      </c>
    </row>
    <row r="29" spans="1:37" x14ac:dyDescent="0.25">
      <c r="A29" s="274"/>
      <c r="B29" s="274"/>
      <c r="C29" s="274"/>
      <c r="D29" s="437"/>
      <c r="E29" s="437"/>
      <c r="F29" s="437"/>
      <c r="G29" s="437"/>
      <c r="H29" s="437"/>
      <c r="I29" s="437"/>
      <c r="J29" s="437"/>
      <c r="K29" s="437"/>
      <c r="L29" s="274"/>
      <c r="M29" s="335"/>
      <c r="Y29" s="349"/>
      <c r="Z29" s="349"/>
      <c r="AA29" s="349" t="s">
        <v>96</v>
      </c>
      <c r="AB29" s="349">
        <v>10</v>
      </c>
      <c r="AC29" s="349">
        <v>6</v>
      </c>
      <c r="AD29" s="349">
        <v>4</v>
      </c>
      <c r="AE29" s="349">
        <v>2</v>
      </c>
      <c r="AF29" s="349">
        <v>1</v>
      </c>
      <c r="AG29" s="349">
        <v>0</v>
      </c>
      <c r="AH29" s="349">
        <v>0</v>
      </c>
      <c r="AI29" s="349">
        <v>0</v>
      </c>
      <c r="AJ29" s="349">
        <v>0</v>
      </c>
      <c r="AK29" s="349">
        <v>0</v>
      </c>
    </row>
    <row r="30" spans="1:37" ht="18.75" customHeight="1" x14ac:dyDescent="0.25">
      <c r="A30" s="274"/>
      <c r="B30" s="446"/>
      <c r="C30" s="446"/>
      <c r="D30" s="452" t="str">
        <f>E15</f>
        <v>MÓRÓ</v>
      </c>
      <c r="E30" s="452"/>
      <c r="F30" s="452" t="str">
        <f>E17</f>
        <v xml:space="preserve">VAUGHAN </v>
      </c>
      <c r="G30" s="452"/>
      <c r="H30" s="464" t="str">
        <f>E19</f>
        <v>KOLLARITS</v>
      </c>
      <c r="I30" s="465"/>
      <c r="J30" s="452" t="str">
        <f>E21</f>
        <v>ANDRÁSIK</v>
      </c>
      <c r="K30" s="452"/>
      <c r="L30" s="274"/>
      <c r="M30" s="335"/>
      <c r="Y30" s="349"/>
      <c r="Z30" s="349"/>
      <c r="AA30" s="349" t="s">
        <v>97</v>
      </c>
      <c r="AB30" s="349">
        <v>3</v>
      </c>
      <c r="AC30" s="349">
        <v>2</v>
      </c>
      <c r="AD30" s="349">
        <v>1</v>
      </c>
      <c r="AE30" s="349">
        <v>0</v>
      </c>
      <c r="AF30" s="349">
        <v>0</v>
      </c>
      <c r="AG30" s="349">
        <v>0</v>
      </c>
      <c r="AH30" s="349">
        <v>0</v>
      </c>
      <c r="AI30" s="349">
        <v>0</v>
      </c>
      <c r="AJ30" s="349">
        <v>0</v>
      </c>
      <c r="AK30" s="349">
        <v>0</v>
      </c>
    </row>
    <row r="31" spans="1:37" ht="18.75" customHeight="1" x14ac:dyDescent="0.25">
      <c r="A31" s="392" t="s">
        <v>72</v>
      </c>
      <c r="B31" s="462" t="str">
        <f>E15</f>
        <v>MÓRÓ</v>
      </c>
      <c r="C31" s="463"/>
      <c r="D31" s="451"/>
      <c r="E31" s="451"/>
      <c r="F31" s="448" t="s">
        <v>319</v>
      </c>
      <c r="G31" s="449"/>
      <c r="H31" s="448" t="s">
        <v>302</v>
      </c>
      <c r="I31" s="449"/>
      <c r="J31" s="458" t="s">
        <v>317</v>
      </c>
      <c r="K31" s="452"/>
      <c r="L31" s="274"/>
      <c r="M31" s="334"/>
    </row>
    <row r="32" spans="1:37" ht="18.75" customHeight="1" x14ac:dyDescent="0.25">
      <c r="A32" s="392" t="s">
        <v>73</v>
      </c>
      <c r="B32" s="450" t="str">
        <f>E17</f>
        <v xml:space="preserve">VAUGHAN </v>
      </c>
      <c r="C32" s="450"/>
      <c r="D32" s="448" t="s">
        <v>318</v>
      </c>
      <c r="E32" s="449"/>
      <c r="F32" s="451"/>
      <c r="G32" s="451"/>
      <c r="H32" s="448" t="s">
        <v>297</v>
      </c>
      <c r="I32" s="449"/>
      <c r="J32" s="448" t="s">
        <v>316</v>
      </c>
      <c r="K32" s="449"/>
      <c r="L32" s="274"/>
      <c r="M32" s="334"/>
    </row>
    <row r="33" spans="1:18" ht="18.75" customHeight="1" x14ac:dyDescent="0.25">
      <c r="A33" s="392" t="s">
        <v>77</v>
      </c>
      <c r="B33" s="450" t="str">
        <f>E19</f>
        <v>KOLLARITS</v>
      </c>
      <c r="C33" s="450"/>
      <c r="D33" s="448" t="s">
        <v>301</v>
      </c>
      <c r="E33" s="449"/>
      <c r="F33" s="448" t="s">
        <v>298</v>
      </c>
      <c r="G33" s="449"/>
      <c r="H33" s="451"/>
      <c r="I33" s="451"/>
      <c r="J33" s="448" t="s">
        <v>310</v>
      </c>
      <c r="K33" s="449"/>
      <c r="L33" s="274"/>
      <c r="M33" s="334"/>
    </row>
    <row r="34" spans="1:18" ht="18.75" customHeight="1" x14ac:dyDescent="0.25">
      <c r="A34" s="392" t="s">
        <v>108</v>
      </c>
      <c r="B34" s="450" t="str">
        <f>E21</f>
        <v>ANDRÁSIK</v>
      </c>
      <c r="C34" s="450"/>
      <c r="D34" s="448" t="s">
        <v>316</v>
      </c>
      <c r="E34" s="449"/>
      <c r="F34" s="448" t="s">
        <v>317</v>
      </c>
      <c r="G34" s="449"/>
      <c r="H34" s="458" t="s">
        <v>309</v>
      </c>
      <c r="I34" s="452"/>
      <c r="J34" s="451"/>
      <c r="K34" s="451"/>
      <c r="L34" s="274"/>
      <c r="M34" s="334"/>
    </row>
    <row r="35" spans="1:18" ht="18.75" customHeight="1" x14ac:dyDescent="0.25">
      <c r="A35" s="336"/>
      <c r="B35" s="337"/>
      <c r="C35" s="337"/>
      <c r="D35" s="336"/>
      <c r="E35" s="336"/>
      <c r="F35" s="336"/>
      <c r="G35" s="336"/>
      <c r="H35" s="336"/>
      <c r="I35" s="336"/>
      <c r="J35" s="274"/>
      <c r="K35" s="274"/>
      <c r="L35" s="274"/>
      <c r="M35" s="338"/>
    </row>
    <row r="36" spans="1:18" x14ac:dyDescent="0.25">
      <c r="A36" s="274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  <row r="37" spans="1:18" x14ac:dyDescent="0.25">
      <c r="A37" s="274" t="s">
        <v>58</v>
      </c>
      <c r="B37" s="274"/>
      <c r="C37" s="455" t="str">
        <f>IF(M25=1,B25,IF(M26=1,B26,IF(M27=1,B27,IF(M28=1,B28,""))))</f>
        <v/>
      </c>
      <c r="D37" s="455"/>
      <c r="E37" s="304" t="s">
        <v>75</v>
      </c>
      <c r="F37" s="455" t="str">
        <f>IF(M31=1,B31,IF(M32=1,B32,IF(M33=1,B33,IF(M34=1,B34,""))))</f>
        <v/>
      </c>
      <c r="G37" s="455"/>
      <c r="H37" s="274"/>
      <c r="I37" s="252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304"/>
      <c r="G38" s="304"/>
      <c r="H38" s="274"/>
      <c r="I38" s="274"/>
      <c r="J38" s="274"/>
      <c r="K38" s="274"/>
      <c r="L38" s="274"/>
      <c r="M38" s="274"/>
    </row>
    <row r="39" spans="1:18" x14ac:dyDescent="0.25">
      <c r="A39" s="274" t="s">
        <v>74</v>
      </c>
      <c r="B39" s="274"/>
      <c r="C39" s="455" t="str">
        <f>IF(M25=2,B25,IF(M26=2,B26,IF(M27=2,B27,IF(M28=2,B28,""))))</f>
        <v/>
      </c>
      <c r="D39" s="455"/>
      <c r="E39" s="304" t="s">
        <v>75</v>
      </c>
      <c r="F39" s="455" t="str">
        <f>IF(M31=2,B31,IF(M32=2,B32,IF(M33=2,B33,IF(M34=2,B34,""))))</f>
        <v/>
      </c>
      <c r="G39" s="455"/>
      <c r="H39" s="274"/>
      <c r="I39" s="252"/>
      <c r="J39" s="274"/>
      <c r="K39" s="274"/>
      <c r="L39" s="274"/>
      <c r="M39" s="274"/>
    </row>
    <row r="40" spans="1:18" x14ac:dyDescent="0.25">
      <c r="A40" s="274"/>
      <c r="B40" s="274"/>
      <c r="C40" s="304"/>
      <c r="D40" s="304"/>
      <c r="E40" s="304"/>
      <c r="F40" s="304"/>
      <c r="G40" s="304"/>
      <c r="H40" s="274"/>
      <c r="I40" s="274"/>
      <c r="J40" s="274"/>
      <c r="K40" s="274"/>
      <c r="L40" s="274"/>
      <c r="M40" s="274"/>
    </row>
    <row r="41" spans="1:18" x14ac:dyDescent="0.25">
      <c r="A41" s="274" t="s">
        <v>76</v>
      </c>
      <c r="B41" s="274"/>
      <c r="C41" s="455" t="str">
        <f>IF(M25=3,B25,IF(M26=3,B26,IF(M27=3,B27,IF(M28=3,B28,""))))</f>
        <v/>
      </c>
      <c r="D41" s="455"/>
      <c r="E41" s="304" t="s">
        <v>75</v>
      </c>
      <c r="F41" s="455" t="str">
        <f>IF(M31=3,B31,IF(M32=3,B32,IF(M33=3,B33,IF(M34=3,B34,""))))</f>
        <v/>
      </c>
      <c r="G41" s="455"/>
      <c r="H41" s="274"/>
      <c r="I41" s="252"/>
      <c r="J41" s="274"/>
      <c r="K41" s="274"/>
      <c r="L41" s="274"/>
      <c r="M41" s="274"/>
    </row>
    <row r="42" spans="1:18" x14ac:dyDescent="0.25">
      <c r="A42" s="274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</row>
    <row r="43" spans="1:18" x14ac:dyDescent="0.25">
      <c r="A43" s="305" t="s">
        <v>109</v>
      </c>
      <c r="B43" s="274"/>
      <c r="C43" s="455">
        <f>IF(M25=4,B25,IF(M26=4,B26,IF(M27=4,B27,IF(M28=4,B28,))))</f>
        <v>0</v>
      </c>
      <c r="D43" s="455"/>
      <c r="E43" s="304" t="s">
        <v>75</v>
      </c>
      <c r="F43" s="455" t="str">
        <f>IF(M31=3,B31,IF(M32=3,B32,IF(M33=4,B33,IF(M34=4,B34,""))))</f>
        <v/>
      </c>
      <c r="G43" s="455"/>
      <c r="H43" s="274"/>
      <c r="I43" s="252"/>
      <c r="J43" s="274"/>
      <c r="K43" s="274"/>
      <c r="L43" s="274"/>
      <c r="M43" s="274"/>
    </row>
    <row r="44" spans="1:18" x14ac:dyDescent="0.25">
      <c r="A44" s="274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52"/>
      <c r="M44" s="274"/>
      <c r="P44" s="306"/>
      <c r="Q44" s="306"/>
      <c r="R44" s="307"/>
    </row>
    <row r="45" spans="1:18" x14ac:dyDescent="0.25">
      <c r="A45" s="140" t="s">
        <v>43</v>
      </c>
      <c r="B45" s="141"/>
      <c r="C45" s="209"/>
      <c r="D45" s="310" t="s">
        <v>4</v>
      </c>
      <c r="E45" s="311" t="s">
        <v>45</v>
      </c>
      <c r="F45" s="325"/>
      <c r="G45" s="310" t="s">
        <v>4</v>
      </c>
      <c r="H45" s="311" t="s">
        <v>54</v>
      </c>
      <c r="I45" s="165"/>
      <c r="J45" s="311" t="s">
        <v>55</v>
      </c>
      <c r="K45" s="164" t="s">
        <v>56</v>
      </c>
      <c r="L45" s="33"/>
      <c r="M45" s="325"/>
      <c r="P45" s="308"/>
      <c r="Q45" s="308"/>
      <c r="R45" s="153"/>
    </row>
    <row r="46" spans="1:18" x14ac:dyDescent="0.25">
      <c r="A46" s="285" t="s">
        <v>44</v>
      </c>
      <c r="B46" s="286"/>
      <c r="C46" s="288"/>
      <c r="D46" s="312">
        <v>1</v>
      </c>
      <c r="E46" s="454" t="str">
        <f>IF(D46&gt;$R$47,,UPPER(VLOOKUP(D46,'Fiú 1 kcs. B ELO'!$A$7:$Q$134,2)))</f>
        <v xml:space="preserve">SZABÓ </v>
      </c>
      <c r="F46" s="454"/>
      <c r="G46" s="319" t="s">
        <v>5</v>
      </c>
      <c r="H46" s="286"/>
      <c r="I46" s="313"/>
      <c r="J46" s="320"/>
      <c r="K46" s="280" t="s">
        <v>46</v>
      </c>
      <c r="L46" s="326"/>
      <c r="M46" s="314"/>
      <c r="P46" s="153"/>
      <c r="Q46" s="151"/>
      <c r="R46" s="153"/>
    </row>
    <row r="47" spans="1:18" x14ac:dyDescent="0.25">
      <c r="A47" s="289" t="s">
        <v>53</v>
      </c>
      <c r="B47" s="163"/>
      <c r="C47" s="291"/>
      <c r="D47" s="315">
        <v>2</v>
      </c>
      <c r="E47" s="453" t="str">
        <f>IF(D47&gt;$R$47,,UPPER(VLOOKUP(D47,'Fiú 1 kcs. B ELO'!$A$7:$Q$134,2)))</f>
        <v xml:space="preserve">PONGRÁCZ </v>
      </c>
      <c r="F47" s="453"/>
      <c r="G47" s="321" t="s">
        <v>6</v>
      </c>
      <c r="H47" s="83"/>
      <c r="I47" s="278"/>
      <c r="J47" s="84"/>
      <c r="K47" s="323"/>
      <c r="L47" s="252"/>
      <c r="M47" s="318"/>
      <c r="P47" s="308"/>
      <c r="Q47" s="308"/>
      <c r="R47" s="309">
        <f>MIN(4,'Fiú 1 kcs. B ELO'!Q2)</f>
        <v>4</v>
      </c>
    </row>
    <row r="48" spans="1:18" x14ac:dyDescent="0.25">
      <c r="A48" s="178"/>
      <c r="B48" s="179"/>
      <c r="C48" s="180"/>
      <c r="D48" s="315"/>
      <c r="E48" s="85"/>
      <c r="F48" s="274"/>
      <c r="G48" s="321" t="s">
        <v>7</v>
      </c>
      <c r="H48" s="83"/>
      <c r="I48" s="278"/>
      <c r="J48" s="84"/>
      <c r="K48" s="280" t="s">
        <v>47</v>
      </c>
      <c r="L48" s="326"/>
      <c r="M48" s="314"/>
      <c r="P48" s="153"/>
      <c r="Q48" s="151"/>
      <c r="R48" s="153"/>
    </row>
    <row r="49" spans="1:18" x14ac:dyDescent="0.25">
      <c r="A49" s="154"/>
      <c r="B49" s="120"/>
      <c r="C49" s="155"/>
      <c r="D49" s="315"/>
      <c r="E49" s="85"/>
      <c r="F49" s="274"/>
      <c r="G49" s="321" t="s">
        <v>8</v>
      </c>
      <c r="H49" s="83"/>
      <c r="I49" s="278"/>
      <c r="J49" s="84"/>
      <c r="K49" s="324"/>
      <c r="L49" s="274"/>
      <c r="M49" s="316"/>
      <c r="P49" s="153"/>
      <c r="Q49" s="151"/>
      <c r="R49" s="153"/>
    </row>
    <row r="50" spans="1:18" x14ac:dyDescent="0.25">
      <c r="A50" s="167"/>
      <c r="B50" s="181"/>
      <c r="C50" s="208"/>
      <c r="D50" s="315"/>
      <c r="E50" s="85"/>
      <c r="F50" s="274"/>
      <c r="G50" s="321" t="s">
        <v>9</v>
      </c>
      <c r="H50" s="83"/>
      <c r="I50" s="278"/>
      <c r="J50" s="84"/>
      <c r="K50" s="289"/>
      <c r="L50" s="252"/>
      <c r="M50" s="318"/>
      <c r="P50" s="308"/>
      <c r="Q50" s="308"/>
      <c r="R50" s="153"/>
    </row>
    <row r="51" spans="1:18" x14ac:dyDescent="0.25">
      <c r="A51" s="168"/>
      <c r="B51" s="22"/>
      <c r="C51" s="155"/>
      <c r="D51" s="315"/>
      <c r="E51" s="85"/>
      <c r="F51" s="274"/>
      <c r="G51" s="321" t="s">
        <v>10</v>
      </c>
      <c r="H51" s="83"/>
      <c r="I51" s="278"/>
      <c r="J51" s="84"/>
      <c r="K51" s="280" t="s">
        <v>33</v>
      </c>
      <c r="L51" s="326"/>
      <c r="M51" s="314"/>
      <c r="P51" s="153"/>
      <c r="Q51" s="151"/>
      <c r="R51" s="153"/>
    </row>
    <row r="52" spans="1:18" x14ac:dyDescent="0.25">
      <c r="A52" s="168"/>
      <c r="B52" s="22"/>
      <c r="C52" s="176"/>
      <c r="D52" s="315"/>
      <c r="E52" s="85"/>
      <c r="F52" s="274"/>
      <c r="G52" s="321" t="s">
        <v>11</v>
      </c>
      <c r="H52" s="83"/>
      <c r="I52" s="278"/>
      <c r="J52" s="84"/>
      <c r="K52" s="324"/>
      <c r="L52" s="274"/>
      <c r="M52" s="316"/>
      <c r="P52" s="153"/>
      <c r="Q52" s="151"/>
      <c r="R52" s="309"/>
    </row>
    <row r="53" spans="1:18" x14ac:dyDescent="0.25">
      <c r="A53" s="169"/>
      <c r="B53" s="166"/>
      <c r="C53" s="177"/>
      <c r="D53" s="317"/>
      <c r="E53" s="156"/>
      <c r="F53" s="252"/>
      <c r="G53" s="322" t="s">
        <v>12</v>
      </c>
      <c r="H53" s="163"/>
      <c r="I53" s="282"/>
      <c r="J53" s="158"/>
      <c r="K53" s="289" t="str">
        <f>L4</f>
        <v>Rákóczi Andrea</v>
      </c>
      <c r="L53" s="252"/>
      <c r="M53" s="318"/>
    </row>
  </sheetData>
  <mergeCells count="62">
    <mergeCell ref="A1:F1"/>
    <mergeCell ref="A4:C4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E7 E9 E11 E13 E15 E17 E19:E21">
    <cfRule type="cellIs" dxfId="18" priority="1" stopIfTrue="1" operator="equal">
      <formula>"Bye"</formula>
    </cfRule>
  </conditionalFormatting>
  <conditionalFormatting sqref="R47 R52">
    <cfRule type="expression" dxfId="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2025.05.26-06-01.</v>
      </c>
      <c r="B5" s="54" t="str">
        <f>Altalanos!$C$10</f>
        <v>Balatonboglár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43" t="s">
        <v>25</v>
      </c>
      <c r="B6" s="443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74" t="s">
        <v>26</v>
      </c>
      <c r="B20" s="175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59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60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39">
    <tabColor indexed="11"/>
  </sheetPr>
  <dimension ref="A1:AS140"/>
  <sheetViews>
    <sheetView topLeftCell="A3" workbookViewId="0">
      <selection activeCell="W19" sqref="W19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3" customWidth="1"/>
    <col min="11" max="11" width="10.6640625" customWidth="1"/>
    <col min="12" max="12" width="1.6640625" style="113" customWidth="1"/>
    <col min="13" max="13" width="10.6640625" customWidth="1"/>
    <col min="14" max="14" width="1.6640625" style="114" customWidth="1"/>
    <col min="15" max="15" width="10.6640625" customWidth="1"/>
    <col min="16" max="16" width="1.6640625" style="113" customWidth="1"/>
    <col min="17" max="17" width="10.6640625" customWidth="1"/>
    <col min="18" max="18" width="1.6640625" style="11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66" customWidth="1"/>
  </cols>
  <sheetData>
    <row r="1" spans="1:45" s="115" customFormat="1" ht="21.75" customHeight="1" x14ac:dyDescent="0.25">
      <c r="A1" s="222" t="str">
        <f>Altalanos!$A$6</f>
        <v>Diákolimpia</v>
      </c>
      <c r="B1" s="222"/>
      <c r="C1" s="223"/>
      <c r="D1" s="223"/>
      <c r="E1" s="223"/>
      <c r="F1" s="223"/>
      <c r="G1" s="223"/>
      <c r="H1" s="222"/>
      <c r="I1" s="224"/>
      <c r="J1" s="225"/>
      <c r="K1" s="226" t="s">
        <v>52</v>
      </c>
      <c r="L1" s="227"/>
      <c r="M1" s="228"/>
      <c r="N1" s="225"/>
      <c r="O1" s="225" t="s">
        <v>13</v>
      </c>
      <c r="P1" s="225"/>
      <c r="Q1" s="223"/>
      <c r="R1" s="225"/>
      <c r="T1" s="275"/>
      <c r="U1" s="275"/>
      <c r="V1" s="275"/>
      <c r="W1" s="275"/>
      <c r="X1" s="275"/>
      <c r="Y1" s="275"/>
      <c r="Z1" s="275"/>
      <c r="AA1" s="275"/>
      <c r="AB1" s="359" t="e">
        <f>IF($Y$5=1,CONCATENATE(VLOOKUP($Y$3,$AA$2:$AH$14,2)),CONCATENATE(VLOOKUP($Y$3,$AA$16:$AH$25,2)))</f>
        <v>#N/A</v>
      </c>
      <c r="AC1" s="359" t="e">
        <f>IF($Y$5=1,CONCATENATE(VLOOKUP($Y$3,$AA$2:$AH$14,3)),CONCATENATE(VLOOKUP($Y$3,$AA$16:$AH$25,3)))</f>
        <v>#N/A</v>
      </c>
      <c r="AD1" s="359" t="e">
        <f>IF($Y$5=1,CONCATENATE(VLOOKUP($Y$3,$AA$2:$AH$14,4)),CONCATENATE(VLOOKUP($Y$3,$AA$16:$AH$25,4)))</f>
        <v>#N/A</v>
      </c>
      <c r="AE1" s="359" t="e">
        <f>IF($Y$5=1,CONCATENATE(VLOOKUP($Y$3,$AA$2:$AH$14,5)),CONCATENATE(VLOOKUP($Y$3,$AA$16:$AH$25,5)))</f>
        <v>#N/A</v>
      </c>
      <c r="AF1" s="359" t="e">
        <f>IF($Y$5=1,CONCATENATE(VLOOKUP($Y$3,$AA$2:$AH$14,6)),CONCATENATE(VLOOKUP($Y$3,$AA$16:$AH$25,6)))</f>
        <v>#N/A</v>
      </c>
      <c r="AG1" s="359" t="e">
        <f>IF($Y$5=1,CONCATENATE(VLOOKUP($Y$3,$AA$2:$AH$14,7)),CONCATENATE(VLOOKUP($Y$3,$AA$16:$AH$25,7)))</f>
        <v>#N/A</v>
      </c>
      <c r="AH1" s="359" t="e">
        <f>IF($Y$5=1,CONCATENATE(VLOOKUP($Y$3,$AA$2:$AH$14,8)),CONCATENATE(VLOOKUP($Y$3,$AA$16:$AH$25,8)))</f>
        <v>#N/A</v>
      </c>
      <c r="AI1" s="363"/>
      <c r="AJ1" s="363"/>
      <c r="AK1" s="363"/>
    </row>
    <row r="2" spans="1:45" s="96" customFormat="1" x14ac:dyDescent="0.25">
      <c r="A2" s="229" t="s">
        <v>51</v>
      </c>
      <c r="B2" s="230"/>
      <c r="C2" s="230"/>
      <c r="D2" s="230"/>
      <c r="E2" s="409" t="str">
        <f>Altalanos!$D$8</f>
        <v>Fiú 1 kcs B</v>
      </c>
      <c r="F2" s="230"/>
      <c r="G2" s="231"/>
      <c r="H2" s="232"/>
      <c r="I2" s="232"/>
      <c r="J2" s="233"/>
      <c r="K2" s="227"/>
      <c r="L2" s="227"/>
      <c r="M2" s="227"/>
      <c r="N2" s="233"/>
      <c r="O2" s="232"/>
      <c r="P2" s="233"/>
      <c r="Q2" s="232"/>
      <c r="R2" s="233"/>
      <c r="T2" s="268"/>
      <c r="U2" s="268"/>
      <c r="V2" s="268"/>
      <c r="W2" s="268"/>
      <c r="X2" s="268"/>
      <c r="Y2" s="350"/>
      <c r="Z2" s="349"/>
      <c r="AA2" s="349" t="s">
        <v>64</v>
      </c>
      <c r="AB2" s="340">
        <v>300</v>
      </c>
      <c r="AC2" s="340">
        <v>250</v>
      </c>
      <c r="AD2" s="340">
        <v>200</v>
      </c>
      <c r="AE2" s="340">
        <v>150</v>
      </c>
      <c r="AF2" s="340">
        <v>120</v>
      </c>
      <c r="AG2" s="340">
        <v>90</v>
      </c>
      <c r="AH2" s="340">
        <v>40</v>
      </c>
      <c r="AI2" s="327"/>
      <c r="AJ2" s="327"/>
      <c r="AK2" s="327"/>
      <c r="AL2" s="268"/>
      <c r="AM2" s="268"/>
      <c r="AN2" s="268"/>
      <c r="AO2" s="268"/>
      <c r="AP2" s="268"/>
      <c r="AQ2" s="268"/>
      <c r="AR2" s="268"/>
      <c r="AS2" s="26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9"/>
      <c r="K3" s="50" t="s">
        <v>29</v>
      </c>
      <c r="L3" s="119"/>
      <c r="M3" s="50"/>
      <c r="N3" s="119"/>
      <c r="O3" s="50"/>
      <c r="P3" s="119"/>
      <c r="Q3" s="50"/>
      <c r="R3" s="51" t="s">
        <v>30</v>
      </c>
      <c r="T3" s="269"/>
      <c r="U3" s="269"/>
      <c r="V3" s="269"/>
      <c r="W3" s="269"/>
      <c r="X3" s="269"/>
      <c r="Y3" s="349" t="str">
        <f>IF(K4="OB","A",IF(K4="IX","W",IF(K4="","",K4)))</f>
        <v/>
      </c>
      <c r="Z3" s="349"/>
      <c r="AA3" s="349" t="s">
        <v>65</v>
      </c>
      <c r="AB3" s="340">
        <v>280</v>
      </c>
      <c r="AC3" s="340">
        <v>230</v>
      </c>
      <c r="AD3" s="340">
        <v>180</v>
      </c>
      <c r="AE3" s="340">
        <v>140</v>
      </c>
      <c r="AF3" s="340">
        <v>80</v>
      </c>
      <c r="AG3" s="340">
        <v>0</v>
      </c>
      <c r="AH3" s="340">
        <v>0</v>
      </c>
      <c r="AI3" s="327"/>
      <c r="AJ3" s="327"/>
      <c r="AK3" s="327"/>
      <c r="AL3" s="269"/>
      <c r="AM3" s="269"/>
      <c r="AN3" s="269"/>
      <c r="AO3" s="269"/>
      <c r="AP3" s="269"/>
      <c r="AQ3" s="269"/>
      <c r="AR3" s="269"/>
      <c r="AS3" s="269"/>
    </row>
    <row r="4" spans="1:45" s="28" customFormat="1" ht="11.25" customHeight="1" thickBot="1" x14ac:dyDescent="0.3">
      <c r="A4" s="445" t="str">
        <f>Altalanos!$A$10</f>
        <v>2025.05.26-06-01.</v>
      </c>
      <c r="B4" s="445"/>
      <c r="C4" s="445"/>
      <c r="D4" s="234"/>
      <c r="E4" s="235"/>
      <c r="F4" s="235"/>
      <c r="G4" s="235" t="str">
        <f>Altalanos!$C$10</f>
        <v>Balatonboglár</v>
      </c>
      <c r="H4" s="236"/>
      <c r="I4" s="235"/>
      <c r="J4" s="237"/>
      <c r="K4" s="238"/>
      <c r="L4" s="237"/>
      <c r="M4" s="239"/>
      <c r="N4" s="237"/>
      <c r="O4" s="235"/>
      <c r="P4" s="237"/>
      <c r="Q4" s="235"/>
      <c r="R4" s="240" t="str">
        <f>Altalanos!$E$10</f>
        <v>Rákóczi Andrea</v>
      </c>
      <c r="T4" s="270"/>
      <c r="U4" s="270"/>
      <c r="V4" s="270"/>
      <c r="W4" s="270"/>
      <c r="X4" s="270"/>
      <c r="Y4" s="349"/>
      <c r="Z4" s="349"/>
      <c r="AA4" s="349" t="s">
        <v>88</v>
      </c>
      <c r="AB4" s="340">
        <v>250</v>
      </c>
      <c r="AC4" s="340">
        <v>200</v>
      </c>
      <c r="AD4" s="340">
        <v>150</v>
      </c>
      <c r="AE4" s="340">
        <v>120</v>
      </c>
      <c r="AF4" s="340">
        <v>90</v>
      </c>
      <c r="AG4" s="340">
        <v>60</v>
      </c>
      <c r="AH4" s="340">
        <v>25</v>
      </c>
      <c r="AI4" s="327"/>
      <c r="AJ4" s="327"/>
      <c r="AK4" s="327"/>
      <c r="AL4" s="270"/>
      <c r="AM4" s="270"/>
      <c r="AN4" s="270"/>
      <c r="AO4" s="270"/>
      <c r="AP4" s="270"/>
      <c r="AQ4" s="270"/>
      <c r="AR4" s="270"/>
      <c r="AS4" s="270"/>
    </row>
    <row r="5" spans="1:45" s="19" customFormat="1" x14ac:dyDescent="0.25">
      <c r="A5" s="120"/>
      <c r="B5" s="121" t="s">
        <v>3</v>
      </c>
      <c r="C5" s="212" t="s">
        <v>43</v>
      </c>
      <c r="D5" s="121" t="s">
        <v>42</v>
      </c>
      <c r="E5" s="121" t="s">
        <v>40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41</v>
      </c>
      <c r="L5" s="123"/>
      <c r="M5" s="121" t="s">
        <v>58</v>
      </c>
      <c r="N5" s="123"/>
      <c r="O5" s="121" t="s">
        <v>57</v>
      </c>
      <c r="P5" s="123"/>
      <c r="Q5" s="121"/>
      <c r="R5" s="124"/>
      <c r="T5" s="269"/>
      <c r="U5" s="269"/>
      <c r="V5" s="269"/>
      <c r="W5" s="269"/>
      <c r="X5" s="269"/>
      <c r="Y5" s="349">
        <f>IF(OR(Altalanos!$A$8="F1",Altalanos!$A$8="F2",Altalanos!$A$8="N1",Altalanos!$A$8="N2"),1,2)</f>
        <v>2</v>
      </c>
      <c r="Z5" s="349"/>
      <c r="AA5" s="349" t="s">
        <v>89</v>
      </c>
      <c r="AB5" s="340">
        <v>200</v>
      </c>
      <c r="AC5" s="340">
        <v>150</v>
      </c>
      <c r="AD5" s="340">
        <v>120</v>
      </c>
      <c r="AE5" s="340">
        <v>90</v>
      </c>
      <c r="AF5" s="340">
        <v>60</v>
      </c>
      <c r="AG5" s="340">
        <v>40</v>
      </c>
      <c r="AH5" s="340">
        <v>15</v>
      </c>
      <c r="AI5" s="327"/>
      <c r="AJ5" s="327"/>
      <c r="AK5" s="327"/>
      <c r="AL5" s="269"/>
      <c r="AM5" s="269"/>
      <c r="AN5" s="269"/>
      <c r="AO5" s="269"/>
      <c r="AP5" s="269"/>
      <c r="AQ5" s="269"/>
      <c r="AR5" s="269"/>
      <c r="AS5" s="269"/>
    </row>
    <row r="6" spans="1:45" s="19" customFormat="1" ht="11.1" customHeight="1" thickBot="1" x14ac:dyDescent="0.3">
      <c r="A6" s="353"/>
      <c r="B6" s="354"/>
      <c r="C6" s="354"/>
      <c r="D6" s="354"/>
      <c r="E6" s="354"/>
      <c r="F6" s="353" t="str">
        <f>IF(Y3="","",CONCATENATE(VLOOKUP(Y3,AB1:AH1,4)," pont"))</f>
        <v/>
      </c>
      <c r="G6" s="355"/>
      <c r="H6" s="5"/>
      <c r="I6" s="355"/>
      <c r="J6" s="356"/>
      <c r="K6" s="354" t="str">
        <f>IF(Y3="","",CONCATENATE(VLOOKUP(Y3,AB1:AH1,3)," pont"))</f>
        <v/>
      </c>
      <c r="L6" s="356"/>
      <c r="M6" s="354" t="str">
        <f>IF(Y3="","",CONCATENATE(VLOOKUP(Y3,AB1:AH1,2)," pont"))</f>
        <v/>
      </c>
      <c r="N6" s="356"/>
      <c r="O6" s="354" t="str">
        <f>IF(Y3="","",CONCATENATE(VLOOKUP(Y3,AB1:AH1,1)," pont"))</f>
        <v/>
      </c>
      <c r="P6" s="356"/>
      <c r="Q6" s="354"/>
      <c r="R6" s="357"/>
      <c r="T6" s="269"/>
      <c r="U6" s="269"/>
      <c r="V6" s="269"/>
      <c r="W6" s="269"/>
      <c r="X6" s="269"/>
      <c r="Y6" s="349"/>
      <c r="Z6" s="349"/>
      <c r="AA6" s="349" t="s">
        <v>90</v>
      </c>
      <c r="AB6" s="340">
        <v>150</v>
      </c>
      <c r="AC6" s="340">
        <v>120</v>
      </c>
      <c r="AD6" s="340">
        <v>90</v>
      </c>
      <c r="AE6" s="340">
        <v>60</v>
      </c>
      <c r="AF6" s="340">
        <v>40</v>
      </c>
      <c r="AG6" s="340">
        <v>25</v>
      </c>
      <c r="AH6" s="340">
        <v>10</v>
      </c>
      <c r="AI6" s="327"/>
      <c r="AJ6" s="327"/>
      <c r="AK6" s="327"/>
      <c r="AL6" s="269"/>
      <c r="AM6" s="269"/>
      <c r="AN6" s="269"/>
      <c r="AO6" s="269"/>
      <c r="AP6" s="269"/>
      <c r="AQ6" s="269"/>
      <c r="AR6" s="269"/>
      <c r="AS6" s="269"/>
    </row>
    <row r="7" spans="1:45" s="34" customFormat="1" ht="12.9" customHeight="1" x14ac:dyDescent="0.25">
      <c r="A7" s="125">
        <v>1</v>
      </c>
      <c r="B7" s="241" t="str">
        <f>IF($E7="","",VLOOKUP($E7,'Fiú 1 kcs. B ELO'!$A$7:$O$22,14))</f>
        <v/>
      </c>
      <c r="C7" s="242" t="str">
        <f>IF($E7="","",VLOOKUP($E7,'Fiú 1 kcs. B ELO'!$A$7:$O$22,15))</f>
        <v/>
      </c>
      <c r="D7" s="242" t="str">
        <f>IF($E7="","",VLOOKUP($E7,'Fiú 1 kcs. B ELO'!$A$7:$O$22,5))</f>
        <v/>
      </c>
      <c r="E7" s="243"/>
      <c r="F7" s="244" t="s">
        <v>292</v>
      </c>
      <c r="G7" s="244" t="s">
        <v>246</v>
      </c>
      <c r="H7" s="244"/>
      <c r="I7" s="244" t="s">
        <v>344</v>
      </c>
      <c r="J7" s="245"/>
      <c r="K7" s="246"/>
      <c r="L7" s="246"/>
      <c r="M7" s="246"/>
      <c r="N7" s="246"/>
      <c r="O7" s="126"/>
      <c r="P7" s="127"/>
      <c r="Q7" s="128"/>
      <c r="R7" s="129"/>
      <c r="S7" s="130"/>
      <c r="T7" s="130"/>
      <c r="U7" s="271" t="str">
        <f>Birók!P21</f>
        <v>Bíró</v>
      </c>
      <c r="V7" s="130"/>
      <c r="W7" s="130"/>
      <c r="X7" s="130"/>
      <c r="Y7" s="349"/>
      <c r="Z7" s="349"/>
      <c r="AA7" s="349" t="s">
        <v>91</v>
      </c>
      <c r="AB7" s="340">
        <v>120</v>
      </c>
      <c r="AC7" s="340">
        <v>90</v>
      </c>
      <c r="AD7" s="340">
        <v>60</v>
      </c>
      <c r="AE7" s="340">
        <v>40</v>
      </c>
      <c r="AF7" s="340">
        <v>25</v>
      </c>
      <c r="AG7" s="340">
        <v>10</v>
      </c>
      <c r="AH7" s="340">
        <v>5</v>
      </c>
      <c r="AI7" s="327"/>
      <c r="AJ7" s="327"/>
      <c r="AK7" s="327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7"/>
      <c r="C8" s="248"/>
      <c r="D8" s="248"/>
      <c r="E8" s="161"/>
      <c r="F8" s="249"/>
      <c r="G8" s="249"/>
      <c r="H8" s="250"/>
      <c r="I8" s="391" t="s">
        <v>0</v>
      </c>
      <c r="J8" s="132"/>
      <c r="K8" s="251" t="s">
        <v>245</v>
      </c>
      <c r="L8" s="251"/>
      <c r="M8" s="246"/>
      <c r="N8" s="246"/>
      <c r="O8" s="126"/>
      <c r="P8" s="127"/>
      <c r="Q8" s="128"/>
      <c r="R8" s="129"/>
      <c r="S8" s="130"/>
      <c r="T8" s="130"/>
      <c r="U8" s="272" t="str">
        <f>Birók!P22</f>
        <v xml:space="preserve"> </v>
      </c>
      <c r="V8" s="130"/>
      <c r="W8" s="130"/>
      <c r="X8" s="130"/>
      <c r="Y8" s="349"/>
      <c r="Z8" s="349"/>
      <c r="AA8" s="349" t="s">
        <v>92</v>
      </c>
      <c r="AB8" s="340">
        <v>90</v>
      </c>
      <c r="AC8" s="340">
        <v>60</v>
      </c>
      <c r="AD8" s="340">
        <v>40</v>
      </c>
      <c r="AE8" s="340">
        <v>25</v>
      </c>
      <c r="AF8" s="340">
        <v>10</v>
      </c>
      <c r="AG8" s="340">
        <v>5</v>
      </c>
      <c r="AH8" s="340">
        <v>2</v>
      </c>
      <c r="AI8" s="327"/>
      <c r="AJ8" s="327"/>
      <c r="AK8" s="327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41" t="str">
        <f>IF($E9="","",VLOOKUP($E9,'Fiú 1 kcs. B ELO'!$A$7:$O$22,14))</f>
        <v/>
      </c>
      <c r="C9" s="242" t="str">
        <f>IF($E9="","",VLOOKUP($E9,'Fiú 1 kcs. B ELO'!$A$7:$O$22,15))</f>
        <v/>
      </c>
      <c r="D9" s="242" t="str">
        <f>IF($E9="","",VLOOKUP($E9,'Fiú 1 kcs. B ELO'!$A$7:$O$22,5))</f>
        <v/>
      </c>
      <c r="E9" s="382"/>
      <c r="F9" s="433" t="s">
        <v>340</v>
      </c>
      <c r="G9" s="293" t="str">
        <f>IF($E9="","",VLOOKUP($E9,'Fiú 1 kcs. B ELO'!$A$7:$O$22,3))</f>
        <v/>
      </c>
      <c r="H9" s="293"/>
      <c r="I9" s="293" t="str">
        <f>IF($E9="","",VLOOKUP($E9,'Fiú 1 kcs. B ELO'!$A$7:$O$22,4))</f>
        <v/>
      </c>
      <c r="J9" s="253"/>
      <c r="K9" s="246"/>
      <c r="L9" s="254"/>
      <c r="M9" s="246"/>
      <c r="N9" s="246"/>
      <c r="O9" s="126"/>
      <c r="P9" s="127"/>
      <c r="Q9" s="128"/>
      <c r="R9" s="129"/>
      <c r="S9" s="130"/>
      <c r="T9" s="130"/>
      <c r="U9" s="272" t="str">
        <f>Birók!P23</f>
        <v xml:space="preserve"> </v>
      </c>
      <c r="V9" s="130"/>
      <c r="W9" s="130"/>
      <c r="X9" s="130"/>
      <c r="Y9" s="349"/>
      <c r="Z9" s="349"/>
      <c r="AA9" s="349" t="s">
        <v>93</v>
      </c>
      <c r="AB9" s="340">
        <v>60</v>
      </c>
      <c r="AC9" s="340">
        <v>40</v>
      </c>
      <c r="AD9" s="340">
        <v>25</v>
      </c>
      <c r="AE9" s="340">
        <v>10</v>
      </c>
      <c r="AF9" s="340">
        <v>5</v>
      </c>
      <c r="AG9" s="340">
        <v>2</v>
      </c>
      <c r="AH9" s="340">
        <v>1</v>
      </c>
      <c r="AI9" s="327"/>
      <c r="AJ9" s="327"/>
      <c r="AK9" s="327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7"/>
      <c r="C10" s="248"/>
      <c r="D10" s="248"/>
      <c r="E10" s="383"/>
      <c r="F10" s="384"/>
      <c r="G10" s="384"/>
      <c r="H10" s="385"/>
      <c r="I10" s="384"/>
      <c r="J10" s="255"/>
      <c r="K10" s="391" t="s">
        <v>0</v>
      </c>
      <c r="L10" s="133" t="s">
        <v>361</v>
      </c>
      <c r="M10" s="251" t="str">
        <f>UPPER(IF(OR(L10="a",L10="as"),K8,IF(OR(L10="b",L10="bs"),K12,)))</f>
        <v>VAUGHAN</v>
      </c>
      <c r="N10" s="256"/>
      <c r="O10" s="257"/>
      <c r="P10" s="257"/>
      <c r="Q10" s="128"/>
      <c r="R10" s="129"/>
      <c r="S10" s="130"/>
      <c r="T10" s="130"/>
      <c r="U10" s="272" t="str">
        <f>Birók!P24</f>
        <v xml:space="preserve"> </v>
      </c>
      <c r="V10" s="130"/>
      <c r="W10" s="130"/>
      <c r="X10" s="130"/>
      <c r="Y10" s="349"/>
      <c r="Z10" s="349"/>
      <c r="AA10" s="349" t="s">
        <v>94</v>
      </c>
      <c r="AB10" s="340">
        <v>40</v>
      </c>
      <c r="AC10" s="340">
        <v>25</v>
      </c>
      <c r="AD10" s="340">
        <v>15</v>
      </c>
      <c r="AE10" s="340">
        <v>7</v>
      </c>
      <c r="AF10" s="340">
        <v>4</v>
      </c>
      <c r="AG10" s="340">
        <v>1</v>
      </c>
      <c r="AH10" s="340">
        <v>0</v>
      </c>
      <c r="AI10" s="327"/>
      <c r="AJ10" s="327"/>
      <c r="AK10" s="327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41" t="str">
        <f>IF($E11="","",VLOOKUP($E11,'Fiú 1 kcs. B ELO'!$A$7:$O$22,14))</f>
        <v/>
      </c>
      <c r="C11" s="242" t="str">
        <f>IF($E11="","",VLOOKUP($E11,'Fiú 1 kcs. B ELO'!$A$7:$O$22,15))</f>
        <v/>
      </c>
      <c r="D11" s="242" t="str">
        <f>IF($E11="","",VLOOKUP($E11,'Fiú 1 kcs. B ELO'!$A$7:$O$22,5))</f>
        <v/>
      </c>
      <c r="E11" s="382"/>
      <c r="F11" s="433" t="s">
        <v>362</v>
      </c>
      <c r="G11" s="433" t="s">
        <v>353</v>
      </c>
      <c r="H11" s="293"/>
      <c r="I11" s="433" t="s">
        <v>354</v>
      </c>
      <c r="J11" s="245"/>
      <c r="K11" s="246"/>
      <c r="L11" s="258"/>
      <c r="M11" s="246" t="s">
        <v>360</v>
      </c>
      <c r="N11" s="259"/>
      <c r="O11" s="257"/>
      <c r="P11" s="257"/>
      <c r="Q11" s="128"/>
      <c r="R11" s="129"/>
      <c r="S11" s="130"/>
      <c r="T11" s="130"/>
      <c r="U11" s="272" t="str">
        <f>Birók!P25</f>
        <v xml:space="preserve"> </v>
      </c>
      <c r="V11" s="130"/>
      <c r="W11" s="130"/>
      <c r="X11" s="130"/>
      <c r="Y11" s="349"/>
      <c r="Z11" s="349"/>
      <c r="AA11" s="349" t="s">
        <v>95</v>
      </c>
      <c r="AB11" s="340">
        <v>25</v>
      </c>
      <c r="AC11" s="340">
        <v>15</v>
      </c>
      <c r="AD11" s="340">
        <v>10</v>
      </c>
      <c r="AE11" s="340">
        <v>6</v>
      </c>
      <c r="AF11" s="340">
        <v>3</v>
      </c>
      <c r="AG11" s="340">
        <v>1</v>
      </c>
      <c r="AH11" s="340">
        <v>0</v>
      </c>
      <c r="AI11" s="327"/>
      <c r="AJ11" s="327"/>
      <c r="AK11" s="327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7"/>
      <c r="C12" s="248"/>
      <c r="D12" s="248"/>
      <c r="E12" s="383"/>
      <c r="F12" s="384"/>
      <c r="G12" s="384"/>
      <c r="H12" s="385"/>
      <c r="I12" s="391" t="s">
        <v>0</v>
      </c>
      <c r="J12" s="132" t="s">
        <v>341</v>
      </c>
      <c r="K12" s="251" t="s">
        <v>363</v>
      </c>
      <c r="L12" s="260"/>
      <c r="M12" s="246"/>
      <c r="N12" s="259"/>
      <c r="O12" s="257"/>
      <c r="P12" s="257"/>
      <c r="Q12" s="128"/>
      <c r="R12" s="129"/>
      <c r="S12" s="130"/>
      <c r="T12" s="130"/>
      <c r="U12" s="272" t="str">
        <f>Birók!P26</f>
        <v xml:space="preserve"> </v>
      </c>
      <c r="V12" s="130"/>
      <c r="W12" s="130"/>
      <c r="X12" s="130"/>
      <c r="Y12" s="349"/>
      <c r="Z12" s="349"/>
      <c r="AA12" s="349" t="s">
        <v>100</v>
      </c>
      <c r="AB12" s="340">
        <v>15</v>
      </c>
      <c r="AC12" s="340">
        <v>10</v>
      </c>
      <c r="AD12" s="340">
        <v>6</v>
      </c>
      <c r="AE12" s="340">
        <v>3</v>
      </c>
      <c r="AF12" s="340">
        <v>1</v>
      </c>
      <c r="AG12" s="340">
        <v>0</v>
      </c>
      <c r="AH12" s="340">
        <v>0</v>
      </c>
      <c r="AI12" s="327"/>
      <c r="AJ12" s="327"/>
      <c r="AK12" s="327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41" t="str">
        <f>IF($E13="","",VLOOKUP($E13,'Fiú 1 kcs. B ELO'!$A$7:$O$22,14))</f>
        <v/>
      </c>
      <c r="C13" s="242" t="str">
        <f>IF($E13="","",VLOOKUP($E13,'Fiú 1 kcs. B ELO'!$A$7:$O$22,15))</f>
        <v/>
      </c>
      <c r="D13" s="242" t="str">
        <f>IF($E13="","",VLOOKUP($E13,'Fiú 1 kcs. B ELO'!$A$7:$O$22,5))</f>
        <v/>
      </c>
      <c r="E13" s="382"/>
      <c r="F13" s="433" t="s">
        <v>349</v>
      </c>
      <c r="G13" s="433" t="s">
        <v>224</v>
      </c>
      <c r="H13" s="293"/>
      <c r="I13" s="433" t="s">
        <v>350</v>
      </c>
      <c r="J13" s="261"/>
      <c r="K13" s="246" t="s">
        <v>359</v>
      </c>
      <c r="L13" s="246"/>
      <c r="M13" s="246"/>
      <c r="N13" s="259"/>
      <c r="O13" s="257"/>
      <c r="P13" s="257"/>
      <c r="Q13" s="128"/>
      <c r="R13" s="129"/>
      <c r="S13" s="130"/>
      <c r="T13" s="130"/>
      <c r="U13" s="272" t="str">
        <f>Birók!P27</f>
        <v xml:space="preserve"> </v>
      </c>
      <c r="V13" s="130"/>
      <c r="W13" s="130"/>
      <c r="X13" s="130"/>
      <c r="Y13" s="349"/>
      <c r="Z13" s="349"/>
      <c r="AA13" s="349" t="s">
        <v>96</v>
      </c>
      <c r="AB13" s="340">
        <v>10</v>
      </c>
      <c r="AC13" s="340">
        <v>6</v>
      </c>
      <c r="AD13" s="340">
        <v>3</v>
      </c>
      <c r="AE13" s="340">
        <v>1</v>
      </c>
      <c r="AF13" s="340">
        <v>0</v>
      </c>
      <c r="AG13" s="340">
        <v>0</v>
      </c>
      <c r="AH13" s="340">
        <v>0</v>
      </c>
      <c r="AI13" s="327"/>
      <c r="AJ13" s="327"/>
      <c r="AK13" s="327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7"/>
      <c r="C14" s="248"/>
      <c r="D14" s="248"/>
      <c r="E14" s="383"/>
      <c r="F14" s="384"/>
      <c r="G14" s="384"/>
      <c r="H14" s="385"/>
      <c r="I14" s="384"/>
      <c r="J14" s="255"/>
      <c r="K14" s="246"/>
      <c r="L14" s="246"/>
      <c r="M14" s="391" t="s">
        <v>0</v>
      </c>
      <c r="N14" s="133" t="s">
        <v>361</v>
      </c>
      <c r="O14" s="251" t="str">
        <f>UPPER(IF(OR(N14="a",N14="as"),M10,IF(OR(N14="b",N14="bs"),M18,)))</f>
        <v>FAZAKAS-BAFFI</v>
      </c>
      <c r="P14" s="256"/>
      <c r="Q14" s="128"/>
      <c r="R14" s="129"/>
      <c r="S14" s="130"/>
      <c r="T14" s="130"/>
      <c r="U14" s="272" t="str">
        <f>Birók!P28</f>
        <v xml:space="preserve"> </v>
      </c>
      <c r="V14" s="130"/>
      <c r="W14" s="130"/>
      <c r="X14" s="130"/>
      <c r="Y14" s="349"/>
      <c r="Z14" s="349"/>
      <c r="AA14" s="349" t="s">
        <v>97</v>
      </c>
      <c r="AB14" s="340">
        <v>3</v>
      </c>
      <c r="AC14" s="340">
        <v>2</v>
      </c>
      <c r="AD14" s="340">
        <v>1</v>
      </c>
      <c r="AE14" s="340">
        <v>0</v>
      </c>
      <c r="AF14" s="340">
        <v>0</v>
      </c>
      <c r="AG14" s="340">
        <v>0</v>
      </c>
      <c r="AH14" s="340">
        <v>0</v>
      </c>
      <c r="AI14" s="327"/>
      <c r="AJ14" s="327"/>
      <c r="AK14" s="327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92">
        <v>5</v>
      </c>
      <c r="B15" s="241" t="str">
        <f>IF($E15="","",VLOOKUP($E15,'Fiú 1 kcs. B ELO'!$A$7:$O$22,14))</f>
        <v/>
      </c>
      <c r="C15" s="242" t="str">
        <f>IF($E15="","",VLOOKUP($E15,'Fiú 1 kcs. B ELO'!$A$7:$O$22,15))</f>
        <v/>
      </c>
      <c r="D15" s="242" t="str">
        <f>IF($E15="","",VLOOKUP($E15,'Fiú 1 kcs. B ELO'!$A$7:$O$22,5))</f>
        <v/>
      </c>
      <c r="E15" s="382"/>
      <c r="F15" s="433" t="s">
        <v>351</v>
      </c>
      <c r="G15" s="433" t="s">
        <v>215</v>
      </c>
      <c r="H15" s="293"/>
      <c r="I15" s="433" t="s">
        <v>352</v>
      </c>
      <c r="J15" s="263"/>
      <c r="K15" s="246"/>
      <c r="L15" s="246"/>
      <c r="M15" s="246"/>
      <c r="N15" s="259"/>
      <c r="O15" s="246" t="s">
        <v>358</v>
      </c>
      <c r="P15" s="257"/>
      <c r="Q15" s="128"/>
      <c r="R15" s="129"/>
      <c r="S15" s="130"/>
      <c r="T15" s="130"/>
      <c r="U15" s="272" t="str">
        <f>Birók!P29</f>
        <v xml:space="preserve"> </v>
      </c>
      <c r="V15" s="130"/>
      <c r="W15" s="130"/>
      <c r="X15" s="130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27"/>
      <c r="AJ15" s="327"/>
      <c r="AK15" s="327"/>
      <c r="AL15" s="130"/>
      <c r="AM15" s="130"/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7"/>
      <c r="C16" s="248"/>
      <c r="D16" s="248"/>
      <c r="E16" s="383"/>
      <c r="F16" s="384"/>
      <c r="G16" s="384"/>
      <c r="H16" s="385"/>
      <c r="I16" s="391" t="s">
        <v>0</v>
      </c>
      <c r="J16" s="132" t="s">
        <v>341</v>
      </c>
      <c r="K16" s="251" t="str">
        <f>UPPER(IF(OR(J16="a",J16="as"),F15,IF(OR(J16="b",J16="bs"),F17,)))</f>
        <v>FAZAKAS-BAFFI</v>
      </c>
      <c r="L16" s="251"/>
      <c r="M16" s="246"/>
      <c r="N16" s="259"/>
      <c r="O16" s="391"/>
      <c r="P16" s="257"/>
      <c r="Q16" s="128"/>
      <c r="R16" s="129"/>
      <c r="S16" s="130"/>
      <c r="T16" s="130"/>
      <c r="U16" s="273" t="str">
        <f>Birók!P30</f>
        <v>Egyik sem</v>
      </c>
      <c r="V16" s="130"/>
      <c r="W16" s="130"/>
      <c r="X16" s="130"/>
      <c r="Y16" s="349"/>
      <c r="Z16" s="349"/>
      <c r="AA16" s="349" t="s">
        <v>64</v>
      </c>
      <c r="AB16" s="340">
        <v>150</v>
      </c>
      <c r="AC16" s="340">
        <v>120</v>
      </c>
      <c r="AD16" s="340">
        <v>90</v>
      </c>
      <c r="AE16" s="340">
        <v>60</v>
      </c>
      <c r="AF16" s="340">
        <v>40</v>
      </c>
      <c r="AG16" s="340">
        <v>25</v>
      </c>
      <c r="AH16" s="340">
        <v>15</v>
      </c>
      <c r="AI16" s="327"/>
      <c r="AJ16" s="327"/>
      <c r="AK16" s="327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41" t="str">
        <f>IF($E17="","",VLOOKUP($E17,'Fiú 1 kcs. B ELO'!$A$7:$O$22,14))</f>
        <v/>
      </c>
      <c r="C17" s="242" t="str">
        <f>IF($E17="","",VLOOKUP($E17,'Fiú 1 kcs. B ELO'!$A$7:$O$22,15))</f>
        <v/>
      </c>
      <c r="D17" s="242" t="str">
        <f>IF($E17="","",VLOOKUP($E17,'Fiú 1 kcs. B ELO'!$A$7:$O$22,5))</f>
        <v/>
      </c>
      <c r="E17" s="382"/>
      <c r="F17" s="433" t="s">
        <v>345</v>
      </c>
      <c r="G17" s="433" t="s">
        <v>219</v>
      </c>
      <c r="H17" s="293"/>
      <c r="I17" s="433" t="s">
        <v>339</v>
      </c>
      <c r="J17" s="253"/>
      <c r="K17" s="246" t="s">
        <v>360</v>
      </c>
      <c r="L17" s="254"/>
      <c r="M17" s="246"/>
      <c r="N17" s="259"/>
      <c r="O17" s="257"/>
      <c r="P17" s="257"/>
      <c r="Q17" s="128"/>
      <c r="R17" s="129"/>
      <c r="S17" s="130"/>
      <c r="T17" s="130"/>
      <c r="U17" s="130"/>
      <c r="V17" s="130"/>
      <c r="W17" s="130"/>
      <c r="X17" s="130"/>
      <c r="Y17" s="349"/>
      <c r="Z17" s="349"/>
      <c r="AA17" s="349" t="s">
        <v>88</v>
      </c>
      <c r="AB17" s="340">
        <v>120</v>
      </c>
      <c r="AC17" s="340">
        <v>90</v>
      </c>
      <c r="AD17" s="340">
        <v>60</v>
      </c>
      <c r="AE17" s="340">
        <v>40</v>
      </c>
      <c r="AF17" s="340">
        <v>25</v>
      </c>
      <c r="AG17" s="340">
        <v>15</v>
      </c>
      <c r="AH17" s="340">
        <v>8</v>
      </c>
      <c r="AI17" s="327"/>
      <c r="AJ17" s="327"/>
      <c r="AK17" s="327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7"/>
      <c r="C18" s="248"/>
      <c r="D18" s="248"/>
      <c r="E18" s="383"/>
      <c r="F18" s="384"/>
      <c r="G18" s="384"/>
      <c r="H18" s="385"/>
      <c r="I18" s="384"/>
      <c r="J18" s="255"/>
      <c r="K18" s="391" t="s">
        <v>0</v>
      </c>
      <c r="L18" s="133" t="s">
        <v>341</v>
      </c>
      <c r="M18" s="251" t="str">
        <f>UPPER(IF(OR(L18="a",L18="as"),K16,IF(OR(L18="b",L18="bs"),K20,)))</f>
        <v>FAZAKAS-BAFFI</v>
      </c>
      <c r="N18" s="264"/>
      <c r="O18" s="257"/>
      <c r="P18" s="257"/>
      <c r="Q18" s="128"/>
      <c r="R18" s="129"/>
      <c r="S18" s="130"/>
      <c r="T18" s="130"/>
      <c r="U18" s="130"/>
      <c r="V18" s="130"/>
      <c r="W18" s="130"/>
      <c r="X18" s="130"/>
      <c r="Y18" s="349"/>
      <c r="Z18" s="349"/>
      <c r="AA18" s="349" t="s">
        <v>89</v>
      </c>
      <c r="AB18" s="340">
        <v>90</v>
      </c>
      <c r="AC18" s="340">
        <v>60</v>
      </c>
      <c r="AD18" s="340">
        <v>40</v>
      </c>
      <c r="AE18" s="340">
        <v>25</v>
      </c>
      <c r="AF18" s="340">
        <v>15</v>
      </c>
      <c r="AG18" s="340">
        <v>8</v>
      </c>
      <c r="AH18" s="340">
        <v>4</v>
      </c>
      <c r="AI18" s="327"/>
      <c r="AJ18" s="327"/>
      <c r="AK18" s="327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41" t="str">
        <f>IF($E19="","",VLOOKUP($E19,'Fiú 1 kcs. B ELO'!$A$7:$O$22,14))</f>
        <v/>
      </c>
      <c r="C19" s="242" t="str">
        <f>IF($E19="","",VLOOKUP($E19,'Fiú 1 kcs. B ELO'!$A$7:$O$22,15))</f>
        <v/>
      </c>
      <c r="D19" s="242" t="str">
        <f>IF($E19="","",VLOOKUP($E19,'Fiú 1 kcs. B ELO'!$A$7:$O$22,5))</f>
        <v/>
      </c>
      <c r="E19" s="382"/>
      <c r="F19" s="433" t="s">
        <v>348</v>
      </c>
      <c r="G19" s="433" t="s">
        <v>199</v>
      </c>
      <c r="H19" s="293"/>
      <c r="I19" s="433" t="s">
        <v>200</v>
      </c>
      <c r="J19" s="245"/>
      <c r="K19" s="246"/>
      <c r="L19" s="258"/>
      <c r="M19" s="246" t="s">
        <v>359</v>
      </c>
      <c r="N19" s="257"/>
      <c r="O19" s="257"/>
      <c r="P19" s="257"/>
      <c r="Q19" s="128"/>
      <c r="R19" s="129"/>
      <c r="S19" s="130"/>
      <c r="T19" s="130"/>
      <c r="U19" s="130"/>
      <c r="V19" s="130"/>
      <c r="W19" s="130"/>
      <c r="X19" s="130"/>
      <c r="Y19" s="349"/>
      <c r="Z19" s="349"/>
      <c r="AA19" s="349" t="s">
        <v>90</v>
      </c>
      <c r="AB19" s="340">
        <v>60</v>
      </c>
      <c r="AC19" s="340">
        <v>40</v>
      </c>
      <c r="AD19" s="340">
        <v>25</v>
      </c>
      <c r="AE19" s="340">
        <v>15</v>
      </c>
      <c r="AF19" s="340">
        <v>8</v>
      </c>
      <c r="AG19" s="340">
        <v>4</v>
      </c>
      <c r="AH19" s="340">
        <v>2</v>
      </c>
      <c r="AI19" s="327"/>
      <c r="AJ19" s="327"/>
      <c r="AK19" s="327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7"/>
      <c r="C20" s="248"/>
      <c r="D20" s="248"/>
      <c r="E20" s="161"/>
      <c r="F20" s="249"/>
      <c r="G20" s="249"/>
      <c r="H20" s="250"/>
      <c r="I20" s="391" t="s">
        <v>0</v>
      </c>
      <c r="J20" s="132"/>
      <c r="K20" s="251" t="s">
        <v>357</v>
      </c>
      <c r="L20" s="260"/>
      <c r="M20" s="246"/>
      <c r="N20" s="257"/>
      <c r="O20" s="257"/>
      <c r="P20" s="257"/>
      <c r="Q20" s="128"/>
      <c r="R20" s="129"/>
      <c r="S20" s="130"/>
      <c r="T20" s="130"/>
      <c r="U20" s="130"/>
      <c r="V20" s="130"/>
      <c r="W20" s="130"/>
      <c r="X20" s="130"/>
      <c r="Y20" s="349"/>
      <c r="Z20" s="349"/>
      <c r="AA20" s="349" t="s">
        <v>91</v>
      </c>
      <c r="AB20" s="340">
        <v>40</v>
      </c>
      <c r="AC20" s="340">
        <v>25</v>
      </c>
      <c r="AD20" s="340">
        <v>15</v>
      </c>
      <c r="AE20" s="340">
        <v>8</v>
      </c>
      <c r="AF20" s="340">
        <v>4</v>
      </c>
      <c r="AG20" s="340">
        <v>2</v>
      </c>
      <c r="AH20" s="340">
        <v>1</v>
      </c>
      <c r="AI20" s="327"/>
      <c r="AJ20" s="327"/>
      <c r="AK20" s="327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95">
        <v>8</v>
      </c>
      <c r="B21" s="241" t="str">
        <f>IF($E21="","",VLOOKUP($E21,'Fiú 1 kcs. B ELO'!$A$7:$O$22,14))</f>
        <v/>
      </c>
      <c r="C21" s="242" t="str">
        <f>IF($E21="","",VLOOKUP($E21,'Fiú 1 kcs. B ELO'!$A$7:$O$22,15))</f>
        <v/>
      </c>
      <c r="D21" s="242" t="str">
        <f>IF($E21="","",VLOOKUP($E21,'Fiú 1 kcs. B ELO'!$A$7:$O$22,5))</f>
        <v/>
      </c>
      <c r="E21" s="243"/>
      <c r="F21" s="434" t="s">
        <v>346</v>
      </c>
      <c r="G21" s="434" t="s">
        <v>204</v>
      </c>
      <c r="H21" s="294"/>
      <c r="I21" s="434" t="s">
        <v>347</v>
      </c>
      <c r="J21" s="261"/>
      <c r="K21" s="246" t="s">
        <v>358</v>
      </c>
      <c r="L21" s="246"/>
      <c r="M21" s="246"/>
      <c r="N21" s="257"/>
      <c r="O21" s="257"/>
      <c r="P21" s="257"/>
      <c r="Q21" s="128"/>
      <c r="R21" s="129"/>
      <c r="S21" s="130"/>
      <c r="T21" s="130"/>
      <c r="U21" s="130"/>
      <c r="V21" s="130"/>
      <c r="W21" s="130"/>
      <c r="X21" s="130"/>
      <c r="Y21" s="349"/>
      <c r="Z21" s="349"/>
      <c r="AA21" s="349" t="s">
        <v>92</v>
      </c>
      <c r="AB21" s="340">
        <v>25</v>
      </c>
      <c r="AC21" s="340">
        <v>15</v>
      </c>
      <c r="AD21" s="340">
        <v>10</v>
      </c>
      <c r="AE21" s="340">
        <v>6</v>
      </c>
      <c r="AF21" s="340">
        <v>3</v>
      </c>
      <c r="AG21" s="340">
        <v>1</v>
      </c>
      <c r="AH21" s="340">
        <v>0</v>
      </c>
      <c r="AI21" s="327"/>
      <c r="AJ21" s="327"/>
      <c r="AK21" s="327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76"/>
      <c r="B22" s="126"/>
      <c r="C22" s="126"/>
      <c r="D22" s="126"/>
      <c r="E22" s="161"/>
      <c r="F22" s="126"/>
      <c r="G22" s="126"/>
      <c r="H22" s="126"/>
      <c r="I22" s="126"/>
      <c r="J22" s="161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49"/>
      <c r="Z22" s="349"/>
      <c r="AA22" s="349" t="s">
        <v>93</v>
      </c>
      <c r="AB22" s="340">
        <v>15</v>
      </c>
      <c r="AC22" s="340">
        <v>10</v>
      </c>
      <c r="AD22" s="340">
        <v>6</v>
      </c>
      <c r="AE22" s="340">
        <v>3</v>
      </c>
      <c r="AF22" s="340">
        <v>1</v>
      </c>
      <c r="AG22" s="340">
        <v>0</v>
      </c>
      <c r="AH22" s="340">
        <v>0</v>
      </c>
      <c r="AI22" s="327"/>
      <c r="AJ22" s="327"/>
      <c r="AK22" s="327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2"/>
      <c r="B23" s="161"/>
      <c r="C23" s="161"/>
      <c r="D23" s="161"/>
      <c r="E23" s="161"/>
      <c r="F23" s="126"/>
      <c r="G23" s="126"/>
      <c r="H23" s="130"/>
      <c r="I23" s="266"/>
      <c r="J23" s="161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49"/>
      <c r="Z23" s="349"/>
      <c r="AA23" s="349" t="s">
        <v>94</v>
      </c>
      <c r="AB23" s="340">
        <v>10</v>
      </c>
      <c r="AC23" s="340">
        <v>6</v>
      </c>
      <c r="AD23" s="340">
        <v>3</v>
      </c>
      <c r="AE23" s="340">
        <v>1</v>
      </c>
      <c r="AF23" s="340">
        <v>0</v>
      </c>
      <c r="AG23" s="340">
        <v>0</v>
      </c>
      <c r="AH23" s="340">
        <v>0</v>
      </c>
      <c r="AI23" s="327"/>
      <c r="AJ23" s="327"/>
      <c r="AK23" s="327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2"/>
      <c r="B24" s="126"/>
      <c r="C24" s="126"/>
      <c r="D24" s="126"/>
      <c r="E24" s="161"/>
      <c r="F24" s="126"/>
      <c r="G24" s="126"/>
      <c r="H24" s="126"/>
      <c r="I24" s="126"/>
      <c r="J24" s="161"/>
      <c r="K24" s="126"/>
      <c r="L24" s="267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49"/>
      <c r="Z24" s="349"/>
      <c r="AA24" s="349" t="s">
        <v>95</v>
      </c>
      <c r="AB24" s="340">
        <v>6</v>
      </c>
      <c r="AC24" s="340">
        <v>3</v>
      </c>
      <c r="AD24" s="340">
        <v>1</v>
      </c>
      <c r="AE24" s="340">
        <v>0</v>
      </c>
      <c r="AF24" s="340">
        <v>0</v>
      </c>
      <c r="AG24" s="340">
        <v>0</v>
      </c>
      <c r="AH24" s="340">
        <v>0</v>
      </c>
      <c r="AI24" s="327"/>
      <c r="AJ24" s="327"/>
      <c r="AK24" s="327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162"/>
      <c r="B25" s="161"/>
      <c r="C25" s="161"/>
      <c r="D25" s="161"/>
      <c r="E25" s="161"/>
      <c r="F25" s="126"/>
      <c r="G25" s="126"/>
      <c r="H25" s="130"/>
      <c r="I25" s="126"/>
      <c r="J25" s="161"/>
      <c r="K25" s="266"/>
      <c r="L25" s="161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49"/>
      <c r="Z25" s="349"/>
      <c r="AA25" s="349" t="s">
        <v>100</v>
      </c>
      <c r="AB25" s="340">
        <v>3</v>
      </c>
      <c r="AC25" s="340">
        <v>2</v>
      </c>
      <c r="AD25" s="340">
        <v>1</v>
      </c>
      <c r="AE25" s="340">
        <v>0</v>
      </c>
      <c r="AF25" s="340">
        <v>0</v>
      </c>
      <c r="AG25" s="340">
        <v>0</v>
      </c>
      <c r="AH25" s="340">
        <v>0</v>
      </c>
      <c r="AI25" s="327"/>
      <c r="AJ25" s="327"/>
      <c r="AK25" s="327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2"/>
      <c r="B26" s="126"/>
      <c r="C26" s="126"/>
      <c r="D26" s="126"/>
      <c r="E26" s="161"/>
      <c r="F26" s="126"/>
      <c r="G26" s="126"/>
      <c r="H26" s="126"/>
      <c r="I26" s="126"/>
      <c r="J26" s="161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7"/>
      <c r="AJ26" s="327"/>
      <c r="AK26" s="327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2"/>
      <c r="B27" s="161"/>
      <c r="C27" s="161"/>
      <c r="D27" s="161"/>
      <c r="E27" s="161"/>
      <c r="F27" s="126"/>
      <c r="G27" s="126"/>
      <c r="H27" s="130"/>
      <c r="I27" s="266"/>
      <c r="J27" s="161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7"/>
      <c r="AJ27" s="327"/>
      <c r="AK27" s="327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2"/>
      <c r="B28" s="126"/>
      <c r="C28" s="126"/>
      <c r="D28" s="126"/>
      <c r="E28" s="161"/>
      <c r="F28" s="126"/>
      <c r="G28" s="126"/>
      <c r="H28" s="126"/>
      <c r="I28" s="126"/>
      <c r="J28" s="161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64"/>
      <c r="AJ28" s="364"/>
      <c r="AK28" s="364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2"/>
      <c r="B29" s="161"/>
      <c r="C29" s="161"/>
      <c r="D29" s="161"/>
      <c r="E29" s="161"/>
      <c r="F29" s="126"/>
      <c r="G29" s="126"/>
      <c r="H29" s="130"/>
      <c r="I29" s="126"/>
      <c r="J29" s="161"/>
      <c r="K29" s="126"/>
      <c r="L29" s="126"/>
      <c r="M29" s="266"/>
      <c r="N29" s="161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64"/>
      <c r="AJ29" s="364"/>
      <c r="AK29" s="364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2"/>
      <c r="B30" s="126"/>
      <c r="C30" s="126"/>
      <c r="D30" s="126"/>
      <c r="E30" s="161"/>
      <c r="F30" s="126"/>
      <c r="G30" s="126"/>
      <c r="H30" s="126"/>
      <c r="I30" s="126"/>
      <c r="J30" s="161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64"/>
      <c r="AJ30" s="364"/>
      <c r="AK30" s="364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2"/>
      <c r="B31" s="161"/>
      <c r="C31" s="161"/>
      <c r="D31" s="161"/>
      <c r="E31" s="161"/>
      <c r="F31" s="126"/>
      <c r="G31" s="126"/>
      <c r="H31" s="130"/>
      <c r="I31" s="266"/>
      <c r="J31" s="161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64"/>
      <c r="AJ31" s="364"/>
      <c r="AK31" s="364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2"/>
      <c r="B32" s="126"/>
      <c r="C32" s="126"/>
      <c r="D32" s="126"/>
      <c r="E32" s="161"/>
      <c r="F32" s="126"/>
      <c r="G32" s="126"/>
      <c r="H32" s="126"/>
      <c r="I32" s="126"/>
      <c r="J32" s="161"/>
      <c r="K32" s="126"/>
      <c r="L32" s="267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64"/>
      <c r="AJ32" s="364"/>
      <c r="AK32" s="364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2"/>
      <c r="B33" s="161"/>
      <c r="C33" s="161"/>
      <c r="D33" s="161"/>
      <c r="E33" s="161"/>
      <c r="F33" s="126"/>
      <c r="G33" s="126"/>
      <c r="H33" s="130"/>
      <c r="I33" s="126"/>
      <c r="J33" s="161"/>
      <c r="K33" s="266"/>
      <c r="L33" s="161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64"/>
      <c r="AJ33" s="364"/>
      <c r="AK33" s="364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2"/>
      <c r="B34" s="126"/>
      <c r="C34" s="126"/>
      <c r="D34" s="126"/>
      <c r="E34" s="161"/>
      <c r="F34" s="126"/>
      <c r="G34" s="126"/>
      <c r="H34" s="126"/>
      <c r="I34" s="126"/>
      <c r="J34" s="161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64"/>
      <c r="AJ34" s="364"/>
      <c r="AK34" s="364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2"/>
      <c r="B35" s="161"/>
      <c r="C35" s="161"/>
      <c r="D35" s="161"/>
      <c r="E35" s="161"/>
      <c r="F35" s="126"/>
      <c r="G35" s="126"/>
      <c r="H35" s="130"/>
      <c r="I35" s="266"/>
      <c r="J35" s="161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64"/>
      <c r="AJ35" s="364"/>
      <c r="AK35" s="364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76"/>
      <c r="B36" s="126"/>
      <c r="C36" s="126"/>
      <c r="D36" s="126"/>
      <c r="E36" s="161"/>
      <c r="F36" s="126"/>
      <c r="G36" s="126"/>
      <c r="H36" s="126"/>
      <c r="I36" s="126"/>
      <c r="J36" s="161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64"/>
      <c r="AJ36" s="364"/>
      <c r="AK36" s="364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2"/>
      <c r="B37" s="161"/>
      <c r="C37" s="161"/>
      <c r="D37" s="161"/>
      <c r="E37" s="161"/>
      <c r="F37" s="262"/>
      <c r="G37" s="262"/>
      <c r="H37" s="265"/>
      <c r="I37" s="246"/>
      <c r="J37" s="255"/>
      <c r="K37" s="246"/>
      <c r="L37" s="246"/>
      <c r="M37" s="246"/>
      <c r="N37" s="257"/>
      <c r="O37" s="257"/>
      <c r="P37" s="257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64"/>
      <c r="AJ37" s="364"/>
      <c r="AK37" s="364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76"/>
      <c r="B38" s="126"/>
      <c r="C38" s="126"/>
      <c r="D38" s="126"/>
      <c r="E38" s="161"/>
      <c r="F38" s="126"/>
      <c r="G38" s="126"/>
      <c r="H38" s="126"/>
      <c r="I38" s="126"/>
      <c r="J38" s="161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64"/>
      <c r="AJ38" s="364"/>
      <c r="AK38" s="364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2"/>
      <c r="B39" s="161"/>
      <c r="C39" s="161"/>
      <c r="D39" s="161"/>
      <c r="E39" s="161"/>
      <c r="F39" s="126"/>
      <c r="G39" s="126"/>
      <c r="H39" s="130"/>
      <c r="I39" s="266"/>
      <c r="J39" s="161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64"/>
      <c r="AJ39" s="364"/>
      <c r="AK39" s="364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2"/>
      <c r="B40" s="126"/>
      <c r="C40" s="126"/>
      <c r="D40" s="126"/>
      <c r="E40" s="161"/>
      <c r="F40" s="126"/>
      <c r="G40" s="126"/>
      <c r="H40" s="126"/>
      <c r="I40" s="126"/>
      <c r="J40" s="161"/>
      <c r="K40" s="126"/>
      <c r="L40" s="267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64"/>
      <c r="AJ40" s="364"/>
      <c r="AK40" s="364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2"/>
      <c r="B41" s="161"/>
      <c r="C41" s="161"/>
      <c r="D41" s="161"/>
      <c r="E41" s="161"/>
      <c r="F41" s="126"/>
      <c r="G41" s="126"/>
      <c r="H41" s="130"/>
      <c r="I41" s="126"/>
      <c r="J41" s="161"/>
      <c r="K41" s="266"/>
      <c r="L41" s="161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64"/>
      <c r="AJ41" s="364"/>
      <c r="AK41" s="364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2"/>
      <c r="B42" s="126"/>
      <c r="C42" s="126"/>
      <c r="D42" s="126"/>
      <c r="E42" s="161"/>
      <c r="F42" s="126"/>
      <c r="G42" s="126"/>
      <c r="H42" s="126"/>
      <c r="I42" s="126"/>
      <c r="J42" s="161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64"/>
      <c r="AJ42" s="364"/>
      <c r="AK42" s="364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2"/>
      <c r="B43" s="161"/>
      <c r="C43" s="161"/>
      <c r="D43" s="161"/>
      <c r="E43" s="161"/>
      <c r="F43" s="126"/>
      <c r="G43" s="126"/>
      <c r="H43" s="130"/>
      <c r="I43" s="266"/>
      <c r="J43" s="161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64"/>
      <c r="AJ43" s="364"/>
      <c r="AK43" s="364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2"/>
      <c r="B44" s="126"/>
      <c r="C44" s="126"/>
      <c r="D44" s="126"/>
      <c r="E44" s="161"/>
      <c r="F44" s="126"/>
      <c r="G44" s="126"/>
      <c r="H44" s="126"/>
      <c r="I44" s="126"/>
      <c r="J44" s="161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64"/>
      <c r="AJ44" s="364"/>
      <c r="AK44" s="364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2"/>
      <c r="B45" s="161"/>
      <c r="C45" s="161"/>
      <c r="D45" s="161"/>
      <c r="E45" s="161"/>
      <c r="F45" s="126"/>
      <c r="G45" s="126"/>
      <c r="H45" s="130"/>
      <c r="I45" s="126"/>
      <c r="J45" s="161"/>
      <c r="K45" s="126"/>
      <c r="L45" s="126"/>
      <c r="M45" s="266"/>
      <c r="N45" s="161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64"/>
      <c r="AJ45" s="364"/>
      <c r="AK45" s="364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2"/>
      <c r="B46" s="126"/>
      <c r="C46" s="126"/>
      <c r="D46" s="126"/>
      <c r="E46" s="161"/>
      <c r="F46" s="126"/>
      <c r="G46" s="126"/>
      <c r="H46" s="126"/>
      <c r="I46" s="126"/>
      <c r="J46" s="161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64"/>
      <c r="AJ46" s="364"/>
      <c r="AK46" s="364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2"/>
      <c r="B47" s="161"/>
      <c r="C47" s="161"/>
      <c r="D47" s="161"/>
      <c r="E47" s="161"/>
      <c r="F47" s="126"/>
      <c r="G47" s="126"/>
      <c r="H47" s="130"/>
      <c r="I47" s="266"/>
      <c r="J47" s="161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64"/>
      <c r="AJ47" s="364"/>
      <c r="AK47" s="364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2"/>
      <c r="B48" s="126"/>
      <c r="C48" s="126"/>
      <c r="D48" s="126"/>
      <c r="E48" s="161"/>
      <c r="F48" s="126"/>
      <c r="G48" s="126"/>
      <c r="H48" s="126"/>
      <c r="I48" s="126"/>
      <c r="J48" s="161"/>
      <c r="K48" s="126"/>
      <c r="L48" s="267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64"/>
      <c r="AJ48" s="364"/>
      <c r="AK48" s="364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2"/>
      <c r="B49" s="161"/>
      <c r="C49" s="161"/>
      <c r="D49" s="161"/>
      <c r="E49" s="161"/>
      <c r="F49" s="126"/>
      <c r="G49" s="126"/>
      <c r="H49" s="130"/>
      <c r="I49" s="126"/>
      <c r="J49" s="161"/>
      <c r="K49" s="266"/>
      <c r="L49" s="161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64"/>
      <c r="AJ49" s="364"/>
      <c r="AK49" s="364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2"/>
      <c r="B50" s="126"/>
      <c r="C50" s="126"/>
      <c r="D50" s="126"/>
      <c r="E50" s="161"/>
      <c r="F50" s="126"/>
      <c r="G50" s="126"/>
      <c r="H50" s="126"/>
      <c r="I50" s="126"/>
      <c r="J50" s="161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64"/>
      <c r="AJ50" s="364"/>
      <c r="AK50" s="364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2"/>
      <c r="B51" s="161"/>
      <c r="C51" s="161"/>
      <c r="D51" s="161"/>
      <c r="E51" s="161"/>
      <c r="F51" s="126"/>
      <c r="G51" s="126"/>
      <c r="H51" s="130"/>
      <c r="I51" s="266"/>
      <c r="J51" s="161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64"/>
      <c r="AJ51" s="364"/>
      <c r="AK51" s="364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76"/>
      <c r="B52" s="126"/>
      <c r="C52" s="126"/>
      <c r="D52" s="126"/>
      <c r="E52" s="161"/>
      <c r="F52" s="403"/>
      <c r="G52" s="403"/>
      <c r="H52" s="403"/>
      <c r="I52" s="403"/>
      <c r="J52" s="161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64"/>
      <c r="AJ52" s="364"/>
      <c r="AK52" s="364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404"/>
      <c r="G53" s="404"/>
      <c r="H53" s="404"/>
      <c r="I53" s="404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64"/>
      <c r="AJ53" s="364"/>
      <c r="AK53" s="364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43</v>
      </c>
      <c r="B54" s="141"/>
      <c r="C54" s="141"/>
      <c r="D54" s="209"/>
      <c r="E54" s="142" t="s">
        <v>4</v>
      </c>
      <c r="F54" s="143" t="s">
        <v>45</v>
      </c>
      <c r="G54" s="142"/>
      <c r="H54" s="144"/>
      <c r="I54" s="145"/>
      <c r="J54" s="142" t="s">
        <v>4</v>
      </c>
      <c r="K54" s="143" t="s">
        <v>54</v>
      </c>
      <c r="L54" s="146"/>
      <c r="M54" s="143" t="s">
        <v>55</v>
      </c>
      <c r="N54" s="147"/>
      <c r="O54" s="148" t="s">
        <v>56</v>
      </c>
      <c r="P54" s="148"/>
      <c r="Q54" s="149"/>
      <c r="R54" s="15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5"/>
      <c r="AJ54" s="365"/>
      <c r="AK54" s="365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85" t="s">
        <v>44</v>
      </c>
      <c r="B55" s="286"/>
      <c r="C55" s="287"/>
      <c r="D55" s="288"/>
      <c r="E55" s="152">
        <v>1</v>
      </c>
      <c r="F55" s="85" t="str">
        <f>IF(E55&gt;$R$62,,UPPER(VLOOKUP(E55,'Fiú 1 kcs. B ELO'!$A$7:$Q$134,2)))</f>
        <v xml:space="preserve">SZABÓ </v>
      </c>
      <c r="G55" s="152"/>
      <c r="H55" s="85"/>
      <c r="I55" s="84"/>
      <c r="J55" s="277" t="s">
        <v>5</v>
      </c>
      <c r="K55" s="83"/>
      <c r="L55" s="278"/>
      <c r="M55" s="83"/>
      <c r="N55" s="279"/>
      <c r="O55" s="280" t="s">
        <v>46</v>
      </c>
      <c r="P55" s="281"/>
      <c r="Q55" s="281"/>
      <c r="R55" s="27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5"/>
      <c r="AJ55" s="365"/>
      <c r="AK55" s="365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9" t="s">
        <v>53</v>
      </c>
      <c r="B56" s="163"/>
      <c r="C56" s="290"/>
      <c r="D56" s="291"/>
      <c r="E56" s="152">
        <v>2</v>
      </c>
      <c r="F56" s="85" t="str">
        <f>IF(E56&gt;$R$62,,UPPER(VLOOKUP(E56,'Fiú 1 kcs. B ELO'!$A$7:$Q$134,2)))</f>
        <v xml:space="preserve">PONGRÁCZ </v>
      </c>
      <c r="G56" s="152"/>
      <c r="H56" s="85"/>
      <c r="I56" s="84"/>
      <c r="J56" s="277" t="s">
        <v>6</v>
      </c>
      <c r="K56" s="83"/>
      <c r="L56" s="278"/>
      <c r="M56" s="83"/>
      <c r="N56" s="279"/>
      <c r="O56" s="156"/>
      <c r="P56" s="282"/>
      <c r="Q56" s="163"/>
      <c r="R56" s="28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5"/>
      <c r="AJ56" s="365"/>
      <c r="AK56" s="365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8"/>
      <c r="B57" s="179"/>
      <c r="C57" s="207"/>
      <c r="D57" s="180"/>
      <c r="E57" s="152"/>
      <c r="F57" s="85"/>
      <c r="G57" s="152"/>
      <c r="H57" s="85"/>
      <c r="I57" s="84"/>
      <c r="J57" s="277" t="s">
        <v>7</v>
      </c>
      <c r="K57" s="83"/>
      <c r="L57" s="278"/>
      <c r="M57" s="83"/>
      <c r="N57" s="279"/>
      <c r="O57" s="280" t="s">
        <v>47</v>
      </c>
      <c r="P57" s="281"/>
      <c r="Q57" s="281"/>
      <c r="R57" s="27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5"/>
      <c r="AJ57" s="365"/>
      <c r="AK57" s="365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54"/>
      <c r="B58" s="120"/>
      <c r="C58" s="120"/>
      <c r="D58" s="155"/>
      <c r="E58" s="152"/>
      <c r="F58" s="85"/>
      <c r="G58" s="152"/>
      <c r="H58" s="85"/>
      <c r="I58" s="84"/>
      <c r="J58" s="277" t="s">
        <v>8</v>
      </c>
      <c r="K58" s="83"/>
      <c r="L58" s="278"/>
      <c r="M58" s="83"/>
      <c r="N58" s="279"/>
      <c r="O58" s="83"/>
      <c r="P58" s="278"/>
      <c r="Q58" s="83"/>
      <c r="R58" s="27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5"/>
      <c r="AJ58" s="365"/>
      <c r="AK58" s="365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7"/>
      <c r="B59" s="181"/>
      <c r="C59" s="181"/>
      <c r="D59" s="208"/>
      <c r="E59" s="152"/>
      <c r="F59" s="85"/>
      <c r="G59" s="152"/>
      <c r="H59" s="85"/>
      <c r="I59" s="84"/>
      <c r="J59" s="277" t="s">
        <v>9</v>
      </c>
      <c r="K59" s="83"/>
      <c r="L59" s="278"/>
      <c r="M59" s="83"/>
      <c r="N59" s="279"/>
      <c r="O59" s="163"/>
      <c r="P59" s="282"/>
      <c r="Q59" s="163"/>
      <c r="R59" s="28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5"/>
      <c r="AJ59" s="365"/>
      <c r="AK59" s="365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8"/>
      <c r="B60" s="22"/>
      <c r="C60" s="120"/>
      <c r="D60" s="155"/>
      <c r="E60" s="152"/>
      <c r="F60" s="85"/>
      <c r="G60" s="152"/>
      <c r="H60" s="85"/>
      <c r="I60" s="84"/>
      <c r="J60" s="277" t="s">
        <v>10</v>
      </c>
      <c r="K60" s="83"/>
      <c r="L60" s="278"/>
      <c r="M60" s="83"/>
      <c r="N60" s="279"/>
      <c r="O60" s="280" t="s">
        <v>33</v>
      </c>
      <c r="P60" s="281"/>
      <c r="Q60" s="281"/>
      <c r="R60" s="27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5"/>
      <c r="AJ60" s="365"/>
      <c r="AK60" s="365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8"/>
      <c r="B61" s="22"/>
      <c r="C61" s="205"/>
      <c r="D61" s="176"/>
      <c r="E61" s="152"/>
      <c r="F61" s="85"/>
      <c r="G61" s="152"/>
      <c r="H61" s="85"/>
      <c r="I61" s="84"/>
      <c r="J61" s="277" t="s">
        <v>11</v>
      </c>
      <c r="K61" s="83"/>
      <c r="L61" s="278"/>
      <c r="M61" s="83"/>
      <c r="N61" s="279"/>
      <c r="O61" s="83"/>
      <c r="P61" s="278"/>
      <c r="Q61" s="83"/>
      <c r="R61" s="27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5"/>
      <c r="AJ61" s="365"/>
      <c r="AK61" s="365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9"/>
      <c r="B62" s="166"/>
      <c r="C62" s="206"/>
      <c r="D62" s="177"/>
      <c r="E62" s="157"/>
      <c r="F62" s="156"/>
      <c r="G62" s="157"/>
      <c r="H62" s="156"/>
      <c r="I62" s="158"/>
      <c r="J62" s="284" t="s">
        <v>12</v>
      </c>
      <c r="K62" s="163"/>
      <c r="L62" s="282"/>
      <c r="M62" s="163"/>
      <c r="N62" s="283"/>
      <c r="O62" s="163" t="str">
        <f>R4</f>
        <v>Rákóczi Andrea</v>
      </c>
      <c r="P62" s="282"/>
      <c r="Q62" s="163"/>
      <c r="R62" s="159">
        <f>MIN(4,'Fiú 1 kcs. B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5"/>
      <c r="AJ62" s="365"/>
      <c r="AK62" s="365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L63" s="274"/>
      <c r="AM63" s="274"/>
      <c r="AN63" s="274"/>
      <c r="AO63" s="274"/>
      <c r="AP63" s="274"/>
      <c r="AQ63" s="274"/>
      <c r="AR63" s="274"/>
      <c r="AS63" s="274"/>
    </row>
    <row r="64" spans="1:45" x14ac:dyDescent="0.25"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L64" s="274"/>
      <c r="AM64" s="274"/>
      <c r="AN64" s="274"/>
      <c r="AO64" s="274"/>
      <c r="AP64" s="274"/>
      <c r="AQ64" s="274"/>
      <c r="AR64" s="274"/>
      <c r="AS64" s="274"/>
    </row>
    <row r="65" spans="20:45" x14ac:dyDescent="0.25"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L65" s="274"/>
      <c r="AM65" s="274"/>
      <c r="AN65" s="274"/>
      <c r="AO65" s="274"/>
      <c r="AP65" s="274"/>
      <c r="AQ65" s="274"/>
      <c r="AR65" s="274"/>
      <c r="AS65" s="274"/>
    </row>
    <row r="66" spans="20:45" x14ac:dyDescent="0.25"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L66" s="274"/>
      <c r="AM66" s="274"/>
      <c r="AN66" s="274"/>
      <c r="AO66" s="274"/>
      <c r="AP66" s="274"/>
      <c r="AQ66" s="274"/>
      <c r="AR66" s="274"/>
      <c r="AS66" s="274"/>
    </row>
    <row r="67" spans="20:45" x14ac:dyDescent="0.25"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L67" s="274"/>
      <c r="AM67" s="274"/>
      <c r="AN67" s="274"/>
      <c r="AO67" s="274"/>
      <c r="AP67" s="274"/>
      <c r="AQ67" s="274"/>
      <c r="AR67" s="274"/>
      <c r="AS67" s="274"/>
    </row>
    <row r="68" spans="20:45" x14ac:dyDescent="0.25"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L68" s="274"/>
      <c r="AM68" s="274"/>
      <c r="AN68" s="274"/>
      <c r="AO68" s="274"/>
      <c r="AP68" s="274"/>
      <c r="AQ68" s="274"/>
      <c r="AR68" s="274"/>
      <c r="AS68" s="274"/>
    </row>
    <row r="69" spans="20:45" x14ac:dyDescent="0.25"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L69" s="274"/>
      <c r="AM69" s="274"/>
      <c r="AN69" s="274"/>
      <c r="AO69" s="274"/>
      <c r="AP69" s="274"/>
      <c r="AQ69" s="274"/>
      <c r="AR69" s="274"/>
      <c r="AS69" s="274"/>
    </row>
    <row r="70" spans="20:45" x14ac:dyDescent="0.25"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L70" s="274"/>
      <c r="AM70" s="274"/>
      <c r="AN70" s="274"/>
      <c r="AO70" s="274"/>
      <c r="AP70" s="274"/>
      <c r="AQ70" s="274"/>
      <c r="AR70" s="274"/>
      <c r="AS70" s="274"/>
    </row>
    <row r="71" spans="20:45" x14ac:dyDescent="0.25"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L71" s="274"/>
      <c r="AM71" s="274"/>
      <c r="AN71" s="274"/>
      <c r="AO71" s="274"/>
      <c r="AP71" s="274"/>
      <c r="AQ71" s="274"/>
      <c r="AR71" s="274"/>
      <c r="AS71" s="274"/>
    </row>
    <row r="72" spans="20:45" x14ac:dyDescent="0.25"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L72" s="274"/>
      <c r="AM72" s="274"/>
      <c r="AN72" s="274"/>
      <c r="AO72" s="274"/>
      <c r="AP72" s="274"/>
      <c r="AQ72" s="274"/>
      <c r="AR72" s="274"/>
      <c r="AS72" s="274"/>
    </row>
    <row r="73" spans="20:45" x14ac:dyDescent="0.25"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L73" s="274"/>
      <c r="AM73" s="274"/>
      <c r="AN73" s="274"/>
      <c r="AO73" s="274"/>
      <c r="AP73" s="274"/>
      <c r="AQ73" s="274"/>
      <c r="AR73" s="274"/>
      <c r="AS73" s="274"/>
    </row>
    <row r="74" spans="20:45" x14ac:dyDescent="0.25"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74"/>
      <c r="AL74" s="274"/>
      <c r="AM74" s="274"/>
      <c r="AN74" s="274"/>
      <c r="AO74" s="274"/>
      <c r="AP74" s="274"/>
      <c r="AQ74" s="274"/>
      <c r="AR74" s="274"/>
      <c r="AS74" s="274"/>
    </row>
    <row r="75" spans="20:45" x14ac:dyDescent="0.25"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L75" s="274"/>
      <c r="AM75" s="274"/>
      <c r="AN75" s="274"/>
      <c r="AO75" s="274"/>
      <c r="AP75" s="274"/>
      <c r="AQ75" s="274"/>
      <c r="AR75" s="274"/>
      <c r="AS75" s="274"/>
    </row>
    <row r="76" spans="20:45" x14ac:dyDescent="0.25"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L76" s="274"/>
      <c r="AM76" s="274"/>
      <c r="AN76" s="274"/>
      <c r="AO76" s="274"/>
      <c r="AP76" s="274"/>
      <c r="AQ76" s="274"/>
      <c r="AR76" s="274"/>
      <c r="AS76" s="274"/>
    </row>
    <row r="77" spans="20:45" x14ac:dyDescent="0.25"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L77" s="274"/>
      <c r="AM77" s="274"/>
      <c r="AN77" s="274"/>
      <c r="AO77" s="274"/>
      <c r="AP77" s="274"/>
      <c r="AQ77" s="274"/>
      <c r="AR77" s="274"/>
      <c r="AS77" s="274"/>
    </row>
    <row r="78" spans="20:45" x14ac:dyDescent="0.25"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L78" s="274"/>
      <c r="AM78" s="274"/>
      <c r="AN78" s="274"/>
      <c r="AO78" s="274"/>
      <c r="AP78" s="274"/>
      <c r="AQ78" s="274"/>
      <c r="AR78" s="274"/>
      <c r="AS78" s="274"/>
    </row>
    <row r="79" spans="20:45" x14ac:dyDescent="0.25"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74"/>
      <c r="AL79" s="274"/>
      <c r="AM79" s="274"/>
      <c r="AN79" s="274"/>
      <c r="AO79" s="274"/>
      <c r="AP79" s="274"/>
      <c r="AQ79" s="274"/>
      <c r="AR79" s="274"/>
      <c r="AS79" s="274"/>
    </row>
    <row r="80" spans="20:45" x14ac:dyDescent="0.25"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L80" s="274"/>
      <c r="AM80" s="274"/>
      <c r="AN80" s="274"/>
      <c r="AO80" s="274"/>
      <c r="AP80" s="274"/>
      <c r="AQ80" s="274"/>
      <c r="AR80" s="274"/>
      <c r="AS80" s="274"/>
    </row>
    <row r="81" spans="20:45" x14ac:dyDescent="0.25"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L81" s="274"/>
      <c r="AM81" s="274"/>
      <c r="AN81" s="274"/>
      <c r="AO81" s="274"/>
      <c r="AP81" s="274"/>
      <c r="AQ81" s="274"/>
      <c r="AR81" s="274"/>
      <c r="AS81" s="274"/>
    </row>
    <row r="82" spans="20:45" x14ac:dyDescent="0.25"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L82" s="274"/>
      <c r="AM82" s="274"/>
      <c r="AN82" s="274"/>
      <c r="AO82" s="274"/>
      <c r="AP82" s="274"/>
      <c r="AQ82" s="274"/>
      <c r="AR82" s="274"/>
      <c r="AS82" s="274"/>
    </row>
    <row r="83" spans="20:45" x14ac:dyDescent="0.25"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L83" s="274"/>
      <c r="AM83" s="274"/>
      <c r="AN83" s="274"/>
      <c r="AO83" s="274"/>
      <c r="AP83" s="274"/>
      <c r="AQ83" s="274"/>
      <c r="AR83" s="274"/>
      <c r="AS83" s="274"/>
    </row>
    <row r="84" spans="20:45" x14ac:dyDescent="0.25"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L84" s="274"/>
      <c r="AM84" s="274"/>
      <c r="AN84" s="274"/>
      <c r="AO84" s="274"/>
      <c r="AP84" s="274"/>
      <c r="AQ84" s="274"/>
      <c r="AR84" s="274"/>
      <c r="AS84" s="274"/>
    </row>
    <row r="85" spans="20:45" x14ac:dyDescent="0.25"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L85" s="274"/>
      <c r="AM85" s="274"/>
      <c r="AN85" s="274"/>
      <c r="AO85" s="274"/>
      <c r="AP85" s="274"/>
      <c r="AQ85" s="274"/>
      <c r="AR85" s="274"/>
      <c r="AS85" s="274"/>
    </row>
    <row r="86" spans="20:45" x14ac:dyDescent="0.25"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74"/>
      <c r="AL86" s="274"/>
      <c r="AM86" s="274"/>
      <c r="AN86" s="274"/>
      <c r="AO86" s="274"/>
      <c r="AP86" s="274"/>
      <c r="AQ86" s="274"/>
      <c r="AR86" s="274"/>
      <c r="AS86" s="274"/>
    </row>
    <row r="87" spans="20:45" x14ac:dyDescent="0.25"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L87" s="274"/>
      <c r="AM87" s="274"/>
      <c r="AN87" s="274"/>
      <c r="AO87" s="274"/>
      <c r="AP87" s="274"/>
      <c r="AQ87" s="274"/>
      <c r="AR87" s="274"/>
      <c r="AS87" s="274"/>
    </row>
    <row r="88" spans="20:45" x14ac:dyDescent="0.25"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L88" s="274"/>
      <c r="AM88" s="274"/>
      <c r="AN88" s="274"/>
      <c r="AO88" s="274"/>
      <c r="AP88" s="274"/>
      <c r="AQ88" s="274"/>
      <c r="AR88" s="274"/>
      <c r="AS88" s="274"/>
    </row>
    <row r="89" spans="20:45" x14ac:dyDescent="0.25"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L89" s="274"/>
      <c r="AM89" s="274"/>
      <c r="AN89" s="274"/>
      <c r="AO89" s="274"/>
      <c r="AP89" s="274"/>
      <c r="AQ89" s="274"/>
      <c r="AR89" s="274"/>
      <c r="AS89" s="274"/>
    </row>
    <row r="90" spans="20:45" x14ac:dyDescent="0.25"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74"/>
      <c r="AL90" s="274"/>
      <c r="AM90" s="274"/>
      <c r="AN90" s="274"/>
      <c r="AO90" s="274"/>
      <c r="AP90" s="274"/>
      <c r="AQ90" s="274"/>
      <c r="AR90" s="274"/>
      <c r="AS90" s="274"/>
    </row>
    <row r="91" spans="20:45" x14ac:dyDescent="0.25"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L91" s="274"/>
      <c r="AM91" s="274"/>
      <c r="AN91" s="274"/>
      <c r="AO91" s="274"/>
      <c r="AP91" s="274"/>
      <c r="AQ91" s="274"/>
      <c r="AR91" s="274"/>
      <c r="AS91" s="274"/>
    </row>
    <row r="92" spans="20:45" x14ac:dyDescent="0.25"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L92" s="274"/>
      <c r="AM92" s="274"/>
      <c r="AN92" s="274"/>
      <c r="AO92" s="274"/>
      <c r="AP92" s="274"/>
      <c r="AQ92" s="274"/>
      <c r="AR92" s="274"/>
      <c r="AS92" s="274"/>
    </row>
    <row r="93" spans="20:45" x14ac:dyDescent="0.25"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L93" s="274"/>
      <c r="AM93" s="274"/>
      <c r="AN93" s="274"/>
      <c r="AO93" s="274"/>
      <c r="AP93" s="274"/>
      <c r="AQ93" s="274"/>
      <c r="AR93" s="274"/>
      <c r="AS93" s="274"/>
    </row>
    <row r="94" spans="20:45" x14ac:dyDescent="0.25"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L94" s="274"/>
      <c r="AM94" s="274"/>
      <c r="AN94" s="274"/>
      <c r="AO94" s="274"/>
      <c r="AP94" s="274"/>
      <c r="AQ94" s="274"/>
      <c r="AR94" s="274"/>
      <c r="AS94" s="274"/>
    </row>
    <row r="95" spans="20:45" x14ac:dyDescent="0.25"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74"/>
      <c r="AH95" s="274"/>
      <c r="AL95" s="274"/>
      <c r="AM95" s="274"/>
      <c r="AN95" s="274"/>
      <c r="AO95" s="274"/>
      <c r="AP95" s="274"/>
      <c r="AQ95" s="274"/>
      <c r="AR95" s="274"/>
      <c r="AS95" s="274"/>
    </row>
    <row r="96" spans="20:45" x14ac:dyDescent="0.25"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74"/>
      <c r="AH96" s="274"/>
      <c r="AL96" s="274"/>
      <c r="AM96" s="274"/>
      <c r="AN96" s="274"/>
      <c r="AO96" s="274"/>
      <c r="AP96" s="274"/>
      <c r="AQ96" s="274"/>
      <c r="AR96" s="274"/>
      <c r="AS96" s="274"/>
    </row>
    <row r="97" spans="20:45" x14ac:dyDescent="0.25"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L97" s="274"/>
      <c r="AM97" s="274"/>
      <c r="AN97" s="274"/>
      <c r="AO97" s="274"/>
      <c r="AP97" s="274"/>
      <c r="AQ97" s="274"/>
      <c r="AR97" s="274"/>
      <c r="AS97" s="274"/>
    </row>
    <row r="98" spans="20:45" x14ac:dyDescent="0.25"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L98" s="274"/>
      <c r="AM98" s="274"/>
      <c r="AN98" s="274"/>
      <c r="AO98" s="274"/>
      <c r="AP98" s="274"/>
      <c r="AQ98" s="274"/>
      <c r="AR98" s="274"/>
      <c r="AS98" s="274"/>
    </row>
    <row r="99" spans="20:45" x14ac:dyDescent="0.25"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74"/>
      <c r="AH99" s="274"/>
      <c r="AL99" s="274"/>
      <c r="AM99" s="274"/>
      <c r="AN99" s="274"/>
      <c r="AO99" s="274"/>
      <c r="AP99" s="274"/>
      <c r="AQ99" s="274"/>
      <c r="AR99" s="274"/>
      <c r="AS99" s="274"/>
    </row>
    <row r="100" spans="20:45" x14ac:dyDescent="0.25"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L100" s="274"/>
      <c r="AM100" s="274"/>
      <c r="AN100" s="274"/>
      <c r="AO100" s="274"/>
      <c r="AP100" s="274"/>
      <c r="AQ100" s="274"/>
      <c r="AR100" s="274"/>
      <c r="AS100" s="274"/>
    </row>
    <row r="101" spans="20:45" x14ac:dyDescent="0.25"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L101" s="274"/>
      <c r="AM101" s="274"/>
      <c r="AN101" s="274"/>
      <c r="AO101" s="274"/>
      <c r="AP101" s="274"/>
      <c r="AQ101" s="274"/>
      <c r="AR101" s="274"/>
      <c r="AS101" s="274"/>
    </row>
    <row r="102" spans="20:45" x14ac:dyDescent="0.25"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L102" s="274"/>
      <c r="AM102" s="274"/>
      <c r="AN102" s="274"/>
      <c r="AO102" s="274"/>
      <c r="AP102" s="274"/>
      <c r="AQ102" s="274"/>
      <c r="AR102" s="274"/>
      <c r="AS102" s="274"/>
    </row>
    <row r="103" spans="20:45" x14ac:dyDescent="0.25"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L103" s="274"/>
      <c r="AM103" s="274"/>
      <c r="AN103" s="274"/>
      <c r="AO103" s="274"/>
      <c r="AP103" s="274"/>
      <c r="AQ103" s="274"/>
      <c r="AR103" s="274"/>
      <c r="AS103" s="274"/>
    </row>
    <row r="104" spans="20:45" x14ac:dyDescent="0.25"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L104" s="274"/>
      <c r="AM104" s="274"/>
      <c r="AN104" s="274"/>
      <c r="AO104" s="274"/>
      <c r="AP104" s="274"/>
      <c r="AQ104" s="274"/>
      <c r="AR104" s="274"/>
      <c r="AS104" s="274"/>
    </row>
    <row r="105" spans="20:45" x14ac:dyDescent="0.25"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L105" s="274"/>
      <c r="AM105" s="274"/>
      <c r="AN105" s="274"/>
      <c r="AO105" s="274"/>
      <c r="AP105" s="274"/>
      <c r="AQ105" s="274"/>
      <c r="AR105" s="274"/>
      <c r="AS105" s="274"/>
    </row>
    <row r="106" spans="20:45" x14ac:dyDescent="0.25"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L106" s="274"/>
      <c r="AM106" s="274"/>
      <c r="AN106" s="274"/>
      <c r="AO106" s="274"/>
      <c r="AP106" s="274"/>
      <c r="AQ106" s="274"/>
      <c r="AR106" s="274"/>
      <c r="AS106" s="274"/>
    </row>
    <row r="107" spans="20:45" x14ac:dyDescent="0.25"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L107" s="274"/>
      <c r="AM107" s="274"/>
      <c r="AN107" s="274"/>
      <c r="AO107" s="274"/>
      <c r="AP107" s="274"/>
      <c r="AQ107" s="274"/>
      <c r="AR107" s="274"/>
      <c r="AS107" s="274"/>
    </row>
    <row r="108" spans="20:45" x14ac:dyDescent="0.25"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4"/>
      <c r="AE108" s="274"/>
      <c r="AF108" s="274"/>
      <c r="AG108" s="274"/>
      <c r="AH108" s="274"/>
      <c r="AL108" s="274"/>
      <c r="AM108" s="274"/>
      <c r="AN108" s="274"/>
      <c r="AO108" s="274"/>
      <c r="AP108" s="274"/>
      <c r="AQ108" s="274"/>
      <c r="AR108" s="274"/>
      <c r="AS108" s="274"/>
    </row>
    <row r="109" spans="20:45" x14ac:dyDescent="0.25"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L109" s="274"/>
      <c r="AM109" s="274"/>
      <c r="AN109" s="274"/>
      <c r="AO109" s="274"/>
      <c r="AP109" s="274"/>
      <c r="AQ109" s="274"/>
      <c r="AR109" s="274"/>
      <c r="AS109" s="274"/>
    </row>
    <row r="110" spans="20:45" x14ac:dyDescent="0.25"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L110" s="274"/>
      <c r="AM110" s="274"/>
      <c r="AN110" s="274"/>
      <c r="AO110" s="274"/>
      <c r="AP110" s="274"/>
      <c r="AQ110" s="274"/>
      <c r="AR110" s="274"/>
      <c r="AS110" s="274"/>
    </row>
    <row r="111" spans="20:45" x14ac:dyDescent="0.25"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L111" s="274"/>
      <c r="AM111" s="274"/>
      <c r="AN111" s="274"/>
      <c r="AO111" s="274"/>
      <c r="AP111" s="274"/>
      <c r="AQ111" s="274"/>
      <c r="AR111" s="274"/>
      <c r="AS111" s="274"/>
    </row>
    <row r="112" spans="20:45" x14ac:dyDescent="0.25"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74"/>
      <c r="AH112" s="274"/>
      <c r="AL112" s="274"/>
      <c r="AM112" s="274"/>
      <c r="AN112" s="274"/>
      <c r="AO112" s="274"/>
      <c r="AP112" s="274"/>
      <c r="AQ112" s="274"/>
      <c r="AR112" s="274"/>
      <c r="AS112" s="274"/>
    </row>
    <row r="113" spans="20:45" x14ac:dyDescent="0.25"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L113" s="274"/>
      <c r="AM113" s="274"/>
      <c r="AN113" s="274"/>
      <c r="AO113" s="274"/>
      <c r="AP113" s="274"/>
      <c r="AQ113" s="274"/>
      <c r="AR113" s="274"/>
      <c r="AS113" s="274"/>
    </row>
    <row r="114" spans="20:45" x14ac:dyDescent="0.25">
      <c r="T114" s="274"/>
      <c r="U114" s="274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L114" s="274"/>
      <c r="AM114" s="274"/>
      <c r="AN114" s="274"/>
      <c r="AO114" s="274"/>
      <c r="AP114" s="274"/>
      <c r="AQ114" s="274"/>
      <c r="AR114" s="274"/>
      <c r="AS114" s="274"/>
    </row>
    <row r="115" spans="20:45" x14ac:dyDescent="0.25"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L115" s="274"/>
      <c r="AM115" s="274"/>
      <c r="AN115" s="274"/>
      <c r="AO115" s="274"/>
      <c r="AP115" s="274"/>
      <c r="AQ115" s="274"/>
      <c r="AR115" s="274"/>
      <c r="AS115" s="274"/>
    </row>
    <row r="116" spans="20:45" x14ac:dyDescent="0.25"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4"/>
      <c r="AG116" s="274"/>
      <c r="AH116" s="274"/>
      <c r="AL116" s="274"/>
      <c r="AM116" s="274"/>
      <c r="AN116" s="274"/>
      <c r="AO116" s="274"/>
      <c r="AP116" s="274"/>
      <c r="AQ116" s="274"/>
      <c r="AR116" s="274"/>
      <c r="AS116" s="274"/>
    </row>
    <row r="117" spans="20:45" x14ac:dyDescent="0.25"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L117" s="274"/>
      <c r="AM117" s="274"/>
      <c r="AN117" s="274"/>
      <c r="AO117" s="274"/>
      <c r="AP117" s="274"/>
      <c r="AQ117" s="274"/>
      <c r="AR117" s="274"/>
      <c r="AS117" s="274"/>
    </row>
    <row r="118" spans="20:45" x14ac:dyDescent="0.25"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274"/>
      <c r="AE118" s="274"/>
      <c r="AF118" s="274"/>
      <c r="AG118" s="274"/>
      <c r="AH118" s="274"/>
      <c r="AL118" s="274"/>
      <c r="AM118" s="274"/>
      <c r="AN118" s="274"/>
      <c r="AO118" s="274"/>
      <c r="AP118" s="274"/>
      <c r="AQ118" s="274"/>
      <c r="AR118" s="274"/>
      <c r="AS118" s="274"/>
    </row>
    <row r="119" spans="20:45" x14ac:dyDescent="0.25">
      <c r="T119" s="274"/>
      <c r="U119" s="274"/>
      <c r="V119" s="274"/>
      <c r="W119" s="274"/>
      <c r="X119" s="274"/>
      <c r="Y119" s="274"/>
      <c r="Z119" s="274"/>
      <c r="AA119" s="274"/>
      <c r="AB119" s="274"/>
      <c r="AC119" s="274"/>
      <c r="AD119" s="274"/>
      <c r="AE119" s="274"/>
      <c r="AF119" s="274"/>
      <c r="AG119" s="274"/>
      <c r="AH119" s="274"/>
      <c r="AL119" s="274"/>
      <c r="AM119" s="274"/>
      <c r="AN119" s="274"/>
      <c r="AO119" s="274"/>
      <c r="AP119" s="274"/>
      <c r="AQ119" s="274"/>
      <c r="AR119" s="274"/>
      <c r="AS119" s="274"/>
    </row>
    <row r="120" spans="20:45" x14ac:dyDescent="0.25"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L120" s="274"/>
      <c r="AM120" s="274"/>
      <c r="AN120" s="274"/>
      <c r="AO120" s="274"/>
      <c r="AP120" s="274"/>
      <c r="AQ120" s="274"/>
      <c r="AR120" s="274"/>
      <c r="AS120" s="274"/>
    </row>
    <row r="121" spans="20:45" x14ac:dyDescent="0.25"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L121" s="274"/>
      <c r="AM121" s="274"/>
      <c r="AN121" s="274"/>
      <c r="AO121" s="274"/>
      <c r="AP121" s="274"/>
      <c r="AQ121" s="274"/>
      <c r="AR121" s="274"/>
      <c r="AS121" s="274"/>
    </row>
    <row r="122" spans="20:45" x14ac:dyDescent="0.25"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L122" s="274"/>
      <c r="AM122" s="274"/>
      <c r="AN122" s="274"/>
      <c r="AO122" s="274"/>
      <c r="AP122" s="274"/>
      <c r="AQ122" s="274"/>
      <c r="AR122" s="274"/>
      <c r="AS122" s="274"/>
    </row>
    <row r="123" spans="20:45" x14ac:dyDescent="0.25"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74"/>
      <c r="AF123" s="274"/>
      <c r="AG123" s="274"/>
      <c r="AH123" s="274"/>
      <c r="AL123" s="274"/>
      <c r="AM123" s="274"/>
      <c r="AN123" s="274"/>
      <c r="AO123" s="274"/>
      <c r="AP123" s="274"/>
      <c r="AQ123" s="274"/>
      <c r="AR123" s="274"/>
      <c r="AS123" s="274"/>
    </row>
    <row r="124" spans="20:45" x14ac:dyDescent="0.25"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  <c r="AL124" s="274"/>
      <c r="AM124" s="274"/>
      <c r="AN124" s="274"/>
      <c r="AO124" s="274"/>
      <c r="AP124" s="274"/>
      <c r="AQ124" s="274"/>
      <c r="AR124" s="274"/>
      <c r="AS124" s="274"/>
    </row>
    <row r="125" spans="20:45" x14ac:dyDescent="0.25"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L125" s="274"/>
      <c r="AM125" s="274"/>
      <c r="AN125" s="274"/>
      <c r="AO125" s="274"/>
      <c r="AP125" s="274"/>
      <c r="AQ125" s="274"/>
      <c r="AR125" s="274"/>
      <c r="AS125" s="274"/>
    </row>
    <row r="126" spans="20:45" x14ac:dyDescent="0.25"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L126" s="274"/>
      <c r="AM126" s="274"/>
      <c r="AN126" s="274"/>
      <c r="AO126" s="274"/>
      <c r="AP126" s="274"/>
      <c r="AQ126" s="274"/>
      <c r="AR126" s="274"/>
      <c r="AS126" s="274"/>
    </row>
    <row r="127" spans="20:45" x14ac:dyDescent="0.25"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L127" s="274"/>
      <c r="AM127" s="274"/>
      <c r="AN127" s="274"/>
      <c r="AO127" s="274"/>
      <c r="AP127" s="274"/>
      <c r="AQ127" s="274"/>
      <c r="AR127" s="274"/>
      <c r="AS127" s="274"/>
    </row>
    <row r="128" spans="20:45" x14ac:dyDescent="0.25">
      <c r="T128" s="274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L128" s="274"/>
      <c r="AM128" s="274"/>
      <c r="AN128" s="274"/>
      <c r="AO128" s="274"/>
      <c r="AP128" s="274"/>
      <c r="AQ128" s="274"/>
      <c r="AR128" s="274"/>
      <c r="AS128" s="274"/>
    </row>
    <row r="129" spans="20:45" x14ac:dyDescent="0.25"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L129" s="274"/>
      <c r="AM129" s="274"/>
      <c r="AN129" s="274"/>
      <c r="AO129" s="274"/>
      <c r="AP129" s="274"/>
      <c r="AQ129" s="274"/>
      <c r="AR129" s="274"/>
      <c r="AS129" s="274"/>
    </row>
    <row r="130" spans="20:45" x14ac:dyDescent="0.25"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274"/>
      <c r="AE130" s="274"/>
      <c r="AF130" s="274"/>
      <c r="AG130" s="274"/>
      <c r="AH130" s="274"/>
      <c r="AL130" s="274"/>
      <c r="AM130" s="274"/>
      <c r="AN130" s="274"/>
      <c r="AO130" s="274"/>
      <c r="AP130" s="274"/>
      <c r="AQ130" s="274"/>
      <c r="AR130" s="274"/>
      <c r="AS130" s="274"/>
    </row>
    <row r="131" spans="20:45" x14ac:dyDescent="0.25"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274"/>
      <c r="AE131" s="274"/>
      <c r="AF131" s="274"/>
      <c r="AG131" s="274"/>
      <c r="AH131" s="274"/>
      <c r="AL131" s="274"/>
      <c r="AM131" s="274"/>
      <c r="AN131" s="274"/>
      <c r="AO131" s="274"/>
      <c r="AP131" s="274"/>
      <c r="AQ131" s="274"/>
      <c r="AR131" s="274"/>
      <c r="AS131" s="274"/>
    </row>
    <row r="132" spans="20:45" x14ac:dyDescent="0.25"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274"/>
      <c r="AE132" s="274"/>
      <c r="AF132" s="274"/>
      <c r="AG132" s="274"/>
      <c r="AH132" s="274"/>
      <c r="AL132" s="274"/>
      <c r="AM132" s="274"/>
      <c r="AN132" s="274"/>
      <c r="AO132" s="274"/>
      <c r="AP132" s="274"/>
      <c r="AQ132" s="274"/>
      <c r="AR132" s="274"/>
      <c r="AS132" s="274"/>
    </row>
    <row r="133" spans="20:45" x14ac:dyDescent="0.25">
      <c r="T133" s="274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4"/>
      <c r="AF133" s="274"/>
      <c r="AG133" s="274"/>
      <c r="AH133" s="274"/>
      <c r="AL133" s="274"/>
      <c r="AM133" s="274"/>
      <c r="AN133" s="274"/>
      <c r="AO133" s="274"/>
      <c r="AP133" s="274"/>
      <c r="AQ133" s="274"/>
      <c r="AR133" s="274"/>
      <c r="AS133" s="274"/>
    </row>
    <row r="134" spans="20:45" x14ac:dyDescent="0.25">
      <c r="T134" s="274"/>
      <c r="U134" s="274"/>
      <c r="V134" s="274"/>
      <c r="W134" s="274"/>
      <c r="X134" s="274"/>
      <c r="Y134" s="274"/>
      <c r="Z134" s="274"/>
      <c r="AA134" s="274"/>
      <c r="AB134" s="274"/>
      <c r="AC134" s="274"/>
      <c r="AD134" s="274"/>
      <c r="AE134" s="274"/>
      <c r="AF134" s="274"/>
      <c r="AG134" s="274"/>
      <c r="AH134" s="274"/>
      <c r="AL134" s="274"/>
      <c r="AM134" s="274"/>
      <c r="AN134" s="274"/>
      <c r="AO134" s="274"/>
      <c r="AP134" s="274"/>
      <c r="AQ134" s="274"/>
      <c r="AR134" s="274"/>
      <c r="AS134" s="274"/>
    </row>
    <row r="135" spans="20:45" x14ac:dyDescent="0.25">
      <c r="T135" s="274"/>
      <c r="U135" s="274"/>
      <c r="V135" s="274"/>
      <c r="W135" s="274"/>
      <c r="X135" s="274"/>
      <c r="Y135" s="274"/>
      <c r="Z135" s="274"/>
      <c r="AA135" s="274"/>
      <c r="AB135" s="274"/>
      <c r="AC135" s="274"/>
      <c r="AD135" s="274"/>
      <c r="AE135" s="274"/>
      <c r="AF135" s="274"/>
      <c r="AG135" s="274"/>
      <c r="AH135" s="274"/>
      <c r="AL135" s="274"/>
      <c r="AM135" s="274"/>
      <c r="AN135" s="274"/>
      <c r="AO135" s="274"/>
      <c r="AP135" s="274"/>
      <c r="AQ135" s="274"/>
      <c r="AR135" s="274"/>
      <c r="AS135" s="274"/>
    </row>
    <row r="136" spans="20:45" x14ac:dyDescent="0.25"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L136" s="274"/>
      <c r="AM136" s="274"/>
      <c r="AN136" s="274"/>
      <c r="AO136" s="274"/>
      <c r="AP136" s="274"/>
      <c r="AQ136" s="274"/>
      <c r="AR136" s="274"/>
      <c r="AS136" s="274"/>
    </row>
    <row r="137" spans="20:45" x14ac:dyDescent="0.25"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L137" s="274"/>
      <c r="AM137" s="274"/>
      <c r="AN137" s="274"/>
      <c r="AO137" s="274"/>
      <c r="AP137" s="274"/>
      <c r="AQ137" s="274"/>
      <c r="AR137" s="274"/>
      <c r="AS137" s="274"/>
    </row>
    <row r="138" spans="20:45" x14ac:dyDescent="0.25"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L138" s="274"/>
      <c r="AM138" s="274"/>
      <c r="AN138" s="274"/>
      <c r="AO138" s="274"/>
      <c r="AP138" s="274"/>
      <c r="AQ138" s="274"/>
      <c r="AR138" s="274"/>
      <c r="AS138" s="274"/>
    </row>
    <row r="139" spans="20:45" x14ac:dyDescent="0.25"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274"/>
      <c r="AE139" s="274"/>
      <c r="AF139" s="274"/>
      <c r="AG139" s="274"/>
      <c r="AH139" s="274"/>
      <c r="AL139" s="274"/>
      <c r="AM139" s="274"/>
      <c r="AN139" s="274"/>
      <c r="AO139" s="274"/>
      <c r="AP139" s="274"/>
      <c r="AQ139" s="274"/>
      <c r="AR139" s="274"/>
      <c r="AS139" s="274"/>
    </row>
    <row r="140" spans="20:45" x14ac:dyDescent="0.25"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274"/>
      <c r="AE140" s="274"/>
      <c r="AF140" s="274"/>
      <c r="AG140" s="274"/>
      <c r="AH140" s="274"/>
      <c r="AL140" s="274"/>
      <c r="AM140" s="274"/>
      <c r="AN140" s="274"/>
      <c r="AO140" s="274"/>
      <c r="AP140" s="274"/>
      <c r="AQ140" s="274"/>
      <c r="AR140" s="274"/>
      <c r="AS140" s="274"/>
    </row>
  </sheetData>
  <mergeCells count="1">
    <mergeCell ref="A4:C4"/>
  </mergeCells>
  <conditionalFormatting sqref="B22 B24 B26 B28 B30 B32 B34 B36 B38 B40 B42 B44 B46 B48 B50 B52">
    <cfRule type="cellIs" dxfId="16" priority="7" stopIfTrue="1" operator="equal">
      <formula>"QA"</formula>
    </cfRule>
    <cfRule type="cellIs" dxfId="15" priority="8" stopIfTrue="1" operator="equal">
      <formula>"DA"</formula>
    </cfRule>
  </conditionalFormatting>
  <conditionalFormatting sqref="E7 E21">
    <cfRule type="expression" dxfId="14" priority="5" stopIfTrue="1">
      <formula>$E7&lt;5</formula>
    </cfRule>
  </conditionalFormatting>
  <conditionalFormatting sqref="E22 E24 E26 E28 E30 E32 E34 E36 E38 E40 E42 E44 E46 E48 E50 E52">
    <cfRule type="expression" dxfId="13" priority="13" stopIfTrue="1">
      <formula>AND($E22&lt;9,$C22&gt;0)</formula>
    </cfRule>
  </conditionalFormatting>
  <conditionalFormatting sqref="F7 F9 F11 F13 F15 F17 F19 F21:F22">
    <cfRule type="cellIs" dxfId="12" priority="4" stopIfTrue="1" operator="equal">
      <formula>"Bye"</formula>
    </cfRule>
  </conditionalFormatting>
  <conditionalFormatting sqref="F24 F26 F28 F30 F32 F34 F36 F38 F40 F42 F44 F46 F48 F50">
    <cfRule type="cellIs" dxfId="1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" priority="12" stopIfTrue="1">
      <formula>AND($E22&lt;9,$C22&gt;0)</formula>
    </cfRule>
  </conditionalFormatting>
  <conditionalFormatting sqref="H7 H9 H11 H13 H15 H17 H19 H21">
    <cfRule type="expression" dxfId="9" priority="17" stopIfTrue="1">
      <formula>AND($E7&lt;9,$C7&gt;0)</formula>
    </cfRule>
  </conditionalFormatting>
  <conditionalFormatting sqref="I8 K10 I12 M14 I16 K18 I20 I23 K25 I27 M29 I31 K33 I35 I39 K41 I43 M45 I47 K49 I51">
    <cfRule type="expression" dxfId="8" priority="14" stopIfTrue="1">
      <formula>AND($O$1="CU",I8="Umpire")</formula>
    </cfRule>
    <cfRule type="expression" dxfId="7" priority="15" stopIfTrue="1">
      <formula>AND($O$1="CU",I8&lt;&gt;"Umpire",J8&lt;&gt;"")</formula>
    </cfRule>
    <cfRule type="expression" dxfId="6" priority="16" stopIfTrue="1">
      <formula>AND($O$1="CU",I8&lt;&gt;"Umpire")</formula>
    </cfRule>
  </conditionalFormatting>
  <conditionalFormatting sqref="J8 L10 J12 N14 J16 L18 J20 R62">
    <cfRule type="expression" dxfId="5" priority="6" stopIfTrue="1">
      <formula>$O$1="CU"</formula>
    </cfRule>
  </conditionalFormatting>
  <conditionalFormatting sqref="K8 M10 K12 O14 K16 M18 K20 K23 M25 K27 O29 K31 M33 K35 K39 M41 K43 O45 K47 M49 K51">
    <cfRule type="expression" dxfId="4" priority="9" stopIfTrue="1">
      <formula>J8="as"</formula>
    </cfRule>
    <cfRule type="expression" dxfId="3" priority="10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3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R12" sqref="R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93.77734375" style="40" bestFit="1" customWidth="1"/>
    <col min="5" max="5" width="10.5546875" style="386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88" t="str">
        <f>Altalanos!$A$8</f>
        <v>Lány 1 kcs A</v>
      </c>
      <c r="D2" s="104"/>
      <c r="E2" s="201" t="s">
        <v>34</v>
      </c>
      <c r="F2" s="92"/>
      <c r="G2" s="92"/>
      <c r="H2" s="375"/>
      <c r="I2" s="375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69" t="s">
        <v>50</v>
      </c>
      <c r="B3" s="373"/>
      <c r="C3" s="373"/>
      <c r="D3" s="373"/>
      <c r="E3" s="373"/>
      <c r="F3" s="373"/>
      <c r="G3" s="373"/>
      <c r="H3" s="373"/>
      <c r="I3" s="374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88" t="s">
        <v>30</v>
      </c>
      <c r="I4" s="379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89"/>
      <c r="J5" s="111"/>
      <c r="K5" s="82"/>
      <c r="L5" s="82"/>
      <c r="M5" s="82"/>
      <c r="N5" s="111"/>
      <c r="O5" s="90"/>
      <c r="P5" s="90"/>
      <c r="Q5" s="397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76" t="s">
        <v>37</v>
      </c>
      <c r="I6" s="377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1" t="s">
        <v>129</v>
      </c>
      <c r="C7" s="411" t="s">
        <v>130</v>
      </c>
      <c r="D7" s="411" t="s">
        <v>131</v>
      </c>
      <c r="E7" s="204"/>
      <c r="F7" s="370"/>
      <c r="G7" s="371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1" t="s">
        <v>132</v>
      </c>
      <c r="C8" s="412" t="s">
        <v>133</v>
      </c>
      <c r="D8" s="412" t="s">
        <v>134</v>
      </c>
      <c r="E8" s="204"/>
      <c r="F8" s="372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1" t="s">
        <v>135</v>
      </c>
      <c r="C9" s="411" t="s">
        <v>136</v>
      </c>
      <c r="D9" s="413" t="s">
        <v>137</v>
      </c>
      <c r="E9" s="204"/>
      <c r="F9" s="372"/>
      <c r="G9" s="216"/>
      <c r="H9" s="94"/>
      <c r="I9" s="94"/>
      <c r="J9" s="188"/>
      <c r="K9" s="186"/>
      <c r="L9" s="190"/>
      <c r="M9" s="186"/>
      <c r="N9" s="183"/>
      <c r="O9" s="94"/>
      <c r="P9" s="381"/>
      <c r="Q9" s="211"/>
    </row>
    <row r="10" spans="1:17" s="11" customFormat="1" ht="18.899999999999999" customHeight="1" x14ac:dyDescent="0.3">
      <c r="A10" s="191">
        <v>4</v>
      </c>
      <c r="B10" s="411" t="s">
        <v>138</v>
      </c>
      <c r="C10" s="411" t="s">
        <v>139</v>
      </c>
      <c r="D10" s="414" t="s">
        <v>140</v>
      </c>
      <c r="E10" s="204"/>
      <c r="F10" s="372"/>
      <c r="G10" s="216"/>
      <c r="H10" s="94"/>
      <c r="I10" s="94"/>
      <c r="J10" s="188"/>
      <c r="K10" s="186"/>
      <c r="L10" s="190"/>
      <c r="M10" s="186"/>
      <c r="N10" s="183"/>
      <c r="O10" s="94"/>
      <c r="P10" s="380"/>
      <c r="Q10" s="378"/>
    </row>
    <row r="11" spans="1:17" s="11" customFormat="1" ht="18.899999999999999" customHeight="1" x14ac:dyDescent="0.3">
      <c r="A11" s="191">
        <v>5</v>
      </c>
      <c r="B11" s="411" t="s">
        <v>141</v>
      </c>
      <c r="C11" s="411" t="s">
        <v>142</v>
      </c>
      <c r="D11" s="414" t="s">
        <v>143</v>
      </c>
      <c r="E11" s="204"/>
      <c r="F11" s="372"/>
      <c r="G11" s="216"/>
      <c r="H11" s="94"/>
      <c r="I11" s="94"/>
      <c r="J11" s="188"/>
      <c r="K11" s="186"/>
      <c r="L11" s="190"/>
      <c r="M11" s="186"/>
      <c r="N11" s="183"/>
      <c r="O11" s="94"/>
      <c r="P11" s="380"/>
      <c r="Q11" s="378"/>
    </row>
    <row r="12" spans="1:17" s="11" customFormat="1" ht="18.899999999999999" customHeight="1" x14ac:dyDescent="0.3">
      <c r="A12" s="191">
        <v>6</v>
      </c>
      <c r="B12" s="418" t="s">
        <v>144</v>
      </c>
      <c r="C12" s="416" t="s">
        <v>145</v>
      </c>
      <c r="D12" s="418" t="s">
        <v>146</v>
      </c>
      <c r="E12" s="417"/>
      <c r="F12" s="416"/>
      <c r="G12" s="415"/>
      <c r="H12" s="94"/>
      <c r="I12" s="94"/>
      <c r="J12" s="188"/>
      <c r="K12" s="186"/>
      <c r="L12" s="190"/>
      <c r="M12" s="186"/>
      <c r="N12" s="183"/>
      <c r="O12" s="94"/>
      <c r="P12" s="380"/>
      <c r="Q12" s="378"/>
    </row>
    <row r="13" spans="1:17" s="11" customFormat="1" ht="18.899999999999999" customHeight="1" x14ac:dyDescent="0.25">
      <c r="A13" s="191">
        <v>7</v>
      </c>
      <c r="B13" s="93"/>
      <c r="C13" s="93"/>
      <c r="D13" s="94"/>
      <c r="E13" s="204"/>
      <c r="F13" s="372"/>
      <c r="G13" s="216"/>
      <c r="H13" s="94"/>
      <c r="I13" s="94"/>
      <c r="J13" s="188"/>
      <c r="K13" s="186"/>
      <c r="L13" s="190"/>
      <c r="M13" s="186"/>
      <c r="N13" s="183"/>
      <c r="O13" s="94"/>
      <c r="P13" s="380"/>
      <c r="Q13" s="378"/>
    </row>
    <row r="14" spans="1:17" s="11" customFormat="1" ht="18.899999999999999" customHeight="1" x14ac:dyDescent="0.25">
      <c r="A14" s="191">
        <v>8</v>
      </c>
      <c r="B14" s="93"/>
      <c r="C14" s="93"/>
      <c r="D14" s="94"/>
      <c r="E14" s="204"/>
      <c r="F14" s="372"/>
      <c r="G14" s="216"/>
      <c r="H14" s="94"/>
      <c r="I14" s="94"/>
      <c r="J14" s="188"/>
      <c r="K14" s="186"/>
      <c r="L14" s="190"/>
      <c r="M14" s="186"/>
      <c r="N14" s="183"/>
      <c r="O14" s="94"/>
      <c r="P14" s="380"/>
      <c r="Q14" s="378"/>
    </row>
    <row r="15" spans="1:17" s="11" customFormat="1" ht="18.899999999999999" customHeight="1" x14ac:dyDescent="0.25">
      <c r="A15" s="191">
        <v>9</v>
      </c>
      <c r="B15" s="93"/>
      <c r="C15" s="93"/>
      <c r="D15" s="94"/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25">
      <c r="A16" s="191">
        <v>10</v>
      </c>
      <c r="B16" s="405"/>
      <c r="C16" s="93"/>
      <c r="D16" s="94"/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25">
      <c r="A17" s="191">
        <v>11</v>
      </c>
      <c r="B17" s="93"/>
      <c r="C17" s="93"/>
      <c r="D17" s="94"/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25">
      <c r="A18" s="191">
        <v>12</v>
      </c>
      <c r="B18" s="93"/>
      <c r="C18" s="93"/>
      <c r="D18" s="94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25">
      <c r="A19" s="191">
        <v>13</v>
      </c>
      <c r="B19" s="93"/>
      <c r="C19" s="93"/>
      <c r="D19" s="94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25">
      <c r="A20" s="191">
        <v>14</v>
      </c>
      <c r="B20" s="93"/>
      <c r="C20" s="93"/>
      <c r="D20" s="94"/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93"/>
      <c r="C21" s="93"/>
      <c r="D21" s="94"/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25">
      <c r="A22" s="191">
        <v>16</v>
      </c>
      <c r="B22" s="93"/>
      <c r="C22" s="93"/>
      <c r="D22" s="94"/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25">
      <c r="A23" s="191">
        <v>17</v>
      </c>
      <c r="B23" s="93"/>
      <c r="C23" s="93"/>
      <c r="D23" s="94"/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25">
      <c r="A24" s="191">
        <v>18</v>
      </c>
      <c r="B24" s="93"/>
      <c r="C24" s="93"/>
      <c r="D24" s="94"/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25">
      <c r="A25" s="191">
        <v>19</v>
      </c>
      <c r="B25" s="93"/>
      <c r="C25" s="93"/>
      <c r="D25" s="94"/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25">
      <c r="A26" s="191">
        <v>20</v>
      </c>
      <c r="B26" s="93"/>
      <c r="C26" s="93"/>
      <c r="D26" s="9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25">
      <c r="A27" s="191">
        <v>21</v>
      </c>
      <c r="B27" s="93"/>
      <c r="C27" s="93"/>
      <c r="D27" s="94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6"/>
      <c r="F28" s="390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07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87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2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2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2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71" si="0">IF(Q40="",999,Q40)</f>
        <v>999</v>
      </c>
      <c r="M40" s="215">
        <f t="shared" ref="M40:M71" si="1">IF(P40=999,999,1)</f>
        <v>999</v>
      </c>
      <c r="N40" s="211"/>
      <c r="O40" s="95"/>
      <c r="P40" s="112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2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2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2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2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2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2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2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2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2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2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2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2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2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2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2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2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2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2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2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2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2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2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2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2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2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2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2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2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2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2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2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2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ref="L72:L100" si="3">IF(Q72="",999,Q72)</f>
        <v>999</v>
      </c>
      <c r="M72" s="215">
        <f t="shared" ref="M72:M100" si="4">IF(P72=999,999,1)</f>
        <v>999</v>
      </c>
      <c r="N72" s="211"/>
      <c r="O72" s="95"/>
      <c r="P72" s="112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2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3"/>
        <v>999</v>
      </c>
      <c r="M73" s="215">
        <f t="shared" si="4"/>
        <v>999</v>
      </c>
      <c r="N73" s="211"/>
      <c r="O73" s="95"/>
      <c r="P73" s="112">
        <f t="shared" si="5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2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3"/>
        <v>999</v>
      </c>
      <c r="M74" s="215">
        <f t="shared" si="4"/>
        <v>999</v>
      </c>
      <c r="N74" s="211"/>
      <c r="O74" s="95"/>
      <c r="P74" s="112">
        <f t="shared" si="5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2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3"/>
        <v>999</v>
      </c>
      <c r="M75" s="215">
        <f t="shared" si="4"/>
        <v>999</v>
      </c>
      <c r="N75" s="211"/>
      <c r="O75" s="95"/>
      <c r="P75" s="112">
        <f t="shared" si="5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2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3"/>
        <v>999</v>
      </c>
      <c r="M76" s="215">
        <f t="shared" si="4"/>
        <v>999</v>
      </c>
      <c r="N76" s="211"/>
      <c r="O76" s="95"/>
      <c r="P76" s="112">
        <f t="shared" si="5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2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3"/>
        <v>999</v>
      </c>
      <c r="M77" s="215">
        <f t="shared" si="4"/>
        <v>999</v>
      </c>
      <c r="N77" s="211"/>
      <c r="O77" s="95"/>
      <c r="P77" s="112">
        <f t="shared" si="5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2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3"/>
        <v>999</v>
      </c>
      <c r="M78" s="215">
        <f t="shared" si="4"/>
        <v>999</v>
      </c>
      <c r="N78" s="211"/>
      <c r="O78" s="95"/>
      <c r="P78" s="112">
        <f t="shared" si="5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2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3"/>
        <v>999</v>
      </c>
      <c r="M79" s="215">
        <f t="shared" si="4"/>
        <v>999</v>
      </c>
      <c r="N79" s="211"/>
      <c r="O79" s="95"/>
      <c r="P79" s="112">
        <f t="shared" si="5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2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3"/>
        <v>999</v>
      </c>
      <c r="M80" s="215">
        <f t="shared" si="4"/>
        <v>999</v>
      </c>
      <c r="N80" s="211"/>
      <c r="O80" s="95"/>
      <c r="P80" s="112">
        <f t="shared" si="5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2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3"/>
        <v>999</v>
      </c>
      <c r="M81" s="215">
        <f t="shared" si="4"/>
        <v>999</v>
      </c>
      <c r="N81" s="211"/>
      <c r="O81" s="95"/>
      <c r="P81" s="112">
        <f t="shared" si="5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2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3"/>
        <v>999</v>
      </c>
      <c r="M82" s="215">
        <f t="shared" si="4"/>
        <v>999</v>
      </c>
      <c r="N82" s="211"/>
      <c r="O82" s="95"/>
      <c r="P82" s="112">
        <f t="shared" si="5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2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3"/>
        <v>999</v>
      </c>
      <c r="M83" s="215">
        <f t="shared" si="4"/>
        <v>999</v>
      </c>
      <c r="N83" s="211"/>
      <c r="O83" s="95"/>
      <c r="P83" s="112">
        <f t="shared" si="5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2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3"/>
        <v>999</v>
      </c>
      <c r="M84" s="215">
        <f t="shared" si="4"/>
        <v>999</v>
      </c>
      <c r="N84" s="211"/>
      <c r="O84" s="95"/>
      <c r="P84" s="112">
        <f t="shared" si="5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2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3"/>
        <v>999</v>
      </c>
      <c r="M85" s="215">
        <f t="shared" si="4"/>
        <v>999</v>
      </c>
      <c r="N85" s="211"/>
      <c r="O85" s="95"/>
      <c r="P85" s="112">
        <f t="shared" si="5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2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3"/>
        <v>999</v>
      </c>
      <c r="M86" s="215">
        <f t="shared" si="4"/>
        <v>999</v>
      </c>
      <c r="N86" s="211"/>
      <c r="O86" s="95"/>
      <c r="P86" s="112">
        <f t="shared" si="5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2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3"/>
        <v>999</v>
      </c>
      <c r="M87" s="215">
        <f t="shared" si="4"/>
        <v>999</v>
      </c>
      <c r="N87" s="211"/>
      <c r="O87" s="95"/>
      <c r="P87" s="112">
        <f t="shared" si="5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2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3"/>
        <v>999</v>
      </c>
      <c r="M88" s="215">
        <f t="shared" si="4"/>
        <v>999</v>
      </c>
      <c r="N88" s="211"/>
      <c r="O88" s="95"/>
      <c r="P88" s="112">
        <f t="shared" si="5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2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3"/>
        <v>999</v>
      </c>
      <c r="M89" s="215">
        <f t="shared" si="4"/>
        <v>999</v>
      </c>
      <c r="N89" s="211"/>
      <c r="O89" s="95"/>
      <c r="P89" s="112">
        <f t="shared" si="5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2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3"/>
        <v>999</v>
      </c>
      <c r="M90" s="215">
        <f t="shared" si="4"/>
        <v>999</v>
      </c>
      <c r="N90" s="211"/>
      <c r="O90" s="95"/>
      <c r="P90" s="112">
        <f t="shared" si="5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2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3"/>
        <v>999</v>
      </c>
      <c r="M91" s="215">
        <f t="shared" si="4"/>
        <v>999</v>
      </c>
      <c r="N91" s="211"/>
      <c r="O91" s="95"/>
      <c r="P91" s="112">
        <f t="shared" si="5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2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3"/>
        <v>999</v>
      </c>
      <c r="M92" s="215">
        <f t="shared" si="4"/>
        <v>999</v>
      </c>
      <c r="N92" s="211"/>
      <c r="O92" s="95"/>
      <c r="P92" s="112">
        <f t="shared" si="5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2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3"/>
        <v>999</v>
      </c>
      <c r="M93" s="215">
        <f t="shared" si="4"/>
        <v>999</v>
      </c>
      <c r="N93" s="211"/>
      <c r="O93" s="95"/>
      <c r="P93" s="112">
        <f t="shared" si="5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2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3"/>
        <v>999</v>
      </c>
      <c r="M94" s="215">
        <f t="shared" si="4"/>
        <v>999</v>
      </c>
      <c r="N94" s="211"/>
      <c r="O94" s="95"/>
      <c r="P94" s="112">
        <f t="shared" si="5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2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3"/>
        <v>999</v>
      </c>
      <c r="M95" s="215">
        <f t="shared" si="4"/>
        <v>999</v>
      </c>
      <c r="N95" s="211"/>
      <c r="O95" s="95"/>
      <c r="P95" s="112">
        <f t="shared" si="5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2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3"/>
        <v>999</v>
      </c>
      <c r="M96" s="215">
        <f t="shared" si="4"/>
        <v>999</v>
      </c>
      <c r="N96" s="211"/>
      <c r="O96" s="95"/>
      <c r="P96" s="112">
        <f t="shared" si="5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2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3"/>
        <v>999</v>
      </c>
      <c r="M97" s="215">
        <f t="shared" si="4"/>
        <v>999</v>
      </c>
      <c r="N97" s="211"/>
      <c r="O97" s="95"/>
      <c r="P97" s="112">
        <f t="shared" si="5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2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3"/>
        <v>999</v>
      </c>
      <c r="M98" s="215">
        <f t="shared" si="4"/>
        <v>999</v>
      </c>
      <c r="N98" s="211"/>
      <c r="O98" s="95"/>
      <c r="P98" s="112">
        <f t="shared" si="5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2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3"/>
        <v>999</v>
      </c>
      <c r="M99" s="215">
        <f t="shared" si="4"/>
        <v>999</v>
      </c>
      <c r="N99" s="211"/>
      <c r="O99" s="95"/>
      <c r="P99" s="112">
        <f t="shared" si="5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2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3"/>
        <v>999</v>
      </c>
      <c r="M100" s="215">
        <f t="shared" si="4"/>
        <v>999</v>
      </c>
      <c r="N100" s="211"/>
      <c r="O100" s="95"/>
      <c r="P100" s="112">
        <f t="shared" si="5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2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ref="L101:L134" si="6">IF(Q101="",999,Q101)</f>
        <v>999</v>
      </c>
      <c r="M101" s="215">
        <f t="shared" ref="M101:M134" si="7">IF(P101=999,999,1)</f>
        <v>999</v>
      </c>
      <c r="N101" s="211"/>
      <c r="O101" s="95"/>
      <c r="P101" s="112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2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6"/>
        <v>999</v>
      </c>
      <c r="M102" s="215">
        <f t="shared" si="7"/>
        <v>999</v>
      </c>
      <c r="N102" s="211"/>
      <c r="O102" s="95"/>
      <c r="P102" s="112">
        <f t="shared" si="8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2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6"/>
        <v>999</v>
      </c>
      <c r="M103" s="215">
        <f t="shared" si="7"/>
        <v>999</v>
      </c>
      <c r="N103" s="211"/>
      <c r="O103" s="95"/>
      <c r="P103" s="112">
        <f t="shared" si="8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2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si="6"/>
        <v>999</v>
      </c>
      <c r="M104" s="215">
        <f t="shared" si="7"/>
        <v>999</v>
      </c>
      <c r="N104" s="211"/>
      <c r="O104" s="95"/>
      <c r="P104" s="112">
        <f t="shared" si="8"/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2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6"/>
        <v>999</v>
      </c>
      <c r="M105" s="215">
        <f t="shared" si="7"/>
        <v>999</v>
      </c>
      <c r="N105" s="211"/>
      <c r="O105" s="95"/>
      <c r="P105" s="112">
        <f t="shared" si="8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2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6"/>
        <v>999</v>
      </c>
      <c r="M106" s="215">
        <f t="shared" si="7"/>
        <v>999</v>
      </c>
      <c r="N106" s="211"/>
      <c r="O106" s="95"/>
      <c r="P106" s="112">
        <f t="shared" si="8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2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6"/>
        <v>999</v>
      </c>
      <c r="M107" s="215">
        <f t="shared" si="7"/>
        <v>999</v>
      </c>
      <c r="N107" s="211"/>
      <c r="O107" s="95"/>
      <c r="P107" s="112">
        <f t="shared" si="8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2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6"/>
        <v>999</v>
      </c>
      <c r="M108" s="215">
        <f t="shared" si="7"/>
        <v>999</v>
      </c>
      <c r="N108" s="211"/>
      <c r="O108" s="95"/>
      <c r="P108" s="112">
        <f t="shared" si="8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2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6"/>
        <v>999</v>
      </c>
      <c r="M109" s="215">
        <f t="shared" si="7"/>
        <v>999</v>
      </c>
      <c r="N109" s="211"/>
      <c r="O109" s="95"/>
      <c r="P109" s="112">
        <f t="shared" si="8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2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6"/>
        <v>999</v>
      </c>
      <c r="M110" s="215">
        <f t="shared" si="7"/>
        <v>999</v>
      </c>
      <c r="N110" s="211"/>
      <c r="O110" s="95"/>
      <c r="P110" s="112">
        <f t="shared" si="8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2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6"/>
        <v>999</v>
      </c>
      <c r="M111" s="215">
        <f t="shared" si="7"/>
        <v>999</v>
      </c>
      <c r="N111" s="211"/>
      <c r="O111" s="95"/>
      <c r="P111" s="112">
        <f t="shared" si="8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2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6"/>
        <v>999</v>
      </c>
      <c r="M112" s="215">
        <f t="shared" si="7"/>
        <v>999</v>
      </c>
      <c r="N112" s="211"/>
      <c r="O112" s="95"/>
      <c r="P112" s="112">
        <f t="shared" si="8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2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6"/>
        <v>999</v>
      </c>
      <c r="M113" s="215">
        <f t="shared" si="7"/>
        <v>999</v>
      </c>
      <c r="N113" s="211"/>
      <c r="O113" s="95"/>
      <c r="P113" s="112">
        <f t="shared" si="8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2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6"/>
        <v>999</v>
      </c>
      <c r="M114" s="215">
        <f t="shared" si="7"/>
        <v>999</v>
      </c>
      <c r="N114" s="211"/>
      <c r="O114" s="95"/>
      <c r="P114" s="112">
        <f t="shared" si="8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2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6"/>
        <v>999</v>
      </c>
      <c r="M115" s="215">
        <f t="shared" si="7"/>
        <v>999</v>
      </c>
      <c r="N115" s="211"/>
      <c r="O115" s="95"/>
      <c r="P115" s="112">
        <f t="shared" si="8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2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6"/>
        <v>999</v>
      </c>
      <c r="M116" s="215">
        <f t="shared" si="7"/>
        <v>999</v>
      </c>
      <c r="N116" s="211"/>
      <c r="O116" s="95"/>
      <c r="P116" s="112">
        <f t="shared" si="8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2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6"/>
        <v>999</v>
      </c>
      <c r="M117" s="215">
        <f t="shared" si="7"/>
        <v>999</v>
      </c>
      <c r="N117" s="211"/>
      <c r="O117" s="95"/>
      <c r="P117" s="112">
        <f t="shared" si="8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2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6"/>
        <v>999</v>
      </c>
      <c r="M118" s="215">
        <f t="shared" si="7"/>
        <v>999</v>
      </c>
      <c r="N118" s="211"/>
      <c r="O118" s="95"/>
      <c r="P118" s="112">
        <f t="shared" si="8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2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6"/>
        <v>999</v>
      </c>
      <c r="M119" s="215">
        <f t="shared" si="7"/>
        <v>999</v>
      </c>
      <c r="N119" s="211"/>
      <c r="O119" s="95"/>
      <c r="P119" s="112">
        <f t="shared" si="8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2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6"/>
        <v>999</v>
      </c>
      <c r="M120" s="215">
        <f t="shared" si="7"/>
        <v>999</v>
      </c>
      <c r="N120" s="211"/>
      <c r="O120" s="95"/>
      <c r="P120" s="112">
        <f t="shared" si="8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2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6"/>
        <v>999</v>
      </c>
      <c r="M121" s="215">
        <f t="shared" si="7"/>
        <v>999</v>
      </c>
      <c r="N121" s="211"/>
      <c r="O121" s="95"/>
      <c r="P121" s="112">
        <f t="shared" si="8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2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6"/>
        <v>999</v>
      </c>
      <c r="M122" s="215">
        <f t="shared" si="7"/>
        <v>999</v>
      </c>
      <c r="N122" s="211"/>
      <c r="O122" s="95"/>
      <c r="P122" s="112">
        <f t="shared" si="8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2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6"/>
        <v>999</v>
      </c>
      <c r="M123" s="215">
        <f t="shared" si="7"/>
        <v>999</v>
      </c>
      <c r="N123" s="211"/>
      <c r="O123" s="95"/>
      <c r="P123" s="112">
        <f t="shared" si="8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2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6"/>
        <v>999</v>
      </c>
      <c r="M124" s="215">
        <f t="shared" si="7"/>
        <v>999</v>
      </c>
      <c r="N124" s="211"/>
      <c r="O124" s="95"/>
      <c r="P124" s="112">
        <f t="shared" si="8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2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6"/>
        <v>999</v>
      </c>
      <c r="M125" s="215">
        <f t="shared" si="7"/>
        <v>999</v>
      </c>
      <c r="N125" s="211"/>
      <c r="O125" s="95"/>
      <c r="P125" s="112">
        <f t="shared" si="8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2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6"/>
        <v>999</v>
      </c>
      <c r="M126" s="215">
        <f t="shared" si="7"/>
        <v>999</v>
      </c>
      <c r="N126" s="211"/>
      <c r="O126" s="95"/>
      <c r="P126" s="112">
        <f t="shared" si="8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2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6"/>
        <v>999</v>
      </c>
      <c r="M127" s="215">
        <f t="shared" si="7"/>
        <v>999</v>
      </c>
      <c r="N127" s="211"/>
      <c r="O127" s="95"/>
      <c r="P127" s="112">
        <f t="shared" si="8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2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6"/>
        <v>999</v>
      </c>
      <c r="M128" s="215">
        <f t="shared" si="7"/>
        <v>999</v>
      </c>
      <c r="N128" s="211"/>
      <c r="O128" s="95"/>
      <c r="P128" s="112">
        <f t="shared" si="8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2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6"/>
        <v>999</v>
      </c>
      <c r="M129" s="215">
        <f t="shared" si="7"/>
        <v>999</v>
      </c>
      <c r="N129" s="211"/>
      <c r="O129" s="95"/>
      <c r="P129" s="112">
        <f t="shared" si="8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2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6"/>
        <v>999</v>
      </c>
      <c r="M130" s="215">
        <f t="shared" si="7"/>
        <v>999</v>
      </c>
      <c r="N130" s="211"/>
      <c r="O130" s="95"/>
      <c r="P130" s="112">
        <f t="shared" si="8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2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6"/>
        <v>999</v>
      </c>
      <c r="M131" s="215">
        <f t="shared" si="7"/>
        <v>999</v>
      </c>
      <c r="N131" s="211"/>
      <c r="O131" s="95"/>
      <c r="P131" s="112">
        <f t="shared" si="8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2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6"/>
        <v>999</v>
      </c>
      <c r="M132" s="215">
        <f t="shared" si="7"/>
        <v>999</v>
      </c>
      <c r="N132" s="211"/>
      <c r="O132" s="95"/>
      <c r="P132" s="112">
        <f t="shared" si="8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2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6"/>
        <v>999</v>
      </c>
      <c r="M133" s="215">
        <f t="shared" si="7"/>
        <v>999</v>
      </c>
      <c r="N133" s="211"/>
      <c r="O133" s="95"/>
      <c r="P133" s="112">
        <f t="shared" si="8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2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6"/>
        <v>999</v>
      </c>
      <c r="M134" s="215">
        <f t="shared" si="7"/>
        <v>999</v>
      </c>
      <c r="N134" s="211"/>
      <c r="O134" s="216"/>
      <c r="P134" s="217">
        <f t="shared" si="8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2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ref="L135:L156" si="9">IF(Q135="",999,Q135)</f>
        <v>999</v>
      </c>
      <c r="M135" s="215">
        <f t="shared" ref="M135:M156" si="10">IF(P135=999,999,1)</f>
        <v>999</v>
      </c>
      <c r="N135" s="211"/>
      <c r="O135" s="95"/>
      <c r="P135" s="112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2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9"/>
        <v>999</v>
      </c>
      <c r="M136" s="215">
        <f t="shared" si="10"/>
        <v>999</v>
      </c>
      <c r="N136" s="211"/>
      <c r="O136" s="95"/>
      <c r="P136" s="112">
        <f t="shared" si="11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2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9"/>
        <v>999</v>
      </c>
      <c r="M137" s="215">
        <f t="shared" si="10"/>
        <v>999</v>
      </c>
      <c r="N137" s="211"/>
      <c r="O137" s="95"/>
      <c r="P137" s="112">
        <f t="shared" si="11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2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9"/>
        <v>999</v>
      </c>
      <c r="M138" s="215">
        <f t="shared" si="10"/>
        <v>999</v>
      </c>
      <c r="N138" s="211"/>
      <c r="O138" s="95"/>
      <c r="P138" s="112">
        <f t="shared" si="11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2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9"/>
        <v>999</v>
      </c>
      <c r="M139" s="215">
        <f t="shared" si="10"/>
        <v>999</v>
      </c>
      <c r="N139" s="211"/>
      <c r="O139" s="95"/>
      <c r="P139" s="112">
        <f t="shared" si="11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2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9"/>
        <v>999</v>
      </c>
      <c r="M140" s="215">
        <f t="shared" si="10"/>
        <v>999</v>
      </c>
      <c r="N140" s="211"/>
      <c r="O140" s="95"/>
      <c r="P140" s="112">
        <f t="shared" si="11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2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9"/>
        <v>999</v>
      </c>
      <c r="M141" s="215">
        <f t="shared" si="10"/>
        <v>999</v>
      </c>
      <c r="N141" s="211"/>
      <c r="O141" s="216"/>
      <c r="P141" s="217">
        <f t="shared" si="11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2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9"/>
        <v>999</v>
      </c>
      <c r="M142" s="215">
        <f t="shared" si="10"/>
        <v>999</v>
      </c>
      <c r="N142" s="211"/>
      <c r="O142" s="95"/>
      <c r="P142" s="112">
        <f t="shared" si="11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2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9"/>
        <v>999</v>
      </c>
      <c r="M143" s="215">
        <f t="shared" si="10"/>
        <v>999</v>
      </c>
      <c r="N143" s="211"/>
      <c r="O143" s="95"/>
      <c r="P143" s="112">
        <f t="shared" si="11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2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9"/>
        <v>999</v>
      </c>
      <c r="M144" s="215">
        <f t="shared" si="10"/>
        <v>999</v>
      </c>
      <c r="N144" s="211"/>
      <c r="O144" s="95"/>
      <c r="P144" s="112">
        <f t="shared" si="11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2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9"/>
        <v>999</v>
      </c>
      <c r="M145" s="215">
        <f t="shared" si="10"/>
        <v>999</v>
      </c>
      <c r="N145" s="211"/>
      <c r="O145" s="95"/>
      <c r="P145" s="112">
        <f t="shared" si="11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2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9"/>
        <v>999</v>
      </c>
      <c r="M146" s="215">
        <f t="shared" si="10"/>
        <v>999</v>
      </c>
      <c r="N146" s="211"/>
      <c r="O146" s="95"/>
      <c r="P146" s="112">
        <f t="shared" si="11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2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9"/>
        <v>999</v>
      </c>
      <c r="M147" s="215">
        <f t="shared" si="10"/>
        <v>999</v>
      </c>
      <c r="N147" s="211"/>
      <c r="O147" s="95"/>
      <c r="P147" s="112">
        <f t="shared" si="11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2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9"/>
        <v>999</v>
      </c>
      <c r="M148" s="215">
        <f t="shared" si="10"/>
        <v>999</v>
      </c>
      <c r="N148" s="211"/>
      <c r="O148" s="216"/>
      <c r="P148" s="217">
        <f t="shared" si="11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2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9"/>
        <v>999</v>
      </c>
      <c r="M149" s="215">
        <f t="shared" si="10"/>
        <v>999</v>
      </c>
      <c r="N149" s="211"/>
      <c r="O149" s="95"/>
      <c r="P149" s="112">
        <f t="shared" si="11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2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9"/>
        <v>999</v>
      </c>
      <c r="M150" s="215">
        <f t="shared" si="10"/>
        <v>999</v>
      </c>
      <c r="N150" s="211"/>
      <c r="O150" s="95"/>
      <c r="P150" s="112">
        <f t="shared" si="11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2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9"/>
        <v>999</v>
      </c>
      <c r="M151" s="215">
        <f t="shared" si="10"/>
        <v>999</v>
      </c>
      <c r="N151" s="211"/>
      <c r="O151" s="95"/>
      <c r="P151" s="112">
        <f t="shared" si="11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2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9"/>
        <v>999</v>
      </c>
      <c r="M152" s="215">
        <f t="shared" si="10"/>
        <v>999</v>
      </c>
      <c r="N152" s="211"/>
      <c r="O152" s="95"/>
      <c r="P152" s="112">
        <f t="shared" si="11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2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9"/>
        <v>999</v>
      </c>
      <c r="M153" s="215">
        <f t="shared" si="10"/>
        <v>999</v>
      </c>
      <c r="N153" s="211"/>
      <c r="O153" s="95"/>
      <c r="P153" s="112">
        <f t="shared" si="11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2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9"/>
        <v>999</v>
      </c>
      <c r="M154" s="215">
        <f t="shared" si="10"/>
        <v>999</v>
      </c>
      <c r="N154" s="211"/>
      <c r="O154" s="95"/>
      <c r="P154" s="112">
        <f t="shared" si="11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2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9"/>
        <v>999</v>
      </c>
      <c r="M155" s="215">
        <f t="shared" si="10"/>
        <v>999</v>
      </c>
      <c r="N155" s="211"/>
      <c r="O155" s="95"/>
      <c r="P155" s="112">
        <f t="shared" si="11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2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9"/>
        <v>999</v>
      </c>
      <c r="M156" s="215">
        <f t="shared" si="10"/>
        <v>999</v>
      </c>
      <c r="N156" s="211"/>
      <c r="O156" s="95"/>
      <c r="P156" s="112">
        <f t="shared" si="11"/>
        <v>999</v>
      </c>
      <c r="Q156" s="95"/>
    </row>
  </sheetData>
  <phoneticPr fontId="61" type="noConversion"/>
  <conditionalFormatting sqref="A7:A11 A12:D156">
    <cfRule type="expression" dxfId="126" priority="19" stopIfTrue="1">
      <formula>$Q7&gt;=1</formula>
    </cfRule>
  </conditionalFormatting>
  <conditionalFormatting sqref="B8:D8">
    <cfRule type="expression" dxfId="125" priority="1" stopIfTrue="1">
      <formula>$S8&gt;=1</formula>
    </cfRule>
  </conditionalFormatting>
  <conditionalFormatting sqref="B12:D37">
    <cfRule type="expression" dxfId="124" priority="2" stopIfTrue="1">
      <formula>$Q12&gt;=1</formula>
    </cfRule>
  </conditionalFormatting>
  <conditionalFormatting sqref="E7:E14">
    <cfRule type="expression" dxfId="123" priority="7" stopIfTrue="1">
      <formula>AND(ROUNDDOWN(($A$4-E7)/365.25,0)&lt;=13,G7&lt;&gt;"OK")</formula>
    </cfRule>
    <cfRule type="expression" dxfId="122" priority="8" stopIfTrue="1">
      <formula>AND(ROUNDDOWN(($A$4-E7)/365.25,0)&lt;=14,G7&lt;&gt;"OK")</formula>
    </cfRule>
    <cfRule type="expression" dxfId="121" priority="9" stopIfTrue="1">
      <formula>AND(ROUNDDOWN(($A$4-E7)/365.25,0)&lt;=17,G7&lt;&gt;"OK")</formula>
    </cfRule>
    <cfRule type="expression" dxfId="120" priority="12" stopIfTrue="1">
      <formula>AND(ROUNDDOWN(($A$4-E7)/365.25,0)&lt;=13,G7&lt;&gt;"OK")</formula>
    </cfRule>
    <cfRule type="expression" dxfId="119" priority="13" stopIfTrue="1">
      <formula>AND(ROUNDDOWN(($A$4-E7)/365.25,0)&lt;=14,G7&lt;&gt;"OK")</formula>
    </cfRule>
    <cfRule type="expression" dxfId="118" priority="14" stopIfTrue="1">
      <formula>AND(ROUNDDOWN(($A$4-E7)/365.25,0)&lt;=17,G7&lt;&gt;"OK")</formula>
    </cfRule>
  </conditionalFormatting>
  <conditionalFormatting sqref="E7:E27 E29:E37">
    <cfRule type="expression" dxfId="117" priority="3" stopIfTrue="1">
      <formula>AND(ROUNDDOWN(($A$4-E7)/365.25,0)&lt;=13,G7&lt;&gt;"OK")</formula>
    </cfRule>
    <cfRule type="expression" dxfId="116" priority="4" stopIfTrue="1">
      <formula>AND(ROUNDDOWN(($A$4-E7)/365.25,0)&lt;=14,G7&lt;&gt;"OK")</formula>
    </cfRule>
    <cfRule type="expression" dxfId="115" priority="5" stopIfTrue="1">
      <formula>AND(ROUNDDOWN(($A$4-E7)/365.25,0)&lt;=17,G7&lt;&gt;"OK")</formula>
    </cfRule>
  </conditionalFormatting>
  <conditionalFormatting sqref="E7:E156">
    <cfRule type="expression" dxfId="114" priority="15" stopIfTrue="1">
      <formula>AND(ROUNDDOWN(($A$4-E7)/365.25,0)&lt;=13,G7&lt;&gt;"OK")</formula>
    </cfRule>
    <cfRule type="expression" dxfId="113" priority="16" stopIfTrue="1">
      <formula>AND(ROUNDDOWN(($A$4-E7)/365.25,0)&lt;=14,G7&lt;&gt;"OK")</formula>
    </cfRule>
    <cfRule type="expression" dxfId="112" priority="17" stopIfTrue="1">
      <formula>AND(ROUNDDOWN(($A$4-E7)/365.25,0)&lt;=17,G7&lt;&gt;"OK")</formula>
    </cfRule>
  </conditionalFormatting>
  <conditionalFormatting sqref="J7:J156">
    <cfRule type="cellIs" dxfId="111" priority="11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>
    <tabColor indexed="11"/>
  </sheetPr>
  <dimension ref="A1:AK47"/>
  <sheetViews>
    <sheetView topLeftCell="A13" workbookViewId="0">
      <selection activeCell="O28" sqref="O2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30" t="str">
        <f>Altalanos!$A$8</f>
        <v>Lány 1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49">
        <f>IF(H4="OB","A",IF(H4="IX","W",H4))</f>
        <v>0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39" t="s">
        <v>78</v>
      </c>
      <c r="P5" s="340" t="s">
        <v>84</v>
      </c>
      <c r="R5" s="339" t="s">
        <v>78</v>
      </c>
      <c r="S5" s="400" t="s">
        <v>110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1" t="s">
        <v>85</v>
      </c>
      <c r="P6" s="342" t="s">
        <v>80</v>
      </c>
      <c r="R6" s="341" t="s">
        <v>85</v>
      </c>
      <c r="S6" s="401" t="s">
        <v>111</v>
      </c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5</v>
      </c>
      <c r="C7" s="298">
        <f>IF($B7="","",VLOOKUP($B7,'Lány 1 kcs. A ELO'!$A$7:$O$22,5))</f>
        <v>0</v>
      </c>
      <c r="D7" s="298">
        <f>IF($B7="","",VLOOKUP($B7,'Lány 1 kcs. A ELO'!$A$7:$O$22,15))</f>
        <v>0</v>
      </c>
      <c r="E7" s="294" t="str">
        <f>UPPER(IF($B7="","",VLOOKUP($B7,'Lány 1 kcs. A ELO'!$A$7:$O$22,2)))</f>
        <v>VARGA</v>
      </c>
      <c r="F7" s="297"/>
      <c r="G7" s="294" t="str">
        <f>IF($B7="","",VLOOKUP($B7,'Lány 1 kcs. A ELO'!$A$7:$O$22,3))</f>
        <v>Virág</v>
      </c>
      <c r="H7" s="297"/>
      <c r="I7" s="294" t="str">
        <f>IF($B7="","",VLOOKUP($B7,'Lány 1 kcs. A ELO'!$A$7:$O$22,4))</f>
        <v xml:space="preserve">Zalaegerszegi Dózsa György Magyar-Angol Két Tanítási Nyelvű Általános Iskola </v>
      </c>
      <c r="J7" s="274"/>
      <c r="K7" s="360"/>
      <c r="L7" s="351" t="str">
        <f>IF(K7="","",CONCATENATE(VLOOKUP($Y$3,$AB$1:$AK$1,K7)," pont"))</f>
        <v/>
      </c>
      <c r="M7" s="361"/>
      <c r="O7" s="343" t="s">
        <v>86</v>
      </c>
      <c r="P7" s="344" t="s">
        <v>82</v>
      </c>
      <c r="R7" s="343" t="s">
        <v>86</v>
      </c>
      <c r="S7" s="402" t="s">
        <v>87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3</v>
      </c>
      <c r="C9" s="298">
        <f>IF($B9="","",VLOOKUP($B9,'Lány 1 kcs. A ELO'!$A$7:$O$22,5))</f>
        <v>0</v>
      </c>
      <c r="D9" s="298">
        <f>IF($B9="","",VLOOKUP($B9,'Lány 1 kcs. A ELO'!$A$7:$O$22,15))</f>
        <v>0</v>
      </c>
      <c r="E9" s="293" t="str">
        <f>UPPER(IF($B9="","",VLOOKUP($B9,'Lány 1 kcs. A ELO'!$A$7:$O$22,2)))</f>
        <v xml:space="preserve">VARGA </v>
      </c>
      <c r="F9" s="299"/>
      <c r="G9" s="293" t="str">
        <f>IF($B9="","",VLOOKUP($B9,'Lány 1 kcs. A ELO'!$A$7:$O$22,3))</f>
        <v>Veronika</v>
      </c>
      <c r="H9" s="299"/>
      <c r="I9" s="293" t="str">
        <f>IF($B9="","",VLOOKUP($B9,'Lány 1 kcs. A ELO'!$A$7:$O$22,4))</f>
        <v>Szent Imre Katolikus Gimnázium, Két Tanítási Nyelvű Általános Iskola, Kollégium, Óvoda és Alapfokú Művészeti Iskola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2</v>
      </c>
      <c r="C11" s="298">
        <f>IF($B11="","",VLOOKUP($B11,'Lány 1 kcs. A ELO'!$A$7:$O$22,5))</f>
        <v>0</v>
      </c>
      <c r="D11" s="298">
        <f>IF($B11="","",VLOOKUP($B11,'Lány 1 kcs. A ELO'!$A$7:$O$22,15))</f>
        <v>0</v>
      </c>
      <c r="E11" s="293" t="str">
        <f>UPPER(IF($B11="","",VLOOKUP($B11,'Lány 1 kcs. A ELO'!$A$7:$O$22,2)))</f>
        <v>VISZLÓ</v>
      </c>
      <c r="F11" s="299"/>
      <c r="G11" s="293" t="str">
        <f>IF($B11="","",VLOOKUP($B11,'Lány 1 kcs. A ELO'!$A$7:$O$22,3))</f>
        <v>Tímea</v>
      </c>
      <c r="H11" s="299"/>
      <c r="I11" s="293" t="str">
        <f>IF($B11="","",VLOOKUP($B11,'Lány 1 kcs. A ELO'!$A$7:$O$22,4))</f>
        <v>Szfvári II. Rákóczi F. Ált Isk.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32" t="s">
        <v>71</v>
      </c>
      <c r="B13" s="345">
        <v>4</v>
      </c>
      <c r="C13" s="298">
        <f>IF($B13="","",VLOOKUP($B13,'Lány 1 kcs. A ELO'!$A$7:$O$22,5))</f>
        <v>0</v>
      </c>
      <c r="D13" s="298">
        <f>IF($B13="","",VLOOKUP($B13,'Lány 1 kcs. A ELO'!$A$7:$O$22,15))</f>
        <v>0</v>
      </c>
      <c r="E13" s="294" t="str">
        <f>UPPER(IF($B13="","",VLOOKUP($B13,'Lány 1 kcs. A ELO'!$A$7:$O$22,2)))</f>
        <v>BÖDÖR</v>
      </c>
      <c r="F13" s="297"/>
      <c r="G13" s="294" t="str">
        <f>IF($B13="","",VLOOKUP($B13,'Lány 1 kcs. A ELO'!$A$7:$O$22,3))</f>
        <v>Maja</v>
      </c>
      <c r="H13" s="297"/>
      <c r="I13" s="294" t="str">
        <f>IF($B13="","",VLOOKUP($B13,'Lány 1 kcs. A ELO'!$A$7:$O$22,4))</f>
        <v>Zalaegerszegi Eötvös József Általános Iskola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1</v>
      </c>
      <c r="C15" s="298">
        <f>IF($B15="","",VLOOKUP($B15,'Lány 1 kcs. A ELO'!$A$7:$O$22,5))</f>
        <v>0</v>
      </c>
      <c r="D15" s="298">
        <f>IF($B15="","",VLOOKUP($B15,'Lány 1 kcs. A ELO'!$A$7:$O$22,15))</f>
        <v>0</v>
      </c>
      <c r="E15" s="293" t="str">
        <f>UPPER(IF($B15="","",VLOOKUP($B15,'Lány 1 kcs. A ELO'!$A$7:$O$22,2)))</f>
        <v xml:space="preserve">BAGDI </v>
      </c>
      <c r="F15" s="299"/>
      <c r="G15" s="293" t="str">
        <f>IF($B15="","",VLOOKUP($B15,'Lány 1 kcs. A ELO'!$A$7:$O$22,3))</f>
        <v>Sára</v>
      </c>
      <c r="H15" s="299"/>
      <c r="I15" s="293" t="str">
        <f>IF($B15="","",VLOOKUP($B15,'Lány 1 kcs. A ELO'!$A$7:$O$22,4))</f>
        <v>Gyula Implom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6</v>
      </c>
      <c r="C17" s="298">
        <f>IF($B17="","",VLOOKUP($B17,'Lány 1 kcs. A ELO'!$A$7:$O$22,5))</f>
        <v>0</v>
      </c>
      <c r="D17" s="298">
        <f>IF($B17="","",VLOOKUP($B17,'Lány 1 kcs. A ELO'!$A$7:$O$22,15))</f>
        <v>0</v>
      </c>
      <c r="E17" s="293" t="str">
        <f>UPPER(IF($B17="","",VLOOKUP($B17,'Lány 1 kcs. A ELO'!$A$7:$O$22,2)))</f>
        <v xml:space="preserve">SZILVÁSI </v>
      </c>
      <c r="F17" s="299"/>
      <c r="G17" s="293" t="str">
        <f>IF($B17="","",VLOOKUP($B17,'Lány 1 kcs. A ELO'!$A$7:$O$22,3))</f>
        <v>Emili</v>
      </c>
      <c r="H17" s="299"/>
      <c r="I17" s="293" t="str">
        <f>IF($B17="","",VLOOKUP($B17,'Lány 1 kcs. A ELO'!$A$7:$O$22,4))</f>
        <v>Kecskeméti Vásárhelyi Pál Általános Iskola és Alapfokú Művészeti Iskola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47" t="str">
        <f>E7</f>
        <v>VARGA</v>
      </c>
      <c r="E22" s="447"/>
      <c r="F22" s="447" t="str">
        <f>E9</f>
        <v xml:space="preserve">VARGA </v>
      </c>
      <c r="G22" s="447"/>
      <c r="H22" s="447" t="str">
        <f>E11</f>
        <v>VISZLÓ</v>
      </c>
      <c r="I22" s="447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>VARGA</v>
      </c>
      <c r="C23" s="450"/>
      <c r="D23" s="451"/>
      <c r="E23" s="451"/>
      <c r="F23" s="448" t="s">
        <v>301</v>
      </c>
      <c r="G23" s="449"/>
      <c r="H23" s="448" t="s">
        <v>312</v>
      </c>
      <c r="I23" s="449"/>
      <c r="J23" s="274"/>
      <c r="K23" s="274"/>
      <c r="L23" s="274"/>
      <c r="M23" s="334">
        <v>1</v>
      </c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 xml:space="preserve">VARGA </v>
      </c>
      <c r="C24" s="450"/>
      <c r="D24" s="448" t="s">
        <v>366</v>
      </c>
      <c r="E24" s="449"/>
      <c r="F24" s="451"/>
      <c r="G24" s="451"/>
      <c r="H24" s="448" t="s">
        <v>297</v>
      </c>
      <c r="I24" s="449"/>
      <c r="J24" s="274"/>
      <c r="K24" s="274"/>
      <c r="L24" s="274"/>
      <c r="M24" s="334">
        <v>2</v>
      </c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>VISZLÓ</v>
      </c>
      <c r="C25" s="450"/>
      <c r="D25" s="448" t="s">
        <v>313</v>
      </c>
      <c r="E25" s="449"/>
      <c r="F25" s="448" t="s">
        <v>298</v>
      </c>
      <c r="G25" s="449"/>
      <c r="H25" s="451"/>
      <c r="I25" s="45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437"/>
      <c r="E26" s="437"/>
      <c r="F26" s="437"/>
      <c r="G26" s="437"/>
      <c r="H26" s="437"/>
      <c r="I26" s="437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52" t="str">
        <f>E13</f>
        <v>BÖDÖR</v>
      </c>
      <c r="E27" s="452"/>
      <c r="F27" s="452" t="str">
        <f>E15</f>
        <v xml:space="preserve">BAGDI </v>
      </c>
      <c r="G27" s="452"/>
      <c r="H27" s="452" t="str">
        <f>E17</f>
        <v xml:space="preserve">SZILVÁSI </v>
      </c>
      <c r="I27" s="452"/>
      <c r="J27" s="274"/>
      <c r="K27" s="274"/>
      <c r="L27" s="274"/>
      <c r="M27" s="335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31" t="s">
        <v>71</v>
      </c>
      <c r="B28" s="450" t="str">
        <f>E13</f>
        <v>BÖDÖR</v>
      </c>
      <c r="C28" s="450"/>
      <c r="D28" s="451"/>
      <c r="E28" s="451"/>
      <c r="F28" s="448" t="s">
        <v>307</v>
      </c>
      <c r="G28" s="449"/>
      <c r="H28" s="448" t="s">
        <v>305</v>
      </c>
      <c r="I28" s="449"/>
      <c r="J28" s="274"/>
      <c r="K28" s="274"/>
      <c r="L28" s="274"/>
      <c r="M28" s="334">
        <v>1</v>
      </c>
    </row>
    <row r="29" spans="1:37" ht="18.75" customHeight="1" x14ac:dyDescent="0.25">
      <c r="A29" s="331" t="s">
        <v>72</v>
      </c>
      <c r="B29" s="450" t="str">
        <f>E15</f>
        <v xml:space="preserve">BAGDI </v>
      </c>
      <c r="C29" s="450"/>
      <c r="D29" s="448" t="s">
        <v>308</v>
      </c>
      <c r="E29" s="449"/>
      <c r="F29" s="451"/>
      <c r="G29" s="451"/>
      <c r="H29" s="448" t="s">
        <v>298</v>
      </c>
      <c r="I29" s="449"/>
      <c r="J29" s="274"/>
      <c r="K29" s="274"/>
      <c r="L29" s="274"/>
      <c r="M29" s="334"/>
    </row>
    <row r="30" spans="1:37" ht="18.75" customHeight="1" x14ac:dyDescent="0.25">
      <c r="A30" s="331" t="s">
        <v>73</v>
      </c>
      <c r="B30" s="450" t="str">
        <f>E17</f>
        <v xml:space="preserve">SZILVÁSI </v>
      </c>
      <c r="C30" s="450"/>
      <c r="D30" s="448" t="s">
        <v>306</v>
      </c>
      <c r="E30" s="449"/>
      <c r="F30" s="448" t="s">
        <v>297</v>
      </c>
      <c r="G30" s="449"/>
      <c r="H30" s="451"/>
      <c r="I30" s="451"/>
      <c r="J30" s="274"/>
      <c r="K30" s="274"/>
      <c r="L30" s="274"/>
      <c r="M30" s="334">
        <v>2</v>
      </c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55" t="str">
        <f>IF(M23=1,B23,IF(M24=1,B24,IF(M25=1,B25,"")))</f>
        <v>VARGA</v>
      </c>
      <c r="D32" s="455"/>
      <c r="E32" s="304" t="s">
        <v>75</v>
      </c>
      <c r="F32" s="456" t="str">
        <f>IF(M28=1,B28,IF(M29=1,B29,IF(M30=1,B30,"")))</f>
        <v>BÖDÖR</v>
      </c>
      <c r="G32" s="456"/>
      <c r="H32" s="274"/>
      <c r="I32" s="441" t="s">
        <v>321</v>
      </c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55" t="str">
        <f>IF(M23=2,B23,IF(M24=2,B24,IF(M25=2,B25,"")))</f>
        <v xml:space="preserve">VARGA </v>
      </c>
      <c r="D34" s="455"/>
      <c r="E34" s="304" t="s">
        <v>75</v>
      </c>
      <c r="F34" s="455" t="str">
        <f>IF(M28=2,B28,IF(M29=2,B29,IF(M30=2,B30,"")))</f>
        <v xml:space="preserve">SZILVÁSI </v>
      </c>
      <c r="G34" s="455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55" t="str">
        <f>IF(M23=3,B23,IF(M24=3,B24,IF(M25=3,B25,"")))</f>
        <v/>
      </c>
      <c r="D36" s="455"/>
      <c r="E36" s="304" t="s">
        <v>75</v>
      </c>
      <c r="F36" s="455" t="str">
        <f>IF(M28=3,B28,IF(M29=3,B29,IF(M30=3,B30,"")))</f>
        <v/>
      </c>
      <c r="G36" s="455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4" t="str">
        <f>IF(D40&gt;$R$47,,UPPER(VLOOKUP(D40,'Lány 1 kcs. A ELO'!$A$7:$Q$134,2)))</f>
        <v xml:space="preserve">BAGDI </v>
      </c>
      <c r="F40" s="454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53" t="str">
        <f>IF(D41&gt;$R$47,,UPPER(VLOOKUP(D41,'Lány 1 kcs. A ELO'!$A$7:$Q$134,2)))</f>
        <v>VISZLÓ</v>
      </c>
      <c r="F41" s="453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MIN(4,'Lány 1 kcs. A ELO'!Q5)</f>
        <v>4</v>
      </c>
    </row>
  </sheetData>
  <mergeCells count="42">
    <mergeCell ref="B28:C28"/>
    <mergeCell ref="D28:E28"/>
    <mergeCell ref="B29:C29"/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C32:D32"/>
    <mergeCell ref="F32:G32"/>
    <mergeCell ref="D27:E27"/>
    <mergeCell ref="F27:G27"/>
    <mergeCell ref="H30:I30"/>
    <mergeCell ref="D29:E29"/>
    <mergeCell ref="F29:G29"/>
    <mergeCell ref="H27:I27"/>
    <mergeCell ref="H24:I24"/>
    <mergeCell ref="F28:G28"/>
    <mergeCell ref="H28:I28"/>
    <mergeCell ref="H22:I22"/>
    <mergeCell ref="B23:C23"/>
    <mergeCell ref="D23:E23"/>
    <mergeCell ref="F23:G23"/>
    <mergeCell ref="H23:I23"/>
    <mergeCell ref="B25:C25"/>
    <mergeCell ref="D25:E25"/>
    <mergeCell ref="F25:G25"/>
    <mergeCell ref="B24:C24"/>
    <mergeCell ref="D24:E24"/>
    <mergeCell ref="F24:G24"/>
    <mergeCell ref="H25:I25"/>
    <mergeCell ref="B27:C27"/>
    <mergeCell ref="A1:F1"/>
    <mergeCell ref="A4:C4"/>
    <mergeCell ref="B22:C22"/>
    <mergeCell ref="D22:E22"/>
    <mergeCell ref="F22:G22"/>
  </mergeCells>
  <phoneticPr fontId="61" type="noConversion"/>
  <conditionalFormatting sqref="E7 E9 E11 E13 E15 E17">
    <cfRule type="cellIs" dxfId="110" priority="2" stopIfTrue="1" operator="equal">
      <formula>"Bye"</formula>
    </cfRule>
  </conditionalFormatting>
  <conditionalFormatting sqref="R47">
    <cfRule type="expression" dxfId="10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9" sqref="B9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75.44140625" style="40" bestFit="1" customWidth="1"/>
    <col min="5" max="5" width="10.6640625" style="386" customWidth="1"/>
    <col min="6" max="6" width="6.109375" style="91" hidden="1" customWidth="1"/>
    <col min="7" max="7" width="3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08" t="str">
        <f>Altalanos!$B$8</f>
        <v>Lány 1 kcs B</v>
      </c>
      <c r="D2" s="104"/>
      <c r="E2" s="201" t="s">
        <v>34</v>
      </c>
      <c r="F2" s="92"/>
      <c r="G2" s="92"/>
      <c r="H2" s="375"/>
      <c r="I2" s="375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69" t="s">
        <v>50</v>
      </c>
      <c r="B3" s="373"/>
      <c r="C3" s="373"/>
      <c r="D3" s="373"/>
      <c r="E3" s="373"/>
      <c r="F3" s="373"/>
      <c r="G3" s="373"/>
      <c r="H3" s="373"/>
      <c r="I3" s="374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88" t="s">
        <v>30</v>
      </c>
      <c r="I4" s="379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89"/>
      <c r="J5" s="111"/>
      <c r="K5" s="82"/>
      <c r="L5" s="82"/>
      <c r="M5" s="82"/>
      <c r="N5" s="111"/>
      <c r="O5" s="90"/>
      <c r="P5" s="90"/>
      <c r="Q5" s="397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76" t="s">
        <v>37</v>
      </c>
      <c r="I6" s="377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3" t="s">
        <v>135</v>
      </c>
      <c r="C7" s="411" t="s">
        <v>147</v>
      </c>
      <c r="D7" s="411" t="s">
        <v>148</v>
      </c>
      <c r="E7" s="204"/>
      <c r="F7" s="370"/>
      <c r="G7" s="371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3" t="s">
        <v>149</v>
      </c>
      <c r="C8" s="411" t="s">
        <v>150</v>
      </c>
      <c r="D8" s="411" t="s">
        <v>151</v>
      </c>
      <c r="E8" s="204"/>
      <c r="F8" s="372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1" t="s">
        <v>152</v>
      </c>
      <c r="C9" s="411" t="s">
        <v>153</v>
      </c>
      <c r="D9" s="411" t="s">
        <v>154</v>
      </c>
      <c r="E9" s="204"/>
      <c r="F9" s="372"/>
      <c r="G9" s="216"/>
      <c r="H9" s="94"/>
      <c r="I9" s="94"/>
      <c r="J9" s="188"/>
      <c r="K9" s="186"/>
      <c r="L9" s="190"/>
      <c r="M9" s="186"/>
      <c r="N9" s="183"/>
      <c r="O9" s="94"/>
      <c r="P9" s="381"/>
      <c r="Q9" s="211"/>
    </row>
    <row r="10" spans="1:17" s="11" customFormat="1" ht="18.899999999999999" customHeight="1" x14ac:dyDescent="0.3">
      <c r="A10" s="191">
        <v>4</v>
      </c>
      <c r="B10" s="411" t="s">
        <v>303</v>
      </c>
      <c r="C10" s="411" t="s">
        <v>155</v>
      </c>
      <c r="D10" s="411" t="s">
        <v>156</v>
      </c>
      <c r="E10" s="204"/>
      <c r="F10" s="372"/>
      <c r="G10" s="216"/>
      <c r="H10" s="94"/>
      <c r="I10" s="94"/>
      <c r="J10" s="188"/>
      <c r="K10" s="186"/>
      <c r="L10" s="190"/>
      <c r="M10" s="186"/>
      <c r="N10" s="183"/>
      <c r="O10" s="94"/>
      <c r="P10" s="380"/>
      <c r="Q10" s="378"/>
    </row>
    <row r="11" spans="1:17" s="11" customFormat="1" ht="18.899999999999999" customHeight="1" x14ac:dyDescent="0.3">
      <c r="A11" s="191">
        <v>5</v>
      </c>
      <c r="B11" s="411" t="s">
        <v>157</v>
      </c>
      <c r="C11" s="411" t="s">
        <v>158</v>
      </c>
      <c r="D11" s="411" t="s">
        <v>159</v>
      </c>
      <c r="E11" s="204"/>
      <c r="F11" s="372"/>
      <c r="G11" s="216"/>
      <c r="H11" s="94"/>
      <c r="I11" s="94"/>
      <c r="J11" s="188"/>
      <c r="K11" s="186"/>
      <c r="L11" s="190"/>
      <c r="M11" s="186"/>
      <c r="N11" s="183"/>
      <c r="O11" s="94"/>
      <c r="P11" s="380"/>
      <c r="Q11" s="378"/>
    </row>
    <row r="12" spans="1:17" s="11" customFormat="1" ht="18.899999999999999" customHeight="1" x14ac:dyDescent="0.3">
      <c r="A12" s="191">
        <v>6</v>
      </c>
      <c r="B12" s="411" t="s">
        <v>160</v>
      </c>
      <c r="C12" s="411" t="s">
        <v>161</v>
      </c>
      <c r="D12" s="411" t="s">
        <v>162</v>
      </c>
      <c r="E12" s="204"/>
      <c r="F12" s="372"/>
      <c r="G12" s="216"/>
      <c r="H12" s="94"/>
      <c r="I12" s="94"/>
      <c r="J12" s="188"/>
      <c r="K12" s="186"/>
      <c r="L12" s="190"/>
      <c r="M12" s="186"/>
      <c r="N12" s="183"/>
      <c r="O12" s="94"/>
      <c r="P12" s="380"/>
      <c r="Q12" s="378"/>
    </row>
    <row r="13" spans="1:17" s="11" customFormat="1" ht="18.899999999999999" customHeight="1" x14ac:dyDescent="0.3">
      <c r="A13" s="191">
        <v>7</v>
      </c>
      <c r="B13" s="411" t="s">
        <v>163</v>
      </c>
      <c r="C13" s="411" t="s">
        <v>164</v>
      </c>
      <c r="D13" s="411" t="s">
        <v>165</v>
      </c>
      <c r="E13" s="204"/>
      <c r="F13" s="372"/>
      <c r="G13" s="216"/>
      <c r="H13" s="94"/>
      <c r="I13" s="94"/>
      <c r="J13" s="188"/>
      <c r="K13" s="186"/>
      <c r="L13" s="190"/>
      <c r="M13" s="186"/>
      <c r="N13" s="183"/>
      <c r="O13" s="94"/>
      <c r="P13" s="380"/>
      <c r="Q13" s="378"/>
    </row>
    <row r="14" spans="1:17" s="11" customFormat="1" ht="18.899999999999999" customHeight="1" x14ac:dyDescent="0.3">
      <c r="A14" s="191">
        <v>8</v>
      </c>
      <c r="B14" s="419" t="s">
        <v>166</v>
      </c>
      <c r="C14" s="419" t="s">
        <v>167</v>
      </c>
      <c r="D14" s="419" t="s">
        <v>168</v>
      </c>
      <c r="E14" s="204"/>
      <c r="F14" s="372"/>
      <c r="G14" s="216"/>
      <c r="H14" s="94"/>
      <c r="I14" s="94"/>
      <c r="J14" s="188"/>
      <c r="K14" s="186"/>
      <c r="L14" s="190"/>
      <c r="M14" s="186"/>
      <c r="N14" s="183"/>
      <c r="O14" s="94"/>
      <c r="P14" s="380"/>
      <c r="Q14" s="378"/>
    </row>
    <row r="15" spans="1:17" s="11" customFormat="1" ht="18.899999999999999" customHeight="1" x14ac:dyDescent="0.3">
      <c r="A15" s="191">
        <v>9</v>
      </c>
      <c r="B15" s="419" t="s">
        <v>169</v>
      </c>
      <c r="C15" s="419" t="s">
        <v>170</v>
      </c>
      <c r="D15" s="419" t="s">
        <v>171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25">
      <c r="A16" s="191">
        <v>10</v>
      </c>
      <c r="B16" s="420" t="s">
        <v>172</v>
      </c>
      <c r="C16" s="420" t="s">
        <v>173</v>
      </c>
      <c r="D16" s="421" t="s">
        <v>174</v>
      </c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25">
      <c r="A17" s="191">
        <v>11</v>
      </c>
      <c r="B17" s="420" t="s">
        <v>175</v>
      </c>
      <c r="C17" s="420" t="s">
        <v>176</v>
      </c>
      <c r="D17" s="421" t="s">
        <v>177</v>
      </c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3">
      <c r="A18" s="191">
        <v>12</v>
      </c>
      <c r="B18" s="422" t="s">
        <v>178</v>
      </c>
      <c r="C18" s="411" t="s">
        <v>179</v>
      </c>
      <c r="D18" s="411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3">
      <c r="A19" s="191">
        <v>13</v>
      </c>
      <c r="B19" s="422" t="s">
        <v>180</v>
      </c>
      <c r="C19" s="411" t="s">
        <v>181</v>
      </c>
      <c r="D19" s="411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3">
      <c r="A20" s="191">
        <v>14</v>
      </c>
      <c r="B20" s="423" t="s">
        <v>304</v>
      </c>
      <c r="C20" s="423" t="s">
        <v>182</v>
      </c>
      <c r="D20" s="424" t="s">
        <v>183</v>
      </c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425" t="s">
        <v>184</v>
      </c>
      <c r="C21" s="425" t="s">
        <v>185</v>
      </c>
      <c r="D21" s="426" t="s">
        <v>186</v>
      </c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3">
      <c r="A22" s="191">
        <v>16</v>
      </c>
      <c r="B22" s="427" t="s">
        <v>187</v>
      </c>
      <c r="C22" s="411" t="s">
        <v>188</v>
      </c>
      <c r="D22" s="411" t="s">
        <v>189</v>
      </c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3">
      <c r="A23" s="191">
        <v>17</v>
      </c>
      <c r="B23" s="427" t="s">
        <v>190</v>
      </c>
      <c r="C23" s="411" t="s">
        <v>191</v>
      </c>
      <c r="D23" s="411" t="s">
        <v>189</v>
      </c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3">
      <c r="A24" s="191">
        <v>18</v>
      </c>
      <c r="B24" s="428" t="s">
        <v>192</v>
      </c>
      <c r="C24" s="411" t="s">
        <v>193</v>
      </c>
      <c r="D24" s="411" t="s">
        <v>194</v>
      </c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3">
      <c r="A25" s="191">
        <v>19</v>
      </c>
      <c r="B25" s="428" t="s">
        <v>195</v>
      </c>
      <c r="C25" s="411" t="s">
        <v>196</v>
      </c>
      <c r="D25" s="411" t="s">
        <v>197</v>
      </c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3">
      <c r="A26" s="191">
        <v>20</v>
      </c>
      <c r="B26" s="432"/>
      <c r="C26" s="432"/>
      <c r="D26" s="9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25">
      <c r="A27" s="191">
        <v>21</v>
      </c>
      <c r="B27" s="93"/>
      <c r="C27" s="93"/>
      <c r="D27" s="94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6"/>
      <c r="F28" s="390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07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87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2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2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2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2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2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2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2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2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2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2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2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2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2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2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2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2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2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2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2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2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2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2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2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2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2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2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2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2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2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2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2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2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2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2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2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2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2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2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2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2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2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2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2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2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2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2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2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2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2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2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2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2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2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2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2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2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2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2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2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2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2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2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2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2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2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2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2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2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2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2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2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2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2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2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2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2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2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2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2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2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2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2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2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2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2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2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2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2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2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2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2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2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2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2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2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2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2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2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2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2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2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2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2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2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2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2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2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2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2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2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2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2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2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2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2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2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2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2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2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7:A26 A27:D156">
    <cfRule type="expression" dxfId="108" priority="14" stopIfTrue="1">
      <formula>$Q7&gt;=1</formula>
    </cfRule>
  </conditionalFormatting>
  <conditionalFormatting sqref="D26 B27:D37">
    <cfRule type="expression" dxfId="107" priority="1" stopIfTrue="1">
      <formula>$Q26&gt;=1</formula>
    </cfRule>
  </conditionalFormatting>
  <conditionalFormatting sqref="E7:E14">
    <cfRule type="expression" dxfId="106" priority="6" stopIfTrue="1">
      <formula>AND(ROUNDDOWN(($A$4-E7)/365.25,0)&lt;=13,G7&lt;&gt;"OK")</formula>
    </cfRule>
    <cfRule type="expression" dxfId="105" priority="7" stopIfTrue="1">
      <formula>AND(ROUNDDOWN(($A$4-E7)/365.25,0)&lt;=14,G7&lt;&gt;"OK")</formula>
    </cfRule>
    <cfRule type="expression" dxfId="104" priority="8" stopIfTrue="1">
      <formula>AND(ROUNDDOWN(($A$4-E7)/365.25,0)&lt;=17,G7&lt;&gt;"OK")</formula>
    </cfRule>
    <cfRule type="expression" dxfId="103" priority="11" stopIfTrue="1">
      <formula>AND(ROUNDDOWN(($A$4-E7)/365.25,0)&lt;=13,G7&lt;&gt;"OK")</formula>
    </cfRule>
    <cfRule type="expression" dxfId="102" priority="12" stopIfTrue="1">
      <formula>AND(ROUNDDOWN(($A$4-E7)/365.25,0)&lt;=14,G7&lt;&gt;"OK")</formula>
    </cfRule>
    <cfRule type="expression" dxfId="101" priority="13" stopIfTrue="1">
      <formula>AND(ROUNDDOWN(($A$4-E7)/365.25,0)&lt;=17,G7&lt;&gt;"OK")</formula>
    </cfRule>
  </conditionalFormatting>
  <conditionalFormatting sqref="E7:E27 E29:E37">
    <cfRule type="expression" dxfId="100" priority="2" stopIfTrue="1">
      <formula>AND(ROUNDDOWN(($A$4-E7)/365.25,0)&lt;=13,G7&lt;&gt;"OK")</formula>
    </cfRule>
    <cfRule type="expression" dxfId="99" priority="3" stopIfTrue="1">
      <formula>AND(ROUNDDOWN(($A$4-E7)/365.25,0)&lt;=14,G7&lt;&gt;"OK")</formula>
    </cfRule>
    <cfRule type="expression" dxfId="98" priority="4" stopIfTrue="1">
      <formula>AND(ROUNDDOWN(($A$4-E7)/365.25,0)&lt;=17,G7&lt;&gt;"OK")</formula>
    </cfRule>
  </conditionalFormatting>
  <conditionalFormatting sqref="E7:E156">
    <cfRule type="expression" dxfId="97" priority="16" stopIfTrue="1">
      <formula>AND(ROUNDDOWN(($A$4-E7)/365.25,0)&lt;=13,G7&lt;&gt;"OK")</formula>
    </cfRule>
    <cfRule type="expression" dxfId="96" priority="17" stopIfTrue="1">
      <formula>AND(ROUNDDOWN(($A$4-E7)/365.25,0)&lt;=14,G7&lt;&gt;"OK")</formula>
    </cfRule>
    <cfRule type="expression" dxfId="95" priority="18" stopIfTrue="1">
      <formula>AND(ROUNDDOWN(($A$4-E7)/365.25,0)&lt;=17,G7&lt;&gt;"OK")</formula>
    </cfRule>
  </conditionalFormatting>
  <conditionalFormatting sqref="J7:J156">
    <cfRule type="cellIs" dxfId="9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2">
    <tabColor indexed="11"/>
  </sheetPr>
  <dimension ref="A1:AK41"/>
  <sheetViews>
    <sheetView workbookViewId="0">
      <selection activeCell="K22" sqref="K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Altalanos!$B$8</f>
        <v>Lány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Y3" s="349" t="str">
        <f>IF(H4="OB","A",IF(H4="IX","W",H4))</f>
        <v>1 cs.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 t="s">
        <v>278</v>
      </c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04" t="s">
        <v>64</v>
      </c>
      <c r="B7" s="329">
        <v>16</v>
      </c>
      <c r="C7" s="298">
        <f>IF($B7="","",VLOOKUP($B7,'Lány 1 kcs B ELO'!$A$7:$O$22,5))</f>
        <v>0</v>
      </c>
      <c r="D7" s="298">
        <f>IF($B7="","",VLOOKUP($B7,'Lány 1 kcs B ELO'!$A$7:$O$22,15))</f>
        <v>0</v>
      </c>
      <c r="E7" s="293" t="str">
        <f>UPPER(IF($B7="","",VLOOKUP($B7,'Lány 1 kcs B ELO'!$A$7:$O$22,2)))</f>
        <v>STEINER</v>
      </c>
      <c r="F7" s="299"/>
      <c r="G7" s="293" t="str">
        <f>IF($B7="","",VLOOKUP($B7,'Lány 1 kcs B ELO'!$A$7:$O$22,3))</f>
        <v>Luca Gréta</v>
      </c>
      <c r="H7" s="299"/>
      <c r="I7" s="293" t="str">
        <f>IF($B7="","",VLOOKUP($B7,'Lány 1 kcs B ELO'!$A$7:$O$22,4))</f>
        <v>Boglári Általános Iskola és Alapfokú Művészeti Iskola</v>
      </c>
      <c r="J7" s="274"/>
      <c r="K7" s="360"/>
      <c r="L7" s="351" t="str">
        <f>IF(K7="","",CONCATENATE(VLOOKUP($Y$3,$AB$1:$AK$1,K7)," pont"))</f>
        <v/>
      </c>
      <c r="M7" s="361"/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29">
        <v>5</v>
      </c>
      <c r="C9" s="298">
        <f>IF($B9="","",VLOOKUP($B9,'Lány 1 kcs B ELO'!$A$7:$O$22,5))</f>
        <v>0</v>
      </c>
      <c r="D9" s="298">
        <f>IF($B9="","",VLOOKUP($B9,'Lány 1 kcs B ELO'!$A$7:$O$22,15))</f>
        <v>0</v>
      </c>
      <c r="E9" s="293" t="str">
        <f>UPPER(IF($B9="","",VLOOKUP($B9,'Lány 1 kcs B ELO'!$A$7:$O$22,2)))</f>
        <v xml:space="preserve">BRAUN </v>
      </c>
      <c r="F9" s="299"/>
      <c r="G9" s="293" t="str">
        <f>IF($B9="","",VLOOKUP($B9,'Lány 1 kcs B ELO'!$A$7:$O$22,3))</f>
        <v>Olívia</v>
      </c>
      <c r="H9" s="299"/>
      <c r="I9" s="293" t="str">
        <f>IF($B9="","",VLOOKUP($B9,'Lány 1 kcs B ELO'!$A$7:$O$22,4))</f>
        <v>Miskolci Kazinczy Ferenc Magyar-Angol Két Tanítási Nyelvű Általános Iskola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29">
        <v>11</v>
      </c>
      <c r="C11" s="298">
        <f>IF($B11="","",VLOOKUP($B11,'Lány 1 kcs B ELO'!$A$7:$O$22,5))</f>
        <v>0</v>
      </c>
      <c r="D11" s="298">
        <f>IF($B11="","",VLOOKUP($B11,'Lány 1 kcs B ELO'!$A$7:$O$22,15))</f>
        <v>0</v>
      </c>
      <c r="E11" s="293" t="str">
        <f>UPPER(IF($B11="","",VLOOKUP($B11,'Lány 1 kcs B ELO'!$A$7:$O$22,2)))</f>
        <v>LENTE</v>
      </c>
      <c r="F11" s="299"/>
      <c r="G11" s="293" t="str">
        <f>IF($B11="","",VLOOKUP($B11,'Lány 1 kcs B ELO'!$A$7:$O$22,3))</f>
        <v>Zoé Vera</v>
      </c>
      <c r="H11" s="299"/>
      <c r="I11" s="293" t="str">
        <f>IF($B11="","",VLOOKUP($B11,'Lány 1 kcs B ELO'!$A$7:$O$22,4))</f>
        <v>Db., Kossuth L.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ht="18.75" customHeight="1" x14ac:dyDescent="0.25">
      <c r="A18" s="274"/>
      <c r="B18" s="446"/>
      <c r="C18" s="446"/>
      <c r="D18" s="447" t="str">
        <f>E7</f>
        <v>STEINER</v>
      </c>
      <c r="E18" s="447"/>
      <c r="F18" s="447" t="str">
        <f>E9</f>
        <v xml:space="preserve">BRAUN </v>
      </c>
      <c r="G18" s="447"/>
      <c r="H18" s="447" t="str">
        <f>E11</f>
        <v>LENTE</v>
      </c>
      <c r="I18" s="447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8.75" customHeight="1" x14ac:dyDescent="0.25">
      <c r="A19" s="331" t="s">
        <v>64</v>
      </c>
      <c r="B19" s="450" t="str">
        <f>E7</f>
        <v>STEINER</v>
      </c>
      <c r="C19" s="450"/>
      <c r="D19" s="451"/>
      <c r="E19" s="451"/>
      <c r="F19" s="448" t="s">
        <v>327</v>
      </c>
      <c r="G19" s="449"/>
      <c r="H19" s="448" t="s">
        <v>315</v>
      </c>
      <c r="I19" s="449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ht="18.75" customHeight="1" x14ac:dyDescent="0.25">
      <c r="A20" s="331" t="s">
        <v>65</v>
      </c>
      <c r="B20" s="450" t="str">
        <f>E9</f>
        <v xml:space="preserve">BRAUN </v>
      </c>
      <c r="C20" s="450"/>
      <c r="D20" s="448" t="s">
        <v>326</v>
      </c>
      <c r="E20" s="449"/>
      <c r="F20" s="451"/>
      <c r="G20" s="451"/>
      <c r="H20" s="448" t="s">
        <v>310</v>
      </c>
      <c r="I20" s="449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ht="18.75" customHeight="1" x14ac:dyDescent="0.25">
      <c r="A21" s="331" t="s">
        <v>66</v>
      </c>
      <c r="B21" s="450" t="str">
        <f>E11</f>
        <v>LENTE</v>
      </c>
      <c r="C21" s="450"/>
      <c r="D21" s="448" t="s">
        <v>314</v>
      </c>
      <c r="E21" s="449"/>
      <c r="F21" s="448" t="s">
        <v>309</v>
      </c>
      <c r="G21" s="449"/>
      <c r="H21" s="451"/>
      <c r="I21" s="451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99"/>
      <c r="N33" s="398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4"/>
      <c r="F34" s="454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53"/>
      <c r="F35" s="453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93" priority="2" stopIfTrue="1" operator="equal">
      <formula>"Bye"</formula>
    </cfRule>
  </conditionalFormatting>
  <conditionalFormatting sqref="R41">
    <cfRule type="expression" dxfId="9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1"/>
  </sheetPr>
  <dimension ref="A1:AK41"/>
  <sheetViews>
    <sheetView workbookViewId="0">
      <selection activeCell="F20" sqref="F20:G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Altalanos!$B$8</f>
        <v>Lány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Y3" s="349" t="str">
        <f>IF(H4="OB","A",IF(H4="IX","W",H4))</f>
        <v>2 cs.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 t="s">
        <v>279</v>
      </c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04" t="s">
        <v>64</v>
      </c>
      <c r="B7" s="329"/>
      <c r="C7" s="298" t="str">
        <f>IF($B7="","",VLOOKUP($B7,'Lány 1 kcs B ELO'!$A$7:$O$22,5))</f>
        <v/>
      </c>
      <c r="D7" s="298" t="str">
        <f>IF($B7="","",VLOOKUP($B7,'Lány 1 kcs B ELO'!$A$7:$O$22,15))</f>
        <v/>
      </c>
      <c r="E7" s="433" t="s">
        <v>272</v>
      </c>
      <c r="F7" s="299"/>
      <c r="G7" s="433" t="s">
        <v>191</v>
      </c>
      <c r="H7" s="299"/>
      <c r="I7" s="433" t="s">
        <v>273</v>
      </c>
      <c r="J7" s="274"/>
      <c r="K7" s="360"/>
      <c r="L7" s="351" t="str">
        <f>IF(K7="","",CONCATENATE(VLOOKUP($Y$3,$AB$1:$AK$1,K7)," pont"))</f>
        <v/>
      </c>
      <c r="M7" s="361"/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29">
        <v>10</v>
      </c>
      <c r="C9" s="298"/>
      <c r="D9" s="298"/>
      <c r="E9" s="293" t="str">
        <f>UPPER(IF($B9="","",VLOOKUP($B9,'Lány 1 kcs B ELO'!$A$7:$O$22,2)))</f>
        <v>NÁNÁSI</v>
      </c>
      <c r="F9" s="299"/>
      <c r="G9" s="293" t="str">
        <f>IF($B9="","",VLOOKUP($B9,'Lány 1 kcs B ELO'!$A$7:$O$22,3))</f>
        <v>Mirtill</v>
      </c>
      <c r="H9" s="299"/>
      <c r="I9" s="293" t="str">
        <f>IF($B9="","",VLOOKUP($B9,'Lány 1 kcs B ELO'!$A$7:$O$22,4))</f>
        <v>Db., Árpád V.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29"/>
      <c r="C11" s="298" t="str">
        <f>IF($B11="","",VLOOKUP($B11,'Lány 1 kcs B ELO'!$A$7:$O$22,5))</f>
        <v/>
      </c>
      <c r="D11" s="298" t="str">
        <f>IF($B11="","",VLOOKUP($B11,'Lány 1 kcs B ELO'!$A$7:$O$22,15))</f>
        <v/>
      </c>
      <c r="E11" s="433" t="s">
        <v>274</v>
      </c>
      <c r="F11" s="299"/>
      <c r="G11" s="433" t="s">
        <v>196</v>
      </c>
      <c r="H11" s="299"/>
      <c r="I11" s="433" t="s">
        <v>275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ht="18.75" customHeight="1" x14ac:dyDescent="0.25">
      <c r="A18" s="274"/>
      <c r="B18" s="446"/>
      <c r="C18" s="446"/>
      <c r="D18" s="447" t="str">
        <f>E7</f>
        <v>CZENE</v>
      </c>
      <c r="E18" s="447"/>
      <c r="F18" s="447" t="str">
        <f>E9</f>
        <v>NÁNÁSI</v>
      </c>
      <c r="G18" s="447"/>
      <c r="H18" s="447" t="str">
        <f>E11</f>
        <v>SULYOK</v>
      </c>
      <c r="I18" s="447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ht="18.75" customHeight="1" x14ac:dyDescent="0.25">
      <c r="A19" s="331" t="s">
        <v>64</v>
      </c>
      <c r="B19" s="450" t="str">
        <f>E7</f>
        <v>CZENE</v>
      </c>
      <c r="C19" s="450"/>
      <c r="D19" s="451"/>
      <c r="E19" s="451"/>
      <c r="F19" s="448" t="s">
        <v>308</v>
      </c>
      <c r="G19" s="449"/>
      <c r="H19" s="448" t="s">
        <v>305</v>
      </c>
      <c r="I19" s="449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ht="18.75" customHeight="1" x14ac:dyDescent="0.25">
      <c r="A20" s="331" t="s">
        <v>65</v>
      </c>
      <c r="B20" s="450" t="str">
        <f>E9</f>
        <v>NÁNÁSI</v>
      </c>
      <c r="C20" s="450"/>
      <c r="D20" s="448" t="s">
        <v>307</v>
      </c>
      <c r="E20" s="449"/>
      <c r="F20" s="451"/>
      <c r="G20" s="451"/>
      <c r="H20" s="448" t="s">
        <v>307</v>
      </c>
      <c r="I20" s="449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ht="18.75" customHeight="1" x14ac:dyDescent="0.25">
      <c r="A21" s="331" t="s">
        <v>66</v>
      </c>
      <c r="B21" s="450" t="str">
        <f>E11</f>
        <v>SULYOK</v>
      </c>
      <c r="C21" s="450"/>
      <c r="D21" s="448" t="s">
        <v>306</v>
      </c>
      <c r="E21" s="449"/>
      <c r="F21" s="448" t="s">
        <v>308</v>
      </c>
      <c r="G21" s="449"/>
      <c r="H21" s="451"/>
      <c r="I21" s="451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99"/>
      <c r="N33" s="398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4"/>
      <c r="F34" s="454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53"/>
      <c r="F35" s="453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91" priority="2" stopIfTrue="1" operator="equal">
      <formula>"Bye"</formula>
    </cfRule>
  </conditionalFormatting>
  <conditionalFormatting sqref="R41">
    <cfRule type="expression" dxfId="90" priority="1" stopIfTrue="1">
      <formula>$O$1="CU"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5">
    <tabColor indexed="11"/>
  </sheetPr>
  <dimension ref="A1:AK47"/>
  <sheetViews>
    <sheetView topLeftCell="A6" workbookViewId="0">
      <selection activeCell="D25" sqref="D25:E25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Altalanos!$B$8</f>
        <v>Lány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49" t="str">
        <f>IF(H4="OB","A",IF(H4="IX","W",H4))</f>
        <v>3-4 cs.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 t="s">
        <v>277</v>
      </c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39" t="s">
        <v>78</v>
      </c>
      <c r="P5" s="340" t="s">
        <v>84</v>
      </c>
      <c r="R5" s="339" t="s">
        <v>78</v>
      </c>
      <c r="S5" s="400" t="s">
        <v>110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1" t="s">
        <v>85</v>
      </c>
      <c r="P6" s="342" t="s">
        <v>80</v>
      </c>
      <c r="R6" s="341" t="s">
        <v>85</v>
      </c>
      <c r="S6" s="401" t="s">
        <v>111</v>
      </c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3</v>
      </c>
      <c r="C7" s="298">
        <f>IF($B7="","",VLOOKUP($B7,'Lány 1 kcs B ELO'!$A$7:$O$22,5))</f>
        <v>0</v>
      </c>
      <c r="D7" s="298">
        <f>IF($B7="","",VLOOKUP($B7,'Lány 1 kcs B ELO'!$A$7:$O$22,15))</f>
        <v>0</v>
      </c>
      <c r="E7" s="294" t="str">
        <f>UPPER(IF($B7="","",VLOOKUP($B7,'Lány 1 kcs B ELO'!$A$7:$O$22,2)))</f>
        <v xml:space="preserve">MAGASI </v>
      </c>
      <c r="F7" s="297"/>
      <c r="G7" s="294" t="str">
        <f>IF($B7="","",VLOOKUP($B7,'Lány 1 kcs B ELO'!$A$7:$O$22,3))</f>
        <v>Lilla</v>
      </c>
      <c r="H7" s="297"/>
      <c r="I7" s="294" t="str">
        <f>IF($B7="","",VLOOKUP($B7,'Lány 1 kcs B ELO'!$A$7:$O$22,4))</f>
        <v>Mezőberény</v>
      </c>
      <c r="J7" s="274"/>
      <c r="K7" s="360"/>
      <c r="L7" s="351" t="str">
        <f>IF(K7="","",CONCATENATE(VLOOKUP($Y$3,$AB$1:$AK$1,K7)," pont"))</f>
        <v/>
      </c>
      <c r="M7" s="361"/>
      <c r="O7" s="343" t="s">
        <v>86</v>
      </c>
      <c r="P7" s="344" t="s">
        <v>82</v>
      </c>
      <c r="R7" s="343" t="s">
        <v>86</v>
      </c>
      <c r="S7" s="402" t="s">
        <v>87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15</v>
      </c>
      <c r="C9" s="298">
        <f>IF($B9="","",VLOOKUP($B9,'Lány 1 kcs B ELO'!$A$7:$O$22,5))</f>
        <v>0</v>
      </c>
      <c r="D9" s="298">
        <f>IF($B9="","",VLOOKUP($B9,'Lány 1 kcs B ELO'!$A$7:$O$22,15))</f>
        <v>0</v>
      </c>
      <c r="E9" s="293" t="str">
        <f>UPPER(IF($B9="","",VLOOKUP($B9,'Lány 1 kcs B ELO'!$A$7:$O$22,2)))</f>
        <v>SZÉKELY</v>
      </c>
      <c r="F9" s="299"/>
      <c r="G9" s="293" t="str">
        <f>IF($B9="","",VLOOKUP($B9,'Lány 1 kcs B ELO'!$A$7:$O$22,3))</f>
        <v>Szonja</v>
      </c>
      <c r="H9" s="299"/>
      <c r="I9" s="293" t="str">
        <f>IF($B9="","",VLOOKUP($B9,'Lány 1 kcs B ELO'!$A$7:$O$22,4))</f>
        <v>Szent István Sport Általános Iskola és Gimnázium</v>
      </c>
      <c r="J9" s="274"/>
      <c r="K9" s="360"/>
      <c r="L9" s="351" t="str">
        <f>IF(K9="","",CONCATENATE(VLOOKUP($Y$3,$AB$1:$AK$1,K9)," pont"))</f>
        <v/>
      </c>
      <c r="M9" s="361"/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8</v>
      </c>
      <c r="C11" s="298">
        <f>IF($B11="","",VLOOKUP($B11,'Lány 1 kcs B ELO'!$A$7:$O$22,5))</f>
        <v>0</v>
      </c>
      <c r="D11" s="298">
        <f>IF($B11="","",VLOOKUP($B11,'Lány 1 kcs B ELO'!$A$7:$O$22,15))</f>
        <v>0</v>
      </c>
      <c r="E11" s="293" t="str">
        <f>UPPER(IF($B11="","",VLOOKUP($B11,'Lány 1 kcs B ELO'!$A$7:$O$22,2)))</f>
        <v>MOSOLYGÓ</v>
      </c>
      <c r="F11" s="299"/>
      <c r="G11" s="293" t="str">
        <f>IF($B11="","",VLOOKUP($B11,'Lány 1 kcs B ELO'!$A$7:$O$22,3))</f>
        <v>Janka</v>
      </c>
      <c r="H11" s="299"/>
      <c r="I11" s="293" t="str">
        <f>IF($B11="","",VLOOKUP($B11,'Lány 1 kcs B ELO'!$A$7:$O$22,4))</f>
        <v>Zsirai Ált Isk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ht="13.8" x14ac:dyDescent="0.3">
      <c r="A13" s="332" t="s">
        <v>71</v>
      </c>
      <c r="B13" s="345"/>
      <c r="C13" s="298" t="str">
        <f>IF($B13="","",VLOOKUP($B13,'Lány 1 kcs B ELO'!$A$7:$O$22,5))</f>
        <v/>
      </c>
      <c r="D13" s="298" t="str">
        <f>IF($B13="","",VLOOKUP($B13,'Lány 1 kcs B ELO'!$A$7:$O$22,15))</f>
        <v/>
      </c>
      <c r="E13" s="434" t="s">
        <v>276</v>
      </c>
      <c r="F13" s="297"/>
      <c r="G13" s="434" t="s">
        <v>193</v>
      </c>
      <c r="H13" s="297"/>
      <c r="I13" s="411" t="s">
        <v>194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9</v>
      </c>
      <c r="C15" s="298">
        <f>IF($B15="","",VLOOKUP($B15,'Lány 1 kcs B ELO'!$A$7:$O$22,5))</f>
        <v>0</v>
      </c>
      <c r="D15" s="298">
        <f>IF($B15="","",VLOOKUP($B15,'Lány 1 kcs B ELO'!$A$7:$O$22,15))</f>
        <v>0</v>
      </c>
      <c r="E15" s="293" t="str">
        <f>UPPER(IF($B15="","",VLOOKUP($B15,'Lány 1 kcs B ELO'!$A$7:$O$22,2)))</f>
        <v xml:space="preserve">VÁROSI </v>
      </c>
      <c r="F15" s="299"/>
      <c r="G15" s="293" t="str">
        <f>IF($B15="","",VLOOKUP($B15,'Lány 1 kcs B ELO'!$A$7:$O$22,3))</f>
        <v>Boglárka</v>
      </c>
      <c r="H15" s="299"/>
      <c r="I15" s="293" t="str">
        <f>IF($B15="","",VLOOKUP($B15,'Lány 1 kcs B ELO'!$A$7:$O$22,4))</f>
        <v>Daák téri Ált Isk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13</v>
      </c>
      <c r="C17" s="298">
        <f>IF($B17="","",VLOOKUP($B17,'Lány 1 kcs B ELO'!$A$7:$O$22,5))</f>
        <v>0</v>
      </c>
      <c r="D17" s="298">
        <f>IF($B17="","",VLOOKUP($B17,'Lány 1 kcs B ELO'!$A$7:$O$22,15))</f>
        <v>0</v>
      </c>
      <c r="E17" s="293" t="str">
        <f>UPPER(IF($B17="","",VLOOKUP($B17,'Lány 1 kcs B ELO'!$A$7:$O$22,2)))</f>
        <v xml:space="preserve">ROSICZKY </v>
      </c>
      <c r="F17" s="299"/>
      <c r="G17" s="293" t="str">
        <f>IF($B17="","",VLOOKUP($B17,'Lány 1 kcs B ELO'!$A$7:$O$22,3))</f>
        <v>Kendra</v>
      </c>
      <c r="H17" s="299"/>
      <c r="I17" s="293">
        <f>IF($B17="","",VLOOKUP($B17,'Lány 1 kcs B ELO'!$A$7:$O$22,4))</f>
        <v>0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47" t="str">
        <f>E7</f>
        <v xml:space="preserve">MAGASI </v>
      </c>
      <c r="E22" s="447"/>
      <c r="F22" s="447" t="str">
        <f>E9</f>
        <v>SZÉKELY</v>
      </c>
      <c r="G22" s="447"/>
      <c r="H22" s="447" t="str">
        <f>E11</f>
        <v>MOSOLYGÓ</v>
      </c>
      <c r="I22" s="447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 xml:space="preserve">MAGASI </v>
      </c>
      <c r="C23" s="450"/>
      <c r="D23" s="451"/>
      <c r="E23" s="451"/>
      <c r="F23" s="448" t="s">
        <v>295</v>
      </c>
      <c r="G23" s="449"/>
      <c r="H23" s="448" t="s">
        <v>316</v>
      </c>
      <c r="I23" s="449"/>
      <c r="J23" s="274"/>
      <c r="K23" s="274"/>
      <c r="L23" s="274"/>
      <c r="M23" s="33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>SZÉKELY</v>
      </c>
      <c r="C24" s="450"/>
      <c r="D24" s="448" t="s">
        <v>296</v>
      </c>
      <c r="E24" s="449"/>
      <c r="F24" s="451"/>
      <c r="G24" s="451"/>
      <c r="H24" s="448" t="s">
        <v>296</v>
      </c>
      <c r="I24" s="449"/>
      <c r="J24" s="274"/>
      <c r="K24" s="274"/>
      <c r="L24" s="274"/>
      <c r="M24" s="33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>MOSOLYGÓ</v>
      </c>
      <c r="C25" s="450"/>
      <c r="D25" s="448" t="s">
        <v>317</v>
      </c>
      <c r="E25" s="449"/>
      <c r="F25" s="448" t="s">
        <v>295</v>
      </c>
      <c r="G25" s="449"/>
      <c r="H25" s="451"/>
      <c r="I25" s="45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52" t="str">
        <f>E13</f>
        <v xml:space="preserve">Puskorics </v>
      </c>
      <c r="E27" s="452"/>
      <c r="F27" s="452" t="str">
        <f>E15</f>
        <v xml:space="preserve">VÁROSI </v>
      </c>
      <c r="G27" s="452"/>
      <c r="H27" s="452" t="str">
        <f>E17</f>
        <v xml:space="preserve">ROSICZKY </v>
      </c>
      <c r="I27" s="452"/>
      <c r="J27" s="274"/>
      <c r="K27" s="274"/>
      <c r="L27" s="274"/>
      <c r="M27" s="335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31" t="s">
        <v>71</v>
      </c>
      <c r="B28" s="450" t="str">
        <f>E13</f>
        <v xml:space="preserve">Puskorics </v>
      </c>
      <c r="C28" s="450"/>
      <c r="D28" s="451"/>
      <c r="E28" s="451"/>
      <c r="F28" s="448" t="s">
        <v>306</v>
      </c>
      <c r="G28" s="449"/>
      <c r="H28" s="448" t="s">
        <v>316</v>
      </c>
      <c r="I28" s="449"/>
      <c r="J28" s="274"/>
      <c r="K28" s="274"/>
      <c r="L28" s="274"/>
      <c r="M28" s="334"/>
    </row>
    <row r="29" spans="1:37" ht="18.75" customHeight="1" x14ac:dyDescent="0.25">
      <c r="A29" s="331" t="s">
        <v>72</v>
      </c>
      <c r="B29" s="450" t="str">
        <f>E15</f>
        <v xml:space="preserve">VÁROSI </v>
      </c>
      <c r="C29" s="450"/>
      <c r="D29" s="448" t="s">
        <v>305</v>
      </c>
      <c r="E29" s="449"/>
      <c r="F29" s="451"/>
      <c r="G29" s="451"/>
      <c r="H29" s="448" t="s">
        <v>305</v>
      </c>
      <c r="I29" s="449"/>
      <c r="J29" s="274"/>
      <c r="K29" s="274"/>
      <c r="L29" s="274"/>
      <c r="M29" s="334"/>
    </row>
    <row r="30" spans="1:37" ht="18.75" customHeight="1" x14ac:dyDescent="0.25">
      <c r="A30" s="331" t="s">
        <v>73</v>
      </c>
      <c r="B30" s="450" t="str">
        <f>E17</f>
        <v xml:space="preserve">ROSICZKY </v>
      </c>
      <c r="C30" s="450"/>
      <c r="D30" s="448" t="s">
        <v>317</v>
      </c>
      <c r="E30" s="449"/>
      <c r="F30" s="448" t="s">
        <v>306</v>
      </c>
      <c r="G30" s="449"/>
      <c r="H30" s="457"/>
      <c r="I30" s="451"/>
      <c r="J30" s="274"/>
      <c r="K30" s="274"/>
      <c r="L30" s="274"/>
      <c r="M30" s="33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55" t="str">
        <f>IF(M23=1,B23,IF(M24=1,B24,IF(M25=1,B25,"")))</f>
        <v/>
      </c>
      <c r="D32" s="455"/>
      <c r="E32" s="304" t="s">
        <v>75</v>
      </c>
      <c r="F32" s="455" t="str">
        <f>IF(M28=1,B28,IF(M29=1,B29,IF(M30=1,B30,"")))</f>
        <v/>
      </c>
      <c r="G32" s="455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55" t="str">
        <f>IF(M23=2,B23,IF(M24=2,B24,IF(M25=2,B25,"")))</f>
        <v/>
      </c>
      <c r="D34" s="455"/>
      <c r="E34" s="304" t="s">
        <v>75</v>
      </c>
      <c r="F34" s="455" t="str">
        <f>IF(M28=2,B28,IF(M29=2,B29,IF(M30=2,B30,"")))</f>
        <v/>
      </c>
      <c r="G34" s="455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55" t="str">
        <f>IF(M23=3,B23,IF(M24=3,B24,IF(M25=3,B25,"")))</f>
        <v/>
      </c>
      <c r="D36" s="455"/>
      <c r="E36" s="304" t="s">
        <v>75</v>
      </c>
      <c r="F36" s="455" t="str">
        <f>IF(M28=3,B28,IF(M29=3,B29,IF(M30=3,B30,"")))</f>
        <v/>
      </c>
      <c r="G36" s="455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4" t="str">
        <f>IF(D40&gt;$R$47,,UPPER(VLOOKUP(D40,'Lány 1 kcs B ELO'!$A$7:$Q$134,2)))</f>
        <v xml:space="preserve">VARGA </v>
      </c>
      <c r="F40" s="454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53" t="str">
        <f>IF(D41&gt;$R$47,,UPPER(VLOOKUP(D41,'Lány 1 kcs B ELO'!$A$7:$Q$134,2)))</f>
        <v xml:space="preserve">JAGIC </v>
      </c>
      <c r="F41" s="453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MIN(4,'Lány 1 kcs B ELO'!Q5)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89" priority="1" stopIfTrue="1" operator="equal">
      <formula>"Bye"</formula>
    </cfRule>
  </conditionalFormatting>
  <conditionalFormatting sqref="R47">
    <cfRule type="expression" dxfId="8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6">
    <tabColor indexed="11"/>
  </sheetPr>
  <dimension ref="A1:AK49"/>
  <sheetViews>
    <sheetView topLeftCell="A8" zoomScale="101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44" t="str">
        <f>Altalanos!$A$6</f>
        <v>Diákolimpia</v>
      </c>
      <c r="B1" s="444"/>
      <c r="C1" s="444"/>
      <c r="D1" s="444"/>
      <c r="E1" s="444"/>
      <c r="F1" s="444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59" t="e">
        <f>IF(Y5=1,CONCATENATE(VLOOKUP(Y3,AA16:AH27,2)),CONCATENATE(VLOOKUP(Y3,AA2:AK13,2)))</f>
        <v>#N/A</v>
      </c>
      <c r="AC1" s="359" t="e">
        <f>IF(Y5=1,CONCATENATE(VLOOKUP(Y3,AA16:AK27,3)),CONCATENATE(VLOOKUP(Y3,AA2:AK13,3)))</f>
        <v>#N/A</v>
      </c>
      <c r="AD1" s="359" t="e">
        <f>IF(Y5=1,CONCATENATE(VLOOKUP(Y3,AA16:AK27,4)),CONCATENATE(VLOOKUP(Y3,AA2:AK13,4)))</f>
        <v>#N/A</v>
      </c>
      <c r="AE1" s="359" t="e">
        <f>IF(Y5=1,CONCATENATE(VLOOKUP(Y3,AA16:AK27,5)),CONCATENATE(VLOOKUP(Y3,AA2:AK13,5)))</f>
        <v>#N/A</v>
      </c>
      <c r="AF1" s="359" t="e">
        <f>IF(Y5=1,CONCATENATE(VLOOKUP(Y3,AA16:AK27,6)),CONCATENATE(VLOOKUP(Y3,AA2:AK13,6)))</f>
        <v>#N/A</v>
      </c>
      <c r="AG1" s="359" t="e">
        <f>IF(Y5=1,CONCATENATE(VLOOKUP(Y3,AA16:AK27,7)),CONCATENATE(VLOOKUP(Y3,AA2:AK13,7)))</f>
        <v>#N/A</v>
      </c>
      <c r="AH1" s="359" t="e">
        <f>IF(Y5=1,CONCATENATE(VLOOKUP(Y3,AA16:AK27,8)),CONCATENATE(VLOOKUP(Y3,AA2:AK13,8)))</f>
        <v>#N/A</v>
      </c>
      <c r="AI1" s="359" t="e">
        <f>IF(Y5=1,CONCATENATE(VLOOKUP(Y3,AA16:AK27,9)),CONCATENATE(VLOOKUP(Y3,AA2:AK13,9)))</f>
        <v>#N/A</v>
      </c>
      <c r="AJ1" s="359" t="e">
        <f>IF(Y5=1,CONCATENATE(VLOOKUP(Y3,AA16:AK27,10)),CONCATENATE(VLOOKUP(Y3,AA2:AK13,10)))</f>
        <v>#N/A</v>
      </c>
      <c r="AK1" s="359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09" t="str">
        <f>Altalanos!$B$8</f>
        <v>Lány 1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0"/>
      <c r="Z2" s="349"/>
      <c r="AA2" s="349" t="s">
        <v>64</v>
      </c>
      <c r="AB2" s="340">
        <v>150</v>
      </c>
      <c r="AC2" s="340">
        <v>120</v>
      </c>
      <c r="AD2" s="340">
        <v>100</v>
      </c>
      <c r="AE2" s="340">
        <v>80</v>
      </c>
      <c r="AF2" s="340">
        <v>70</v>
      </c>
      <c r="AG2" s="340">
        <v>60</v>
      </c>
      <c r="AH2" s="340">
        <v>55</v>
      </c>
      <c r="AI2" s="340">
        <v>50</v>
      </c>
      <c r="AJ2" s="340">
        <v>45</v>
      </c>
      <c r="AK2" s="340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39" t="s">
        <v>78</v>
      </c>
      <c r="R3" s="340" t="s">
        <v>84</v>
      </c>
      <c r="S3" s="340" t="s">
        <v>79</v>
      </c>
      <c r="Y3" s="349" t="str">
        <f>IF(H4="OB","A",IF(H4="IX","W",H4))</f>
        <v>5-6 cs.</v>
      </c>
      <c r="Z3" s="349"/>
      <c r="AA3" s="349" t="s">
        <v>88</v>
      </c>
      <c r="AB3" s="340">
        <v>120</v>
      </c>
      <c r="AC3" s="340">
        <v>90</v>
      </c>
      <c r="AD3" s="340">
        <v>65</v>
      </c>
      <c r="AE3" s="340">
        <v>55</v>
      </c>
      <c r="AF3" s="340">
        <v>50</v>
      </c>
      <c r="AG3" s="340">
        <v>45</v>
      </c>
      <c r="AH3" s="340">
        <v>40</v>
      </c>
      <c r="AI3" s="340">
        <v>35</v>
      </c>
      <c r="AJ3" s="340">
        <v>25</v>
      </c>
      <c r="AK3" s="340">
        <v>20</v>
      </c>
    </row>
    <row r="4" spans="1:37" ht="13.8" thickBot="1" x14ac:dyDescent="0.3">
      <c r="A4" s="445" t="str">
        <f>Altalanos!$A$10</f>
        <v>2025.05.26-06-01.</v>
      </c>
      <c r="B4" s="445"/>
      <c r="C4" s="445"/>
      <c r="D4" s="234"/>
      <c r="E4" s="235" t="str">
        <f>Altalanos!$C$10</f>
        <v>Balatonboglár</v>
      </c>
      <c r="F4" s="235"/>
      <c r="G4" s="235"/>
      <c r="H4" s="238" t="s">
        <v>280</v>
      </c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1" t="s">
        <v>85</v>
      </c>
      <c r="R4" s="342" t="s">
        <v>80</v>
      </c>
      <c r="S4" s="342" t="s">
        <v>81</v>
      </c>
      <c r="Y4" s="349"/>
      <c r="Z4" s="349"/>
      <c r="AA4" s="349" t="s">
        <v>89</v>
      </c>
      <c r="AB4" s="340">
        <v>90</v>
      </c>
      <c r="AC4" s="340">
        <v>60</v>
      </c>
      <c r="AD4" s="340">
        <v>45</v>
      </c>
      <c r="AE4" s="340">
        <v>34</v>
      </c>
      <c r="AF4" s="340">
        <v>27</v>
      </c>
      <c r="AG4" s="340">
        <v>22</v>
      </c>
      <c r="AH4" s="340">
        <v>18</v>
      </c>
      <c r="AI4" s="340">
        <v>15</v>
      </c>
      <c r="AJ4" s="340">
        <v>12</v>
      </c>
      <c r="AK4" s="340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3" t="s">
        <v>86</v>
      </c>
      <c r="R5" s="344" t="s">
        <v>82</v>
      </c>
      <c r="S5" s="344" t="s">
        <v>83</v>
      </c>
      <c r="Y5" s="349">
        <f>IF(OR(Altalanos!$A$8="F1",Altalanos!$A$8="F2",Altalanos!$A$8="N1",Altalanos!$A$8="N2"),1,2)</f>
        <v>2</v>
      </c>
      <c r="Z5" s="349"/>
      <c r="AA5" s="349" t="s">
        <v>90</v>
      </c>
      <c r="AB5" s="340">
        <v>60</v>
      </c>
      <c r="AC5" s="340">
        <v>40</v>
      </c>
      <c r="AD5" s="340">
        <v>30</v>
      </c>
      <c r="AE5" s="340">
        <v>20</v>
      </c>
      <c r="AF5" s="340">
        <v>18</v>
      </c>
      <c r="AG5" s="340">
        <v>15</v>
      </c>
      <c r="AH5" s="340">
        <v>12</v>
      </c>
      <c r="AI5" s="340">
        <v>10</v>
      </c>
      <c r="AJ5" s="340">
        <v>8</v>
      </c>
      <c r="AK5" s="340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49"/>
      <c r="Z6" s="349"/>
      <c r="AA6" s="349" t="s">
        <v>91</v>
      </c>
      <c r="AB6" s="340">
        <v>40</v>
      </c>
      <c r="AC6" s="340">
        <v>25</v>
      </c>
      <c r="AD6" s="340">
        <v>18</v>
      </c>
      <c r="AE6" s="340">
        <v>13</v>
      </c>
      <c r="AF6" s="340">
        <v>10</v>
      </c>
      <c r="AG6" s="340">
        <v>8</v>
      </c>
      <c r="AH6" s="340">
        <v>6</v>
      </c>
      <c r="AI6" s="340">
        <v>5</v>
      </c>
      <c r="AJ6" s="340">
        <v>4</v>
      </c>
      <c r="AK6" s="340">
        <v>3</v>
      </c>
    </row>
    <row r="7" spans="1:37" x14ac:dyDescent="0.25">
      <c r="A7" s="332" t="s">
        <v>64</v>
      </c>
      <c r="B7" s="345">
        <v>4</v>
      </c>
      <c r="C7" s="298">
        <f>IF($B7="","",VLOOKUP($B7,'Lány 1 kcs B ELO'!$A$7:$O$22,5))</f>
        <v>0</v>
      </c>
      <c r="D7" s="298">
        <f>IF($B7="","",VLOOKUP($B7,'Lány 1 kcs B ELO'!$A$7:$O$22,15))</f>
        <v>0</v>
      </c>
      <c r="E7" s="294" t="str">
        <f>UPPER(IF($B7="","",VLOOKUP($B7,'Lány 1 kcs B ELO'!$A$7:$O$22,2)))</f>
        <v>SZŐKE Z.</v>
      </c>
      <c r="F7" s="297"/>
      <c r="G7" s="294" t="str">
        <f>IF($B7="","",VLOOKUP($B7,'Lány 1 kcs B ELO'!$A$7:$O$22,3))</f>
        <v>Zille</v>
      </c>
      <c r="H7" s="297"/>
      <c r="I7" s="294" t="str">
        <f>IF($B7="","",VLOOKUP($B7,'Lány 1 kcs B ELO'!$A$7:$O$22,4))</f>
        <v>Sarkad</v>
      </c>
      <c r="J7" s="274"/>
      <c r="K7" s="360"/>
      <c r="L7" s="351" t="str">
        <f>IF(K7="","",CONCATENATE(VLOOKUP($Y$3,$AB$1:$AK$1,K7)," pont"))</f>
        <v/>
      </c>
      <c r="M7" s="361"/>
      <c r="Q7" s="339" t="s">
        <v>78</v>
      </c>
      <c r="R7" s="400" t="s">
        <v>110</v>
      </c>
      <c r="S7" s="400" t="s">
        <v>112</v>
      </c>
      <c r="Y7" s="349"/>
      <c r="Z7" s="349"/>
      <c r="AA7" s="349" t="s">
        <v>92</v>
      </c>
      <c r="AB7" s="340">
        <v>25</v>
      </c>
      <c r="AC7" s="340">
        <v>15</v>
      </c>
      <c r="AD7" s="340">
        <v>13</v>
      </c>
      <c r="AE7" s="340">
        <v>8</v>
      </c>
      <c r="AF7" s="340">
        <v>6</v>
      </c>
      <c r="AG7" s="340">
        <v>4</v>
      </c>
      <c r="AH7" s="340">
        <v>3</v>
      </c>
      <c r="AI7" s="340">
        <v>2</v>
      </c>
      <c r="AJ7" s="340">
        <v>1</v>
      </c>
      <c r="AK7" s="340">
        <v>0</v>
      </c>
    </row>
    <row r="8" spans="1:37" x14ac:dyDescent="0.25">
      <c r="A8" s="304"/>
      <c r="B8" s="346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2"/>
      <c r="Q8" s="341" t="s">
        <v>85</v>
      </c>
      <c r="R8" s="401" t="s">
        <v>111</v>
      </c>
      <c r="S8" s="401" t="s">
        <v>113</v>
      </c>
      <c r="Y8" s="349"/>
      <c r="Z8" s="349"/>
      <c r="AA8" s="349" t="s">
        <v>93</v>
      </c>
      <c r="AB8" s="340">
        <v>15</v>
      </c>
      <c r="AC8" s="340">
        <v>10</v>
      </c>
      <c r="AD8" s="340">
        <v>7</v>
      </c>
      <c r="AE8" s="340">
        <v>5</v>
      </c>
      <c r="AF8" s="340">
        <v>4</v>
      </c>
      <c r="AG8" s="340">
        <v>3</v>
      </c>
      <c r="AH8" s="340">
        <v>2</v>
      </c>
      <c r="AI8" s="340">
        <v>1</v>
      </c>
      <c r="AJ8" s="340">
        <v>0</v>
      </c>
      <c r="AK8" s="340">
        <v>0</v>
      </c>
    </row>
    <row r="9" spans="1:37" x14ac:dyDescent="0.25">
      <c r="A9" s="304" t="s">
        <v>65</v>
      </c>
      <c r="B9" s="347">
        <v>1</v>
      </c>
      <c r="C9" s="298">
        <f>IF($B9="","",VLOOKUP($B9,'Lány 1 kcs B ELO'!$A$7:$O$22,5))</f>
        <v>0</v>
      </c>
      <c r="D9" s="298">
        <f>IF($B9="","",VLOOKUP($B9,'Lány 1 kcs B ELO'!$A$7:$O$22,15))</f>
        <v>0</v>
      </c>
      <c r="E9" s="293" t="str">
        <f>UPPER(IF($B9="","",VLOOKUP($B9,'Lány 1 kcs B ELO'!$A$7:$O$22,2)))</f>
        <v xml:space="preserve">VARGA </v>
      </c>
      <c r="F9" s="299"/>
      <c r="G9" s="293" t="str">
        <f>IF($B9="","",VLOOKUP($B9,'Lány 1 kcs B ELO'!$A$7:$O$22,3))</f>
        <v>Dóra Emili</v>
      </c>
      <c r="H9" s="299"/>
      <c r="I9" s="293" t="str">
        <f>IF($B9="","",VLOOKUP($B9,'Lány 1 kcs B ELO'!$A$7:$O$22,4))</f>
        <v>Sztárai Mihály - Pécs</v>
      </c>
      <c r="J9" s="274"/>
      <c r="K9" s="360"/>
      <c r="L9" s="351" t="str">
        <f>IF(K9="","",CONCATENATE(VLOOKUP($Y$3,$AB$1:$AK$1,K9)," pont"))</f>
        <v/>
      </c>
      <c r="M9" s="361"/>
      <c r="Q9" s="343" t="s">
        <v>86</v>
      </c>
      <c r="R9" s="402" t="s">
        <v>87</v>
      </c>
      <c r="S9" s="402" t="s">
        <v>114</v>
      </c>
      <c r="Y9" s="349"/>
      <c r="Z9" s="349"/>
      <c r="AA9" s="349" t="s">
        <v>94</v>
      </c>
      <c r="AB9" s="340">
        <v>10</v>
      </c>
      <c r="AC9" s="340">
        <v>6</v>
      </c>
      <c r="AD9" s="340">
        <v>4</v>
      </c>
      <c r="AE9" s="340">
        <v>2</v>
      </c>
      <c r="AF9" s="340">
        <v>1</v>
      </c>
      <c r="AG9" s="340">
        <v>0</v>
      </c>
      <c r="AH9" s="340">
        <v>0</v>
      </c>
      <c r="AI9" s="340">
        <v>0</v>
      </c>
      <c r="AJ9" s="340">
        <v>0</v>
      </c>
      <c r="AK9" s="340">
        <v>0</v>
      </c>
    </row>
    <row r="10" spans="1:37" x14ac:dyDescent="0.25">
      <c r="A10" s="304"/>
      <c r="B10" s="346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2"/>
      <c r="Y10" s="349"/>
      <c r="Z10" s="349"/>
      <c r="AA10" s="349" t="s">
        <v>95</v>
      </c>
      <c r="AB10" s="340">
        <v>6</v>
      </c>
      <c r="AC10" s="340">
        <v>3</v>
      </c>
      <c r="AD10" s="340">
        <v>2</v>
      </c>
      <c r="AE10" s="340">
        <v>1</v>
      </c>
      <c r="AF10" s="340">
        <v>0</v>
      </c>
      <c r="AG10" s="340">
        <v>0</v>
      </c>
      <c r="AH10" s="340">
        <v>0</v>
      </c>
      <c r="AI10" s="340">
        <v>0</v>
      </c>
      <c r="AJ10" s="340">
        <v>0</v>
      </c>
      <c r="AK10" s="340">
        <v>0</v>
      </c>
    </row>
    <row r="11" spans="1:37" x14ac:dyDescent="0.25">
      <c r="A11" s="304" t="s">
        <v>66</v>
      </c>
      <c r="B11" s="347">
        <v>14</v>
      </c>
      <c r="C11" s="298">
        <f>IF($B11="","",VLOOKUP($B11,'Lány 1 kcs B ELO'!$A$7:$O$22,5))</f>
        <v>0</v>
      </c>
      <c r="D11" s="298">
        <f>IF($B11="","",VLOOKUP($B11,'Lány 1 kcs B ELO'!$A$7:$O$22,15))</f>
        <v>0</v>
      </c>
      <c r="E11" s="293" t="str">
        <f>UPPER(IF($B11="","",VLOOKUP($B11,'Lány 1 kcs B ELO'!$A$7:$O$22,2)))</f>
        <v>SZŐKE E.</v>
      </c>
      <c r="F11" s="299"/>
      <c r="G11" s="293" t="str">
        <f>IF($B11="","",VLOOKUP($B11,'Lány 1 kcs B ELO'!$A$7:$O$22,3))</f>
        <v>Emma</v>
      </c>
      <c r="H11" s="299"/>
      <c r="I11" s="293" t="str">
        <f>IF($B11="","",VLOOKUP($B11,'Lány 1 kcs B ELO'!$A$7:$O$22,4))</f>
        <v>Jászberényi Nagyboldogasszony Katolikus Óvoda, Kéttannyelvű Általános Iskola és Gimnázium</v>
      </c>
      <c r="J11" s="274"/>
      <c r="K11" s="360"/>
      <c r="L11" s="351" t="str">
        <f>IF(K11="","",CONCATENATE(VLOOKUP($Y$3,$AB$1:$AK$1,K11)," pont"))</f>
        <v/>
      </c>
      <c r="M11" s="361"/>
      <c r="Y11" s="349"/>
      <c r="Z11" s="349"/>
      <c r="AA11" s="349" t="s">
        <v>100</v>
      </c>
      <c r="AB11" s="340">
        <v>3</v>
      </c>
      <c r="AC11" s="340">
        <v>2</v>
      </c>
      <c r="AD11" s="340">
        <v>1</v>
      </c>
      <c r="AE11" s="340">
        <v>0</v>
      </c>
      <c r="AF11" s="340">
        <v>0</v>
      </c>
      <c r="AG11" s="340">
        <v>0</v>
      </c>
      <c r="AH11" s="340">
        <v>0</v>
      </c>
      <c r="AI11" s="340">
        <v>0</v>
      </c>
      <c r="AJ11" s="340">
        <v>0</v>
      </c>
      <c r="AK11" s="340">
        <v>0</v>
      </c>
    </row>
    <row r="12" spans="1:37" x14ac:dyDescent="0.25">
      <c r="A12" s="274"/>
      <c r="B12" s="332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2"/>
      <c r="Y12" s="349"/>
      <c r="Z12" s="349"/>
      <c r="AA12" s="349" t="s">
        <v>96</v>
      </c>
      <c r="AB12" s="358">
        <v>0</v>
      </c>
      <c r="AC12" s="358">
        <v>0</v>
      </c>
      <c r="AD12" s="358">
        <v>0</v>
      </c>
      <c r="AE12" s="358">
        <v>0</v>
      </c>
      <c r="AF12" s="358">
        <v>0</v>
      </c>
      <c r="AG12" s="358">
        <v>0</v>
      </c>
      <c r="AH12" s="358">
        <v>0</v>
      </c>
      <c r="AI12" s="358">
        <v>0</v>
      </c>
      <c r="AJ12" s="358">
        <v>0</v>
      </c>
      <c r="AK12" s="358">
        <v>0</v>
      </c>
    </row>
    <row r="13" spans="1:37" x14ac:dyDescent="0.25">
      <c r="A13" s="332" t="s">
        <v>71</v>
      </c>
      <c r="B13" s="345">
        <v>7</v>
      </c>
      <c r="C13" s="298">
        <f>IF($B13="","",VLOOKUP($B13,'Lány 1 kcs B ELO'!$A$7:$O$22,5))</f>
        <v>0</v>
      </c>
      <c r="D13" s="298">
        <f>IF($B13="","",VLOOKUP($B13,'Lány 1 kcs B ELO'!$A$7:$O$22,15))</f>
        <v>0</v>
      </c>
      <c r="E13" s="294" t="str">
        <f>UPPER(IF($B13="","",VLOOKUP($B13,'Lány 1 kcs B ELO'!$A$7:$O$22,2)))</f>
        <v xml:space="preserve">PRÉDL </v>
      </c>
      <c r="F13" s="297"/>
      <c r="G13" s="294" t="str">
        <f>IF($B13="","",VLOOKUP($B13,'Lány 1 kcs B ELO'!$A$7:$O$22,3))</f>
        <v>Emma Lili</v>
      </c>
      <c r="H13" s="297"/>
      <c r="I13" s="294" t="str">
        <f>IF($B13="","",VLOOKUP($B13,'Lány 1 kcs B ELO'!$A$7:$O$22,4))</f>
        <v>Városligeti Magyar-Angol Két Tanítási Nyelvű Általános Iskola</v>
      </c>
      <c r="J13" s="274"/>
      <c r="K13" s="360"/>
      <c r="L13" s="351" t="str">
        <f>IF(K13="","",CONCATENATE(VLOOKUP($Y$3,$AB$1:$AK$1,K13)," pont"))</f>
        <v/>
      </c>
      <c r="M13" s="361"/>
      <c r="Y13" s="349"/>
      <c r="Z13" s="349"/>
      <c r="AA13" s="349" t="s">
        <v>97</v>
      </c>
      <c r="AB13" s="358">
        <v>0</v>
      </c>
      <c r="AC13" s="358">
        <v>0</v>
      </c>
      <c r="AD13" s="358">
        <v>0</v>
      </c>
      <c r="AE13" s="358">
        <v>0</v>
      </c>
      <c r="AF13" s="358">
        <v>0</v>
      </c>
      <c r="AG13" s="358">
        <v>0</v>
      </c>
      <c r="AH13" s="358">
        <v>0</v>
      </c>
      <c r="AI13" s="358">
        <v>0</v>
      </c>
      <c r="AJ13" s="358">
        <v>0</v>
      </c>
      <c r="AK13" s="358">
        <v>0</v>
      </c>
    </row>
    <row r="14" spans="1:37" x14ac:dyDescent="0.25">
      <c r="A14" s="304"/>
      <c r="B14" s="346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2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49"/>
      <c r="AJ14" s="349"/>
      <c r="AK14" s="349"/>
    </row>
    <row r="15" spans="1:37" x14ac:dyDescent="0.25">
      <c r="A15" s="304" t="s">
        <v>72</v>
      </c>
      <c r="B15" s="347">
        <v>12</v>
      </c>
      <c r="C15" s="298">
        <f>IF($B15="","",VLOOKUP($B15,'Lány 1 kcs B ELO'!$A$7:$O$22,5))</f>
        <v>0</v>
      </c>
      <c r="D15" s="298">
        <f>IF($B15="","",VLOOKUP($B15,'Lány 1 kcs B ELO'!$A$7:$O$22,15))</f>
        <v>0</v>
      </c>
      <c r="E15" s="293" t="str">
        <f>UPPER(IF($B15="","",VLOOKUP($B15,'Lány 1 kcs B ELO'!$A$7:$O$22,2)))</f>
        <v xml:space="preserve">JANKOVICH </v>
      </c>
      <c r="F15" s="299"/>
      <c r="G15" s="293" t="str">
        <f>IF($B15="","",VLOOKUP($B15,'Lány 1 kcs B ELO'!$A$7:$O$22,3))</f>
        <v>Judit</v>
      </c>
      <c r="H15" s="299"/>
      <c r="I15" s="293">
        <f>IF($B15="","",VLOOKUP($B15,'Lány 1 kcs B ELO'!$A$7:$O$22,4))</f>
        <v>0</v>
      </c>
      <c r="J15" s="274"/>
      <c r="K15" s="360"/>
      <c r="L15" s="351" t="str">
        <f>IF(K15="","",CONCATENATE(VLOOKUP($Y$3,$AB$1:$AK$1,K15)," pont"))</f>
        <v/>
      </c>
      <c r="M15" s="361"/>
      <c r="Y15" s="349"/>
      <c r="Z15" s="349"/>
      <c r="AA15" s="349"/>
      <c r="AB15" s="349"/>
      <c r="AC15" s="349"/>
      <c r="AD15" s="349"/>
      <c r="AE15" s="349"/>
      <c r="AF15" s="349"/>
      <c r="AG15" s="349"/>
      <c r="AH15" s="349"/>
      <c r="AI15" s="349"/>
      <c r="AJ15" s="349"/>
      <c r="AK15" s="349"/>
    </row>
    <row r="16" spans="1:37" x14ac:dyDescent="0.25">
      <c r="A16" s="304"/>
      <c r="B16" s="346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2"/>
      <c r="Y16" s="349"/>
      <c r="Z16" s="349"/>
      <c r="AA16" s="349" t="s">
        <v>64</v>
      </c>
      <c r="AB16" s="349">
        <v>300</v>
      </c>
      <c r="AC16" s="349">
        <v>250</v>
      </c>
      <c r="AD16" s="349">
        <v>220</v>
      </c>
      <c r="AE16" s="349">
        <v>180</v>
      </c>
      <c r="AF16" s="349">
        <v>160</v>
      </c>
      <c r="AG16" s="349">
        <v>150</v>
      </c>
      <c r="AH16" s="349">
        <v>140</v>
      </c>
      <c r="AI16" s="349">
        <v>130</v>
      </c>
      <c r="AJ16" s="349">
        <v>120</v>
      </c>
      <c r="AK16" s="349">
        <v>110</v>
      </c>
    </row>
    <row r="17" spans="1:37" x14ac:dyDescent="0.25">
      <c r="A17" s="304" t="s">
        <v>73</v>
      </c>
      <c r="B17" s="347">
        <v>6</v>
      </c>
      <c r="C17" s="298">
        <f>IF($B17="","",VLOOKUP($B17,'Lány 1 kcs B ELO'!$A$7:$O$22,5))</f>
        <v>0</v>
      </c>
      <c r="D17" s="298">
        <f>IF($B17="","",VLOOKUP($B17,'Lány 1 kcs B ELO'!$A$7:$O$22,15))</f>
        <v>0</v>
      </c>
      <c r="E17" s="293" t="str">
        <f>UPPER(IF($B17="","",VLOOKUP($B17,'Lány 1 kcs B ELO'!$A$7:$O$22,2)))</f>
        <v xml:space="preserve">FARKAS </v>
      </c>
      <c r="F17" s="299"/>
      <c r="G17" s="293" t="str">
        <f>IF($B17="","",VLOOKUP($B17,'Lány 1 kcs B ELO'!$A$7:$O$22,3))</f>
        <v>Szófia</v>
      </c>
      <c r="H17" s="299"/>
      <c r="I17" s="293" t="str">
        <f>IF($B17="","",VLOOKUP($B17,'Lány 1 kcs B ELO'!$A$7:$O$22,4))</f>
        <v>Diósgyőri Nagy Lajos Király Általános Iskola Miskolc</v>
      </c>
      <c r="J17" s="274"/>
      <c r="K17" s="360"/>
      <c r="L17" s="351" t="str">
        <f>IF(K17="","",CONCATENATE(VLOOKUP($Y$3,$AB$1:$AK$1,K17)," pont"))</f>
        <v/>
      </c>
      <c r="M17" s="361"/>
      <c r="Y17" s="349"/>
      <c r="Z17" s="349"/>
      <c r="AA17" s="349" t="s">
        <v>88</v>
      </c>
      <c r="AB17" s="349">
        <v>250</v>
      </c>
      <c r="AC17" s="349">
        <v>200</v>
      </c>
      <c r="AD17" s="349">
        <v>160</v>
      </c>
      <c r="AE17" s="349">
        <v>140</v>
      </c>
      <c r="AF17" s="349">
        <v>120</v>
      </c>
      <c r="AG17" s="349">
        <v>110</v>
      </c>
      <c r="AH17" s="349">
        <v>100</v>
      </c>
      <c r="AI17" s="349">
        <v>90</v>
      </c>
      <c r="AJ17" s="349">
        <v>80</v>
      </c>
      <c r="AK17" s="349">
        <v>70</v>
      </c>
    </row>
    <row r="18" spans="1:37" x14ac:dyDescent="0.25">
      <c r="A18" s="304"/>
      <c r="B18" s="346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2"/>
      <c r="Y18" s="349"/>
      <c r="Z18" s="349"/>
      <c r="AA18" s="349" t="s">
        <v>89</v>
      </c>
      <c r="AB18" s="349">
        <v>200</v>
      </c>
      <c r="AC18" s="349">
        <v>150</v>
      </c>
      <c r="AD18" s="349">
        <v>130</v>
      </c>
      <c r="AE18" s="349">
        <v>110</v>
      </c>
      <c r="AF18" s="349">
        <v>95</v>
      </c>
      <c r="AG18" s="349">
        <v>80</v>
      </c>
      <c r="AH18" s="349">
        <v>70</v>
      </c>
      <c r="AI18" s="349">
        <v>60</v>
      </c>
      <c r="AJ18" s="349">
        <v>55</v>
      </c>
      <c r="AK18" s="349">
        <v>50</v>
      </c>
    </row>
    <row r="19" spans="1:37" x14ac:dyDescent="0.25">
      <c r="A19" s="304" t="s">
        <v>73</v>
      </c>
      <c r="B19" s="347">
        <v>2</v>
      </c>
      <c r="C19" s="298">
        <f>IF($B19="","",VLOOKUP($B19,'Lány 1 kcs B ELO'!$A$7:$O$22,5))</f>
        <v>0</v>
      </c>
      <c r="D19" s="298">
        <f>IF($B19="","",VLOOKUP($B19,'Lány 1 kcs B ELO'!$A$7:$O$22,15))</f>
        <v>0</v>
      </c>
      <c r="E19" s="293" t="str">
        <f>UPPER(IF($B19="","",VLOOKUP($B19,'Lány 1 kcs B ELO'!$A$7:$O$22,2)))</f>
        <v xml:space="preserve">JAGIC </v>
      </c>
      <c r="F19" s="299"/>
      <c r="G19" s="293" t="str">
        <f>IF($B19="","",VLOOKUP($B19,'Lány 1 kcs B ELO'!$A$7:$O$22,3))</f>
        <v>Hanna Mila</v>
      </c>
      <c r="H19" s="299"/>
      <c r="I19" s="293" t="str">
        <f>IF($B19="","",VLOOKUP($B19,'Lány 1 kcs B ELO'!$A$7:$O$22,4))</f>
        <v>Pécsi Jókai Ált. Isk.</v>
      </c>
      <c r="J19" s="274"/>
      <c r="K19" s="360"/>
      <c r="L19" s="351" t="str">
        <f>IF(K19="","",CONCATENATE(VLOOKUP($Y$3,$AB$1:$AK$1,K19)," pont"))</f>
        <v/>
      </c>
      <c r="M19" s="361"/>
      <c r="Y19" s="349"/>
      <c r="Z19" s="349"/>
      <c r="AA19" s="349" t="s">
        <v>90</v>
      </c>
      <c r="AB19" s="349">
        <v>150</v>
      </c>
      <c r="AC19" s="349">
        <v>120</v>
      </c>
      <c r="AD19" s="349">
        <v>100</v>
      </c>
      <c r="AE19" s="349">
        <v>80</v>
      </c>
      <c r="AF19" s="349">
        <v>70</v>
      </c>
      <c r="AG19" s="349">
        <v>60</v>
      </c>
      <c r="AH19" s="349">
        <v>55</v>
      </c>
      <c r="AI19" s="349">
        <v>50</v>
      </c>
      <c r="AJ19" s="349">
        <v>45</v>
      </c>
      <c r="AK19" s="349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49"/>
      <c r="Z20" s="349"/>
      <c r="AA20" s="349" t="s">
        <v>91</v>
      </c>
      <c r="AB20" s="349">
        <v>120</v>
      </c>
      <c r="AC20" s="349">
        <v>90</v>
      </c>
      <c r="AD20" s="349">
        <v>65</v>
      </c>
      <c r="AE20" s="349">
        <v>55</v>
      </c>
      <c r="AF20" s="349">
        <v>50</v>
      </c>
      <c r="AG20" s="349">
        <v>45</v>
      </c>
      <c r="AH20" s="349">
        <v>40</v>
      </c>
      <c r="AI20" s="349">
        <v>35</v>
      </c>
      <c r="AJ20" s="349">
        <v>25</v>
      </c>
      <c r="AK20" s="349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49"/>
      <c r="Z21" s="349"/>
      <c r="AA21" s="349" t="s">
        <v>92</v>
      </c>
      <c r="AB21" s="349">
        <v>90</v>
      </c>
      <c r="AC21" s="349">
        <v>60</v>
      </c>
      <c r="AD21" s="349">
        <v>45</v>
      </c>
      <c r="AE21" s="349">
        <v>34</v>
      </c>
      <c r="AF21" s="349">
        <v>27</v>
      </c>
      <c r="AG21" s="349">
        <v>22</v>
      </c>
      <c r="AH21" s="349">
        <v>18</v>
      </c>
      <c r="AI21" s="349">
        <v>15</v>
      </c>
      <c r="AJ21" s="349">
        <v>12</v>
      </c>
      <c r="AK21" s="349">
        <v>9</v>
      </c>
    </row>
    <row r="22" spans="1:37" ht="18.75" customHeight="1" x14ac:dyDescent="0.25">
      <c r="A22" s="274"/>
      <c r="B22" s="446"/>
      <c r="C22" s="446"/>
      <c r="D22" s="447" t="str">
        <f>E7</f>
        <v>SZŐKE Z.</v>
      </c>
      <c r="E22" s="447"/>
      <c r="F22" s="447" t="str">
        <f>E9</f>
        <v xml:space="preserve">VARGA </v>
      </c>
      <c r="G22" s="447"/>
      <c r="H22" s="447" t="str">
        <f>E11</f>
        <v>SZŐKE E.</v>
      </c>
      <c r="I22" s="447"/>
      <c r="J22" s="274"/>
      <c r="K22" s="274"/>
      <c r="L22" s="274"/>
      <c r="M22" s="333" t="s">
        <v>68</v>
      </c>
      <c r="Y22" s="349"/>
      <c r="Z22" s="349"/>
      <c r="AA22" s="349" t="s">
        <v>93</v>
      </c>
      <c r="AB22" s="349">
        <v>60</v>
      </c>
      <c r="AC22" s="349">
        <v>40</v>
      </c>
      <c r="AD22" s="349">
        <v>30</v>
      </c>
      <c r="AE22" s="349">
        <v>20</v>
      </c>
      <c r="AF22" s="349">
        <v>18</v>
      </c>
      <c r="AG22" s="349">
        <v>15</v>
      </c>
      <c r="AH22" s="349">
        <v>12</v>
      </c>
      <c r="AI22" s="349">
        <v>10</v>
      </c>
      <c r="AJ22" s="349">
        <v>8</v>
      </c>
      <c r="AK22" s="349">
        <v>6</v>
      </c>
    </row>
    <row r="23" spans="1:37" ht="18.75" customHeight="1" x14ac:dyDescent="0.25">
      <c r="A23" s="331" t="s">
        <v>64</v>
      </c>
      <c r="B23" s="450" t="str">
        <f>E7</f>
        <v>SZŐKE Z.</v>
      </c>
      <c r="C23" s="450"/>
      <c r="D23" s="451"/>
      <c r="E23" s="451"/>
      <c r="F23" s="448" t="s">
        <v>317</v>
      </c>
      <c r="G23" s="449"/>
      <c r="H23" s="448" t="s">
        <v>302</v>
      </c>
      <c r="I23" s="449"/>
      <c r="J23" s="274"/>
      <c r="K23" s="274"/>
      <c r="L23" s="274"/>
      <c r="M23" s="334"/>
      <c r="Y23" s="349"/>
      <c r="Z23" s="349"/>
      <c r="AA23" s="349" t="s">
        <v>94</v>
      </c>
      <c r="AB23" s="349">
        <v>40</v>
      </c>
      <c r="AC23" s="349">
        <v>25</v>
      </c>
      <c r="AD23" s="349">
        <v>18</v>
      </c>
      <c r="AE23" s="349">
        <v>13</v>
      </c>
      <c r="AF23" s="349">
        <v>8</v>
      </c>
      <c r="AG23" s="349">
        <v>7</v>
      </c>
      <c r="AH23" s="349">
        <v>6</v>
      </c>
      <c r="AI23" s="349">
        <v>5</v>
      </c>
      <c r="AJ23" s="349">
        <v>4</v>
      </c>
      <c r="AK23" s="349">
        <v>3</v>
      </c>
    </row>
    <row r="24" spans="1:37" ht="18.75" customHeight="1" x14ac:dyDescent="0.25">
      <c r="A24" s="331" t="s">
        <v>65</v>
      </c>
      <c r="B24" s="450" t="str">
        <f>E9</f>
        <v xml:space="preserve">VARGA </v>
      </c>
      <c r="C24" s="450"/>
      <c r="D24" s="448" t="s">
        <v>316</v>
      </c>
      <c r="E24" s="449"/>
      <c r="F24" s="451"/>
      <c r="G24" s="451"/>
      <c r="H24" s="448" t="s">
        <v>301</v>
      </c>
      <c r="I24" s="449"/>
      <c r="J24" s="274"/>
      <c r="K24" s="274"/>
      <c r="L24" s="274"/>
      <c r="M24" s="334"/>
      <c r="Y24" s="349"/>
      <c r="Z24" s="349"/>
      <c r="AA24" s="349" t="s">
        <v>95</v>
      </c>
      <c r="AB24" s="349">
        <v>25</v>
      </c>
      <c r="AC24" s="349">
        <v>15</v>
      </c>
      <c r="AD24" s="349">
        <v>13</v>
      </c>
      <c r="AE24" s="349">
        <v>7</v>
      </c>
      <c r="AF24" s="349">
        <v>6</v>
      </c>
      <c r="AG24" s="349">
        <v>5</v>
      </c>
      <c r="AH24" s="349">
        <v>4</v>
      </c>
      <c r="AI24" s="349">
        <v>3</v>
      </c>
      <c r="AJ24" s="349">
        <v>2</v>
      </c>
      <c r="AK24" s="349">
        <v>1</v>
      </c>
    </row>
    <row r="25" spans="1:37" ht="18.75" customHeight="1" x14ac:dyDescent="0.25">
      <c r="A25" s="331" t="s">
        <v>66</v>
      </c>
      <c r="B25" s="450" t="str">
        <f>E11</f>
        <v>SZŐKE E.</v>
      </c>
      <c r="C25" s="450"/>
      <c r="D25" s="448" t="s">
        <v>301</v>
      </c>
      <c r="E25" s="449"/>
      <c r="F25" s="448" t="s">
        <v>302</v>
      </c>
      <c r="G25" s="449"/>
      <c r="H25" s="451"/>
      <c r="I25" s="451"/>
      <c r="J25" s="274"/>
      <c r="K25" s="274"/>
      <c r="L25" s="274"/>
      <c r="M25" s="334"/>
      <c r="Y25" s="349"/>
      <c r="Z25" s="349"/>
      <c r="AA25" s="349" t="s">
        <v>100</v>
      </c>
      <c r="AB25" s="349">
        <v>15</v>
      </c>
      <c r="AC25" s="349">
        <v>10</v>
      </c>
      <c r="AD25" s="349">
        <v>8</v>
      </c>
      <c r="AE25" s="349">
        <v>4</v>
      </c>
      <c r="AF25" s="349">
        <v>3</v>
      </c>
      <c r="AG25" s="349">
        <v>2</v>
      </c>
      <c r="AH25" s="349">
        <v>1</v>
      </c>
      <c r="AI25" s="349">
        <v>0</v>
      </c>
      <c r="AJ25" s="349">
        <v>0</v>
      </c>
      <c r="AK25" s="349">
        <v>0</v>
      </c>
    </row>
    <row r="26" spans="1:37" x14ac:dyDescent="0.25">
      <c r="A26" s="274"/>
      <c r="B26" s="274"/>
      <c r="C26" s="274"/>
      <c r="D26" s="274"/>
      <c r="E26" s="438"/>
      <c r="F26" s="274"/>
      <c r="G26" s="274"/>
      <c r="H26" s="274"/>
      <c r="I26" s="274"/>
      <c r="J26" s="274"/>
      <c r="K26" s="274"/>
      <c r="L26" s="274"/>
      <c r="M26" s="335"/>
      <c r="Y26" s="349"/>
      <c r="Z26" s="349"/>
      <c r="AA26" s="349" t="s">
        <v>96</v>
      </c>
      <c r="AB26" s="349">
        <v>10</v>
      </c>
      <c r="AC26" s="349">
        <v>6</v>
      </c>
      <c r="AD26" s="349">
        <v>4</v>
      </c>
      <c r="AE26" s="349">
        <v>2</v>
      </c>
      <c r="AF26" s="349">
        <v>1</v>
      </c>
      <c r="AG26" s="349">
        <v>0</v>
      </c>
      <c r="AH26" s="349">
        <v>0</v>
      </c>
      <c r="AI26" s="349">
        <v>0</v>
      </c>
      <c r="AJ26" s="349">
        <v>0</v>
      </c>
      <c r="AK26" s="349">
        <v>0</v>
      </c>
    </row>
    <row r="27" spans="1:37" ht="18.75" customHeight="1" x14ac:dyDescent="0.25">
      <c r="A27" s="274"/>
      <c r="B27" s="446"/>
      <c r="C27" s="446"/>
      <c r="D27" s="447" t="str">
        <f>E13</f>
        <v xml:space="preserve">PRÉDL </v>
      </c>
      <c r="E27" s="447"/>
      <c r="F27" s="447" t="str">
        <f>E15</f>
        <v xml:space="preserve">JANKOVICH </v>
      </c>
      <c r="G27" s="447"/>
      <c r="H27" s="447" t="str">
        <f>E17</f>
        <v xml:space="preserve">FARKAS </v>
      </c>
      <c r="I27" s="447"/>
      <c r="J27" s="447" t="str">
        <f>E19</f>
        <v xml:space="preserve">JAGIC </v>
      </c>
      <c r="K27" s="447"/>
      <c r="L27" s="274"/>
      <c r="M27" s="335"/>
      <c r="Y27" s="349"/>
      <c r="Z27" s="349"/>
      <c r="AA27" s="349" t="s">
        <v>97</v>
      </c>
      <c r="AB27" s="349">
        <v>3</v>
      </c>
      <c r="AC27" s="349">
        <v>2</v>
      </c>
      <c r="AD27" s="349">
        <v>1</v>
      </c>
      <c r="AE27" s="349">
        <v>0</v>
      </c>
      <c r="AF27" s="349">
        <v>0</v>
      </c>
      <c r="AG27" s="349">
        <v>0</v>
      </c>
      <c r="AH27" s="349">
        <v>0</v>
      </c>
      <c r="AI27" s="349">
        <v>0</v>
      </c>
      <c r="AJ27" s="349">
        <v>0</v>
      </c>
      <c r="AK27" s="349">
        <v>0</v>
      </c>
    </row>
    <row r="28" spans="1:37" ht="18.75" customHeight="1" x14ac:dyDescent="0.25">
      <c r="A28" s="331" t="s">
        <v>71</v>
      </c>
      <c r="B28" s="450" t="str">
        <f>E13</f>
        <v xml:space="preserve">PRÉDL </v>
      </c>
      <c r="C28" s="450"/>
      <c r="D28" s="451"/>
      <c r="E28" s="451"/>
      <c r="F28" s="448" t="s">
        <v>296</v>
      </c>
      <c r="G28" s="449"/>
      <c r="H28" s="448" t="s">
        <v>296</v>
      </c>
      <c r="I28" s="449"/>
      <c r="J28" s="458" t="s">
        <v>296</v>
      </c>
      <c r="K28" s="452"/>
      <c r="L28" s="274"/>
      <c r="M28" s="334"/>
    </row>
    <row r="29" spans="1:37" ht="18.75" customHeight="1" x14ac:dyDescent="0.25">
      <c r="A29" s="331" t="s">
        <v>72</v>
      </c>
      <c r="B29" s="450" t="str">
        <f>E15</f>
        <v xml:space="preserve">JANKOVICH </v>
      </c>
      <c r="C29" s="450"/>
      <c r="D29" s="448" t="s">
        <v>295</v>
      </c>
      <c r="E29" s="449"/>
      <c r="F29" s="451"/>
      <c r="G29" s="451"/>
      <c r="H29" s="448" t="s">
        <v>295</v>
      </c>
      <c r="I29" s="449"/>
      <c r="J29" s="448" t="s">
        <v>298</v>
      </c>
      <c r="K29" s="449"/>
      <c r="L29" s="274"/>
      <c r="M29" s="334" t="s">
        <v>300</v>
      </c>
    </row>
    <row r="30" spans="1:37" ht="18.75" customHeight="1" x14ac:dyDescent="0.25">
      <c r="A30" s="331" t="s">
        <v>73</v>
      </c>
      <c r="B30" s="450" t="str">
        <f>E17</f>
        <v xml:space="preserve">FARKAS </v>
      </c>
      <c r="C30" s="450"/>
      <c r="D30" s="448" t="s">
        <v>296</v>
      </c>
      <c r="E30" s="449"/>
      <c r="F30" s="448" t="s">
        <v>296</v>
      </c>
      <c r="G30" s="449"/>
      <c r="H30" s="451"/>
      <c r="I30" s="451"/>
      <c r="J30" s="448" t="s">
        <v>296</v>
      </c>
      <c r="K30" s="449"/>
      <c r="L30" s="274"/>
      <c r="M30" s="334"/>
    </row>
    <row r="31" spans="1:37" ht="18.75" customHeight="1" x14ac:dyDescent="0.25">
      <c r="A31" s="331" t="s">
        <v>77</v>
      </c>
      <c r="B31" s="450" t="str">
        <f>E19</f>
        <v xml:space="preserve">JAGIC </v>
      </c>
      <c r="C31" s="450"/>
      <c r="D31" s="448" t="s">
        <v>295</v>
      </c>
      <c r="E31" s="449"/>
      <c r="F31" s="448" t="s">
        <v>297</v>
      </c>
      <c r="G31" s="449"/>
      <c r="H31" s="458" t="s">
        <v>295</v>
      </c>
      <c r="I31" s="452"/>
      <c r="J31" s="451"/>
      <c r="K31" s="451"/>
      <c r="L31" s="274"/>
      <c r="M31" s="334" t="s">
        <v>299</v>
      </c>
    </row>
    <row r="32" spans="1:37" ht="18.75" customHeight="1" x14ac:dyDescent="0.25">
      <c r="A32" s="336"/>
      <c r="B32" s="337"/>
      <c r="C32" s="337"/>
      <c r="D32" s="336"/>
      <c r="E32" s="336"/>
      <c r="F32" s="336"/>
      <c r="G32" s="336"/>
      <c r="H32" s="336"/>
      <c r="I32" s="336"/>
      <c r="J32" s="274"/>
      <c r="K32" s="274"/>
      <c r="L32" s="274"/>
      <c r="M32" s="338"/>
    </row>
    <row r="33" spans="1:18" x14ac:dyDescent="0.25">
      <c r="A33" s="274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</row>
    <row r="34" spans="1:18" x14ac:dyDescent="0.25">
      <c r="A34" s="274" t="s">
        <v>58</v>
      </c>
      <c r="B34" s="274"/>
      <c r="C34" s="455" t="str">
        <f>IF(M23=1,B23,IF(M24=1,B24,IF(M25=1,B25,"")))</f>
        <v/>
      </c>
      <c r="D34" s="455"/>
      <c r="E34" s="304" t="s">
        <v>75</v>
      </c>
      <c r="F34" s="455" t="str">
        <f>IF(M28=1,B28,IF(M29=1,B29,IF(M30=1,B30,IF(M31=1,B31,""))))</f>
        <v/>
      </c>
      <c r="G34" s="455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274"/>
      <c r="D35" s="274"/>
      <c r="E35" s="27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74</v>
      </c>
      <c r="B36" s="274"/>
      <c r="C36" s="455" t="str">
        <f>IF(M23=2,B23,IF(M24=2,B24,IF(M25=2,B25,"")))</f>
        <v/>
      </c>
      <c r="D36" s="455"/>
      <c r="E36" s="304" t="s">
        <v>75</v>
      </c>
      <c r="F36" s="455" t="str">
        <f>IF(M28=2,B28,IF(M29=2,B29,IF(M30=2,B30,IF(M31=2,B31,""))))</f>
        <v/>
      </c>
      <c r="G36" s="455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304"/>
      <c r="D37" s="304"/>
      <c r="E37" s="304"/>
      <c r="F37" s="304"/>
      <c r="G37" s="304"/>
      <c r="H37" s="274"/>
      <c r="I37" s="274"/>
      <c r="J37" s="274"/>
      <c r="K37" s="274"/>
      <c r="L37" s="274"/>
      <c r="M37" s="274"/>
    </row>
    <row r="38" spans="1:18" x14ac:dyDescent="0.25">
      <c r="A38" s="274" t="s">
        <v>76</v>
      </c>
      <c r="B38" s="274"/>
      <c r="C38" s="455" t="str">
        <f>IF(M23=3,B23,IF(M24=3,B24,IF(M25=3,B25,"")))</f>
        <v/>
      </c>
      <c r="D38" s="455"/>
      <c r="E38" s="304" t="s">
        <v>75</v>
      </c>
      <c r="F38" s="455" t="str">
        <f>IF(M28=3,B28,IF(M29=3,B29,IF(M30=3,B30,IF(M31=3,B31,""))))</f>
        <v/>
      </c>
      <c r="G38" s="455"/>
      <c r="H38" s="274"/>
      <c r="I38" s="252"/>
      <c r="J38" s="274"/>
      <c r="K38" s="274"/>
      <c r="L38" s="274"/>
      <c r="M38" s="274"/>
    </row>
    <row r="39" spans="1:18" x14ac:dyDescent="0.25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</row>
    <row r="40" spans="1:18" x14ac:dyDescent="0.25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52"/>
      <c r="M40" s="274"/>
    </row>
    <row r="41" spans="1:18" x14ac:dyDescent="0.25">
      <c r="A41" s="140" t="s">
        <v>43</v>
      </c>
      <c r="B41" s="141"/>
      <c r="C41" s="209"/>
      <c r="D41" s="310" t="s">
        <v>4</v>
      </c>
      <c r="E41" s="311" t="s">
        <v>45</v>
      </c>
      <c r="F41" s="325"/>
      <c r="G41" s="310" t="s">
        <v>4</v>
      </c>
      <c r="H41" s="311" t="s">
        <v>54</v>
      </c>
      <c r="I41" s="165"/>
      <c r="J41" s="311" t="s">
        <v>55</v>
      </c>
      <c r="K41" s="164" t="s">
        <v>56</v>
      </c>
      <c r="L41" s="33"/>
      <c r="M41" s="325"/>
      <c r="P41" s="306"/>
      <c r="Q41" s="306"/>
      <c r="R41" s="307"/>
    </row>
    <row r="42" spans="1:18" x14ac:dyDescent="0.25">
      <c r="A42" s="285" t="s">
        <v>44</v>
      </c>
      <c r="B42" s="286"/>
      <c r="C42" s="288"/>
      <c r="D42" s="312">
        <v>1</v>
      </c>
      <c r="E42" s="454" t="str">
        <f>IF(D42&gt;$R$44,,UPPER(VLOOKUP(D42,'Lány 1 kcs B ELO'!$A$7:$Q$134,2)))</f>
        <v xml:space="preserve">VARGA </v>
      </c>
      <c r="F42" s="454"/>
      <c r="G42" s="319" t="s">
        <v>5</v>
      </c>
      <c r="H42" s="286"/>
      <c r="I42" s="313"/>
      <c r="J42" s="320"/>
      <c r="K42" s="280" t="s">
        <v>46</v>
      </c>
      <c r="L42" s="326"/>
      <c r="M42" s="314"/>
      <c r="P42" s="308"/>
      <c r="Q42" s="308"/>
      <c r="R42" s="153"/>
    </row>
    <row r="43" spans="1:18" x14ac:dyDescent="0.25">
      <c r="A43" s="289" t="s">
        <v>53</v>
      </c>
      <c r="B43" s="163"/>
      <c r="C43" s="291"/>
      <c r="D43" s="315">
        <v>2</v>
      </c>
      <c r="E43" s="453" t="str">
        <f>IF(D43&gt;$R$44,,UPPER(VLOOKUP(D43,'Lány 1 kcs B ELO'!$A$7:$Q$134,2)))</f>
        <v xml:space="preserve">JAGIC </v>
      </c>
      <c r="F43" s="453"/>
      <c r="G43" s="321" t="s">
        <v>6</v>
      </c>
      <c r="H43" s="83"/>
      <c r="I43" s="278"/>
      <c r="J43" s="84"/>
      <c r="K43" s="323"/>
      <c r="L43" s="252"/>
      <c r="M43" s="318"/>
      <c r="P43" s="153"/>
      <c r="Q43" s="151"/>
      <c r="R43" s="153"/>
    </row>
    <row r="44" spans="1:18" x14ac:dyDescent="0.25">
      <c r="A44" s="178"/>
      <c r="B44" s="179"/>
      <c r="C44" s="180"/>
      <c r="D44" s="315"/>
      <c r="E44" s="85"/>
      <c r="F44" s="274"/>
      <c r="G44" s="321" t="s">
        <v>7</v>
      </c>
      <c r="H44" s="83"/>
      <c r="I44" s="278"/>
      <c r="J44" s="84"/>
      <c r="K44" s="280" t="s">
        <v>47</v>
      </c>
      <c r="L44" s="326"/>
      <c r="M44" s="314"/>
      <c r="P44" s="308"/>
      <c r="Q44" s="308"/>
      <c r="R44" s="309">
        <f>MIN(4,'Lány 1 kcs B ELO'!Q2)</f>
        <v>4</v>
      </c>
    </row>
    <row r="45" spans="1:18" x14ac:dyDescent="0.25">
      <c r="A45" s="154"/>
      <c r="B45" s="120"/>
      <c r="C45" s="155"/>
      <c r="D45" s="315"/>
      <c r="E45" s="85"/>
      <c r="F45" s="274"/>
      <c r="G45" s="321" t="s">
        <v>8</v>
      </c>
      <c r="H45" s="83"/>
      <c r="I45" s="278"/>
      <c r="J45" s="84"/>
      <c r="K45" s="324"/>
      <c r="L45" s="274"/>
      <c r="M45" s="316"/>
      <c r="P45" s="153"/>
      <c r="Q45" s="151"/>
      <c r="R45" s="153"/>
    </row>
    <row r="46" spans="1:18" x14ac:dyDescent="0.25">
      <c r="A46" s="167"/>
      <c r="B46" s="181"/>
      <c r="C46" s="208"/>
      <c r="D46" s="315"/>
      <c r="E46" s="85"/>
      <c r="F46" s="274"/>
      <c r="G46" s="321" t="s">
        <v>9</v>
      </c>
      <c r="H46" s="83"/>
      <c r="I46" s="278"/>
      <c r="J46" s="84"/>
      <c r="K46" s="289"/>
      <c r="L46" s="252"/>
      <c r="M46" s="318"/>
      <c r="P46" s="153"/>
      <c r="Q46" s="151"/>
      <c r="R46" s="153"/>
    </row>
    <row r="47" spans="1:18" x14ac:dyDescent="0.25">
      <c r="A47" s="168"/>
      <c r="B47" s="22"/>
      <c r="C47" s="155"/>
      <c r="D47" s="315"/>
      <c r="E47" s="85"/>
      <c r="F47" s="274"/>
      <c r="G47" s="321" t="s">
        <v>10</v>
      </c>
      <c r="H47" s="83"/>
      <c r="I47" s="278"/>
      <c r="J47" s="84"/>
      <c r="K47" s="280" t="s">
        <v>33</v>
      </c>
      <c r="L47" s="326"/>
      <c r="M47" s="314"/>
      <c r="P47" s="308"/>
      <c r="Q47" s="308"/>
      <c r="R47" s="153"/>
    </row>
    <row r="48" spans="1:18" x14ac:dyDescent="0.25">
      <c r="A48" s="168"/>
      <c r="B48" s="22"/>
      <c r="C48" s="176"/>
      <c r="D48" s="315"/>
      <c r="E48" s="85"/>
      <c r="F48" s="274"/>
      <c r="G48" s="321" t="s">
        <v>11</v>
      </c>
      <c r="H48" s="83"/>
      <c r="I48" s="278"/>
      <c r="J48" s="84"/>
      <c r="K48" s="324"/>
      <c r="L48" s="274"/>
      <c r="M48" s="316"/>
      <c r="P48" s="153"/>
      <c r="Q48" s="151"/>
      <c r="R48" s="153"/>
    </row>
    <row r="49" spans="1:18" x14ac:dyDescent="0.25">
      <c r="A49" s="169"/>
      <c r="B49" s="166"/>
      <c r="C49" s="177"/>
      <c r="D49" s="317"/>
      <c r="E49" s="156"/>
      <c r="F49" s="252"/>
      <c r="G49" s="322" t="s">
        <v>12</v>
      </c>
      <c r="H49" s="163"/>
      <c r="I49" s="282"/>
      <c r="J49" s="158"/>
      <c r="K49" s="289" t="str">
        <f>L4</f>
        <v>Rákóczi Andrea</v>
      </c>
      <c r="L49" s="252"/>
      <c r="M49" s="318"/>
      <c r="P49" s="153"/>
      <c r="Q49" s="151"/>
      <c r="R49" s="309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87" priority="1" stopIfTrue="1" operator="equal">
      <formula>"Bye"</formula>
    </cfRule>
  </conditionalFormatting>
  <conditionalFormatting sqref="R44 R49">
    <cfRule type="expression" dxfId="8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21</vt:i4>
      </vt:variant>
    </vt:vector>
  </HeadingPairs>
  <TitlesOfParts>
    <vt:vector size="41" baseType="lpstr">
      <vt:lpstr>Altalanos</vt:lpstr>
      <vt:lpstr>Birók</vt:lpstr>
      <vt:lpstr>Lány 1 kcs. A ELO</vt:lpstr>
      <vt:lpstr>Lány 1 kcs. A</vt:lpstr>
      <vt:lpstr>Lány 1 kcs B ELO</vt:lpstr>
      <vt:lpstr>Lány 1 kcs. B 1 csop.</vt:lpstr>
      <vt:lpstr>Lány 1 kcs. B 2 csop.</vt:lpstr>
      <vt:lpstr>Lány 1 kcs. B 3-4 csop.</vt:lpstr>
      <vt:lpstr>Lány 1 kcs. 5-6 csop.</vt:lpstr>
      <vt:lpstr>Lány 1 kcs. B Döntő</vt:lpstr>
      <vt:lpstr>Fiú 1 kcs. A ELO</vt:lpstr>
      <vt:lpstr>Fiú 1 kcs. A 1 csop.</vt:lpstr>
      <vt:lpstr>Fiú 1 kcs. A 2-3 csop.</vt:lpstr>
      <vt:lpstr>Fiú 1 kcs. A Döntő</vt:lpstr>
      <vt:lpstr>Fiú 1 kcs. B ELO</vt:lpstr>
      <vt:lpstr>Fiú 1 kcs. B 1-es csop.</vt:lpstr>
      <vt:lpstr>Fiú 1 kcs 2-3 csop.</vt:lpstr>
      <vt:lpstr>Fiú 1 kcs. B 4-5 csop.</vt:lpstr>
      <vt:lpstr>Fiú 1 kcs. B. 6-7 csop.</vt:lpstr>
      <vt:lpstr>Fiú 1 kcs. B Döntő</vt:lpstr>
      <vt:lpstr>'Fiú 1 kcs. A ELO'!Nyomtatási_cím</vt:lpstr>
      <vt:lpstr>'Fiú 1 kcs. B ELO'!Nyomtatási_cím</vt:lpstr>
      <vt:lpstr>'Lány 1 kcs B ELO'!Nyomtatási_cím</vt:lpstr>
      <vt:lpstr>'Lány 1 kcs. A ELO'!Nyomtatási_cím</vt:lpstr>
      <vt:lpstr>Birók!Nyomtatási_terület</vt:lpstr>
      <vt:lpstr>'Fiú 1 kcs 2-3 csop.'!Nyomtatási_terület</vt:lpstr>
      <vt:lpstr>'Fiú 1 kcs. A 1 csop.'!Nyomtatási_terület</vt:lpstr>
      <vt:lpstr>'Fiú 1 kcs. A 2-3 csop.'!Nyomtatási_terület</vt:lpstr>
      <vt:lpstr>'Fiú 1 kcs. A ELO'!Nyomtatási_terület</vt:lpstr>
      <vt:lpstr>'Fiú 1 kcs. B 1-es csop.'!Nyomtatási_terület</vt:lpstr>
      <vt:lpstr>'Fiú 1 kcs. B 4-5 csop.'!Nyomtatási_terület</vt:lpstr>
      <vt:lpstr>'Fiú 1 kcs. B Döntő'!Nyomtatási_terület</vt:lpstr>
      <vt:lpstr>'Fiú 1 kcs. B ELO'!Nyomtatási_terület</vt:lpstr>
      <vt:lpstr>'Fiú 1 kcs. B. 6-7 csop.'!Nyomtatási_terület</vt:lpstr>
      <vt:lpstr>'Lány 1 kcs B ELO'!Nyomtatási_terület</vt:lpstr>
      <vt:lpstr>'Lány 1 kcs. 5-6 csop.'!Nyomtatási_terület</vt:lpstr>
      <vt:lpstr>'Lány 1 kcs. A'!Nyomtatási_terület</vt:lpstr>
      <vt:lpstr>'Lány 1 kcs. A ELO'!Nyomtatási_terület</vt:lpstr>
      <vt:lpstr>'Lány 1 kcs. B 1 csop.'!Nyomtatási_terület</vt:lpstr>
      <vt:lpstr>'Lány 1 kcs. B 3-4 csop.'!Nyomtatási_terület</vt:lpstr>
      <vt:lpstr>'Lány 1 kcs. B Döntő'!Nyomtatási_terület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2025-05-27T09:07:16Z</dcterms:modified>
  <cp:category>Forms</cp:category>
</cp:coreProperties>
</file>