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4\Csapat\14-16\"/>
    </mc:Choice>
  </mc:AlternateContent>
  <xr:revisionPtr revIDLastSave="0" documentId="8_{1275E783-4872-422A-BB25-8A3BF3E8BDB5}" xr6:coauthVersionLast="47" xr6:coauthVersionMax="47" xr10:uidLastSave="{00000000-0000-0000-0000-000000000000}"/>
  <bookViews>
    <workbookView xWindow="-108" yWindow="-108" windowWidth="23256" windowHeight="13176" tabRatio="884" firstSheet="1" activeTab="3" xr2:uid="{8C03EE29-2605-4DD0-8BE1-1705E68E3D8F}"/>
  </bookViews>
  <sheets>
    <sheet name="Altalanos" sheetId="1" r:id="rId1"/>
    <sheet name="Birók" sheetId="2" r:id="rId2"/>
    <sheet name="F14 csapat ELO" sheetId="231" r:id="rId3"/>
    <sheet name="F14 Csapat" sheetId="237" r:id="rId4"/>
    <sheet name="F16 csapat ELO" sheetId="279" r:id="rId5"/>
    <sheet name="F16 Csapat" sheetId="282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'F14 csapat ELO'!$1:$6</definedName>
    <definedName name="_xlnm.Print_Titles" localSheetId="4">'F16 csapat ELO'!$1:$6</definedName>
    <definedName name="_xlnm.Print_Area" localSheetId="1">Birók!$A$1:$N$29</definedName>
    <definedName name="_xlnm.Print_Area" localSheetId="3">'F14 Csapat'!$A$1:$M$52</definedName>
    <definedName name="_xlnm.Print_Area" localSheetId="2">'F14 csapat ELO'!$A$1:$Q$134</definedName>
    <definedName name="_xlnm.Print_Area" localSheetId="5">'F16 Csapat'!$A$1:$M$41</definedName>
    <definedName name="_xlnm.Print_Area" localSheetId="4">'F16 csapat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2" l="1"/>
  <c r="C2" i="279"/>
  <c r="I15" i="282"/>
  <c r="G15" i="282"/>
  <c r="E15" i="282"/>
  <c r="B23" i="282" s="1"/>
  <c r="D15" i="282"/>
  <c r="C15" i="282"/>
  <c r="I13" i="282"/>
  <c r="G13" i="282"/>
  <c r="E13" i="282"/>
  <c r="B22" i="282"/>
  <c r="D13" i="282"/>
  <c r="C13" i="282"/>
  <c r="I11" i="282"/>
  <c r="G11" i="282"/>
  <c r="E11" i="282"/>
  <c r="H18" i="282" s="1"/>
  <c r="D11" i="282"/>
  <c r="C11" i="282"/>
  <c r="I9" i="282"/>
  <c r="G9" i="282"/>
  <c r="E9" i="282"/>
  <c r="B20" i="282"/>
  <c r="D9" i="282"/>
  <c r="C9" i="282"/>
  <c r="I7" i="282"/>
  <c r="G7" i="282"/>
  <c r="E7" i="282"/>
  <c r="B19" i="282" s="1"/>
  <c r="D7" i="282"/>
  <c r="C7" i="282"/>
  <c r="Y5" i="282"/>
  <c r="AE1" i="282" s="1"/>
  <c r="L4" i="282"/>
  <c r="K41" i="282"/>
  <c r="E4" i="282"/>
  <c r="A4" i="282"/>
  <c r="Y3" i="282"/>
  <c r="AK1" i="282"/>
  <c r="A1" i="282"/>
  <c r="P156" i="279"/>
  <c r="M156" i="279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7"/>
  <c r="C2" i="231"/>
  <c r="R47" i="237"/>
  <c r="E46" i="237"/>
  <c r="E47" i="237"/>
  <c r="I21" i="237"/>
  <c r="G21" i="237"/>
  <c r="E21" i="237"/>
  <c r="J30" i="237"/>
  <c r="D21" i="237"/>
  <c r="C21" i="237"/>
  <c r="I19" i="237"/>
  <c r="G19" i="237"/>
  <c r="E19" i="237"/>
  <c r="H30" i="237"/>
  <c r="D19" i="237"/>
  <c r="C19" i="237"/>
  <c r="I17" i="237"/>
  <c r="G17" i="237"/>
  <c r="E17" i="237"/>
  <c r="F30" i="237"/>
  <c r="D17" i="237"/>
  <c r="C17" i="237"/>
  <c r="I15" i="237"/>
  <c r="G15" i="237"/>
  <c r="E15" i="237"/>
  <c r="B31" i="237"/>
  <c r="D15" i="237"/>
  <c r="C15" i="237"/>
  <c r="I13" i="237"/>
  <c r="G13" i="237"/>
  <c r="E13" i="237"/>
  <c r="J24" i="237"/>
  <c r="D13" i="237"/>
  <c r="C13" i="237"/>
  <c r="I11" i="237"/>
  <c r="G11" i="237"/>
  <c r="E11" i="237"/>
  <c r="H24" i="237"/>
  <c r="D11" i="237"/>
  <c r="C11" i="237"/>
  <c r="I9" i="237"/>
  <c r="G9" i="237"/>
  <c r="E9" i="237"/>
  <c r="F24" i="237"/>
  <c r="D9" i="237"/>
  <c r="C9" i="237"/>
  <c r="I7" i="237"/>
  <c r="G7" i="237"/>
  <c r="E7" i="237"/>
  <c r="B25" i="237" s="1"/>
  <c r="C37" i="237" s="1"/>
  <c r="D7" i="237"/>
  <c r="C7" i="237"/>
  <c r="Y5" i="237"/>
  <c r="L4" i="237"/>
  <c r="K53" i="237"/>
  <c r="E4" i="237"/>
  <c r="A4" i="237"/>
  <c r="Y3" i="237"/>
  <c r="AK1" i="237" s="1"/>
  <c r="A1" i="237"/>
  <c r="P156" i="231"/>
  <c r="M156" i="231"/>
  <c r="L156" i="231"/>
  <c r="K156" i="231"/>
  <c r="J156" i="231"/>
  <c r="P155" i="231"/>
  <c r="M155" i="23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/>
  <c r="L123" i="231"/>
  <c r="K123" i="231"/>
  <c r="J123" i="231"/>
  <c r="P122" i="231"/>
  <c r="M122" i="23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/>
  <c r="L119" i="231"/>
  <c r="K119" i="231"/>
  <c r="J119" i="231"/>
  <c r="P118" i="231"/>
  <c r="M118" i="23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/>
  <c r="L107" i="231"/>
  <c r="K107" i="231"/>
  <c r="J107" i="231"/>
  <c r="P106" i="231"/>
  <c r="M106" i="23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/>
  <c r="L99" i="231"/>
  <c r="K99" i="231"/>
  <c r="J99" i="231"/>
  <c r="P98" i="231"/>
  <c r="M98" i="23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/>
  <c r="L91" i="231"/>
  <c r="K91" i="231"/>
  <c r="J91" i="231"/>
  <c r="P90" i="231"/>
  <c r="M90" i="23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/>
  <c r="L87" i="231"/>
  <c r="K87" i="231"/>
  <c r="J87" i="231"/>
  <c r="P86" i="231"/>
  <c r="M86" i="23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/>
  <c r="L71" i="231"/>
  <c r="K71" i="231"/>
  <c r="J71" i="231"/>
  <c r="P70" i="231"/>
  <c r="M70" i="23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/>
  <c r="L63" i="231"/>
  <c r="K63" i="231"/>
  <c r="J63" i="231"/>
  <c r="P62" i="231"/>
  <c r="M62" i="23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P22" i="2"/>
  <c r="P23" i="2"/>
  <c r="P24" i="2"/>
  <c r="P25" i="2"/>
  <c r="P26" i="2"/>
  <c r="P27" i="2"/>
  <c r="P28" i="2"/>
  <c r="P29" i="2"/>
  <c r="B5" i="2"/>
  <c r="A5" i="2"/>
  <c r="A1" i="2"/>
  <c r="F37" i="237"/>
  <c r="B33" i="237"/>
  <c r="F39" i="237" s="1"/>
  <c r="AH1" i="237"/>
  <c r="AF1" i="237"/>
  <c r="AB1" i="237"/>
  <c r="AI1" i="237"/>
  <c r="AF1" i="282"/>
  <c r="AH1" i="282"/>
  <c r="AD1" i="282"/>
  <c r="AB1" i="282"/>
  <c r="AI1" i="282"/>
  <c r="AC1" i="282"/>
  <c r="AJ1" i="282"/>
  <c r="AC1" i="237"/>
  <c r="AG1" i="282"/>
  <c r="L18" i="282"/>
  <c r="AJ1" i="237"/>
  <c r="AG1" i="237"/>
  <c r="AD1" i="237"/>
  <c r="AE1" i="237"/>
  <c r="B32" i="237"/>
  <c r="F41" i="237" s="1"/>
  <c r="B27" i="237"/>
  <c r="C41" i="237" s="1"/>
  <c r="D24" i="237"/>
  <c r="B34" i="237"/>
  <c r="B28" i="237"/>
  <c r="C43" i="237" s="1"/>
  <c r="B26" i="237"/>
  <c r="C39" i="237" s="1"/>
  <c r="D30" i="237"/>
  <c r="J18" i="282"/>
  <c r="F18" i="282"/>
  <c r="B21" i="282"/>
  <c r="D18" i="28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4654C73-0DFD-4853-A8F0-76F523888CC6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51FB811-6D0E-4A75-8A1B-938E347A52F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8413D060-A5E1-4874-8FFC-2E6F16D7F8E5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71F86FD-39DE-4376-A3AB-B1B93350D841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<sst xmlns="http://schemas.openxmlformats.org/spreadsheetml/2006/main" count="350" uniqueCount="155">
  <si>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</si>
  <si>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</si>
  <si>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</si>
  <si>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</si>
  <si>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</si>
  <si>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</si>
  <si>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</si>
  <si>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</si>
  <si>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</si>
  <si>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</si>
  <si>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</si>
  <si>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</si>
  <si>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</si>
  <si>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</si>
  <si>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</si>
  <si>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</si>
  <si>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</si>
  <si>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</si>
  <si>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</si>
  <si>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</si>
  <si>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</si>
  <si>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</si>
  <si>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</si>
  <si>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</si>
  <si>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</si>
  <si>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</si>
  <si>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</si>
  <si>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</si>
  <si>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</si>
  <si>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</si>
  <si>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</si>
  <si>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</si>
  <si>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</si>
  <si>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</si>
  <si>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</si>
  <si>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</si>
  <si>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</si>
  <si>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</si>
  <si>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</si>
  <si>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</si>
  <si>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</si>
  <si>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</si>
  <si>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</si>
  <si>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</si>
  <si>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</si>
  <si>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</si>
  <si>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</si>
  <si>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</si>
  <si>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</si>
  <si>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</si>
  <si>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</si>
  <si>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</si>
  <si>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</si>
  <si>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</si>
  <si>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</si>
  <si>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</si>
  <si>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</si>
  <si>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</si>
  <si>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</si>
  <si>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</si>
  <si>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</si>
  <si>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</si>
  <si>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</si>
  <si>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</si>
  <si>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</si>
  <si>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</si>
  <si>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</si>
  <si>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</si>
  <si>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</si>
  <si>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</si>
  <si>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</si>
  <si>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</si>
  <si>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</si>
  <si>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</si>
  <si>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</si>
  <si>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</si>
  <si>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</si>
  <si>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</si>
  <si>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</si>
  <si>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</si>
  <si>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</si>
  <si>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</si>
  <si>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</si>
  <si>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</si>
  <si>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</si>
  <si>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</si>
  <si>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</si>
  <si>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</si>
  <si>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</si>
  <si>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</si>
  <si>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</si>
  <si>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</si>
  <si>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</si>
  <si>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</si>
  <si>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</si>
  <si>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</si>
  <si>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</si>
  <si>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</si>
  <si>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</si>
  <si>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</si>
  <si>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</si>
  <si>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</si>
  <si>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</si>
  <si>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</si>
  <si>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</si>
  <si>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</si>
  <si>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</si>
  <si>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</si>
  <si>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</si>
  <si>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</si>
  <si>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</si>
  <si>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G - E</t>
  </si>
  <si>
    <t>F - G</t>
  </si>
  <si>
    <t>E - H</t>
  </si>
  <si>
    <t>H - F</t>
  </si>
  <si>
    <t>G - H</t>
  </si>
  <si>
    <t>OB</t>
  </si>
  <si>
    <t>2024.08.27.-09.01</t>
  </si>
  <si>
    <t>Balatonboglár</t>
  </si>
  <si>
    <t>Rákóczi Andrea</t>
  </si>
  <si>
    <t>BBTC SE</t>
  </si>
  <si>
    <t>Por Krisztina</t>
  </si>
  <si>
    <t>F12 csapat</t>
  </si>
  <si>
    <t>F14  csapat</t>
  </si>
  <si>
    <t>F16 csapat</t>
  </si>
  <si>
    <t>F18 csapat</t>
  </si>
  <si>
    <t>Tenisz Műhely</t>
  </si>
  <si>
    <t>Viharsarok TA</t>
  </si>
  <si>
    <t>SVSE</t>
  </si>
  <si>
    <t>Pasarét TK</t>
  </si>
  <si>
    <t>ALFA TI</t>
  </si>
  <si>
    <t>PVTC</t>
  </si>
  <si>
    <t>Dunakeszi TK</t>
  </si>
  <si>
    <t>PG Tenisz</t>
  </si>
  <si>
    <t>OKOS Tenisz</t>
  </si>
  <si>
    <t>jn V.</t>
  </si>
  <si>
    <t>jn Gy.</t>
  </si>
  <si>
    <t>4/0</t>
  </si>
  <si>
    <t>0/4</t>
  </si>
  <si>
    <t>3/1</t>
  </si>
  <si>
    <t>1/3</t>
  </si>
  <si>
    <t>3/0</t>
  </si>
  <si>
    <t>0/3</t>
  </si>
  <si>
    <t>MARSO TC</t>
  </si>
  <si>
    <t>PASARÉT TK</t>
  </si>
  <si>
    <t>2/1</t>
  </si>
  <si>
    <t>1/2</t>
  </si>
  <si>
    <t>2/0</t>
  </si>
  <si>
    <t>2/2( 5/4)</t>
  </si>
  <si>
    <t>2/2( 4/5)</t>
  </si>
  <si>
    <t>2/2(5/4)</t>
  </si>
  <si>
    <t>2/2(4/5)</t>
  </si>
  <si>
    <t>0/2</t>
  </si>
  <si>
    <t>2/1 ( 5/2)</t>
  </si>
  <si>
    <t>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</si>
</sst>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68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54" fillId="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5" fillId="7" borderId="0" xfId="0" applyFont="1" applyFill="1" applyAlignment="1">
      <alignment horizontal="center"/>
    </xf>
    <xf numFmtId="0" fontId="66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0" fontId="54" fillId="6" borderId="0" xfId="0" applyFont="1" applyFill="1"/>
    <xf numFmtId="0" fontId="54" fillId="7" borderId="7" xfId="0" applyFont="1" applyFill="1" applyBorder="1" applyAlignment="1">
      <alignment horizontal="center"/>
    </xf>
    <xf numFmtId="0" fontId="2" fillId="6" borderId="7" xfId="0" applyFont="1" applyFill="1" applyBorder="1"/>
    <xf numFmtId="49" fontId="64" fillId="6" borderId="7" xfId="0" applyNumberFormat="1" applyFont="1" applyFill="1" applyBorder="1"/>
    <xf numFmtId="49" fontId="64" fillId="6" borderId="0" xfId="0" applyNumberFormat="1" applyFont="1" applyFill="1"/>
    <xf numFmtId="14" fontId="26" fillId="2" borderId="2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0" fontId="64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12" borderId="5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76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21" name="Picture 13">
          <a:extLst>
            <a:ext uri="{FF2B5EF4-FFF2-40B4-BE49-F238E27FC236}">
              <a16:creationId xmlns:a16="http://schemas.microsoft.com/office/drawing/2014/main" id="{0CE687AB-CA01-71DF-FA31-5D38AEFB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93" name="Picture 23">
          <a:extLst>
            <a:ext uri="{FF2B5EF4-FFF2-40B4-BE49-F238E27FC236}">
              <a16:creationId xmlns:a16="http://schemas.microsoft.com/office/drawing/2014/main" id="{0815C2BD-9085-C801-6672-C87AC79E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7A2A1EC8-7210-C44A-34AD-3823852145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40" name="Picture 21">
          <a:extLst>
            <a:ext uri="{FF2B5EF4-FFF2-40B4-BE49-F238E27FC236}">
              <a16:creationId xmlns:a16="http://schemas.microsoft.com/office/drawing/2014/main" id="{F6DAD2CA-D4C3-7755-1C3E-8E71A6F4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83980CB6-0DDA-B55A-215F-63DEDCF84B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73" name="Picture 1">
          <a:extLst>
            <a:ext uri="{FF2B5EF4-FFF2-40B4-BE49-F238E27FC236}">
              <a16:creationId xmlns:a16="http://schemas.microsoft.com/office/drawing/2014/main" id="{6236ED32-3A7B-CAF4-7CCC-9B54463A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27" name="Picture 21">
          <a:extLst>
            <a:ext uri="{FF2B5EF4-FFF2-40B4-BE49-F238E27FC236}">
              <a16:creationId xmlns:a16="http://schemas.microsoft.com/office/drawing/2014/main" id="{C91FA8EC-F7F5-2A88-4FA0-1A9F55E2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9CA803EE-F73C-612A-6127-512CA82029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6112" name="Picture 1">
          <a:extLst>
            <a:ext uri="{FF2B5EF4-FFF2-40B4-BE49-F238E27FC236}">
              <a16:creationId xmlns:a16="http://schemas.microsoft.com/office/drawing/2014/main" id="{19EC086C-1982-C746-A411-2228E86F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1CB5-1F5C-47AD-ACAA-3ECE6F38695A}">
  <sheetPr codeName="Sheet1"/>
  <dimension ref="A1:G18"/>
  <sheetViews>
    <sheetView showGridLines="0" showZeros="0" workbookViewId="0">
      <selection activeCell="D8" sqref="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101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6"/>
      <c r="F5" s="21"/>
      <c r="G5" s="22"/>
    </row>
    <row r="6" spans="1:7" s="2" customFormat="1" ht="24.6" x14ac:dyDescent="0.25">
      <c r="A6" s="324" t="s">
        <v>116</v>
      </c>
      <c r="B6" s="287"/>
      <c r="C6" s="23"/>
      <c r="D6" s="24"/>
      <c r="E6" s="25"/>
      <c r="F6" s="5"/>
      <c r="G6" s="5"/>
    </row>
    <row r="7" spans="1:7" s="18" customFormat="1" ht="15" customHeight="1" x14ac:dyDescent="0.25">
      <c r="A7" s="275" t="s">
        <v>102</v>
      </c>
      <c r="B7" s="275" t="s">
        <v>103</v>
      </c>
      <c r="C7" s="275" t="s">
        <v>104</v>
      </c>
      <c r="D7" s="275" t="s">
        <v>105</v>
      </c>
      <c r="E7" s="275" t="s">
        <v>106</v>
      </c>
      <c r="F7" s="21"/>
      <c r="G7" s="22"/>
    </row>
    <row r="8" spans="1:7" s="2" customFormat="1" ht="16.5" customHeight="1" x14ac:dyDescent="0.25">
      <c r="A8" s="174" t="s">
        <v>122</v>
      </c>
      <c r="B8" s="174" t="s">
        <v>123</v>
      </c>
      <c r="C8" s="174" t="s">
        <v>124</v>
      </c>
      <c r="D8" s="174" t="s">
        <v>125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117</v>
      </c>
      <c r="B10" s="28"/>
      <c r="C10" s="29" t="s">
        <v>118</v>
      </c>
      <c r="D10" s="155" t="s">
        <v>57</v>
      </c>
      <c r="E10" s="279" t="s">
        <v>119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98</v>
      </c>
      <c r="E11" s="168" t="s">
        <v>99</v>
      </c>
      <c r="F11" s="31"/>
      <c r="G11" s="31"/>
    </row>
    <row r="12" spans="1:7" s="2" customFormat="1" x14ac:dyDescent="0.25">
      <c r="A12" s="126"/>
      <c r="B12" s="5"/>
      <c r="C12" s="175"/>
      <c r="D12" s="175" t="s">
        <v>120</v>
      </c>
      <c r="E12" s="175" t="s">
        <v>121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74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7D93-BEBD-46AF-9123-30EF2737A34D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2024.08.27.-09.01</v>
      </c>
      <c r="B5" s="53" t="str">
        <f>Altalanos!$C$10</f>
        <v>Balatonboglár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30" t="s">
        <v>23</v>
      </c>
      <c r="B6" s="330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BA1A-1D0C-4347-A126-B1B387B65D28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W14" sqref="W14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9" customWidth="1"/>
    <col min="5" max="5" width="10.6640625" style="303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2" t="str">
        <f>Altalanos!$B$8</f>
        <v>F14  csapat</v>
      </c>
      <c r="D2" s="99"/>
      <c r="E2" s="159" t="s">
        <v>32</v>
      </c>
      <c r="F2" s="89"/>
      <c r="G2" s="89"/>
      <c r="H2" s="295"/>
      <c r="I2" s="29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8" t="s">
        <v>45</v>
      </c>
      <c r="B3" s="293"/>
      <c r="C3" s="293"/>
      <c r="D3" s="293"/>
      <c r="E3" s="293"/>
      <c r="F3" s="293"/>
      <c r="G3" s="293"/>
      <c r="H3" s="293"/>
      <c r="I3" s="29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5" t="s">
        <v>28</v>
      </c>
      <c r="I4" s="30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6"/>
      <c r="J5" s="106"/>
      <c r="K5" s="81"/>
      <c r="L5" s="81"/>
      <c r="M5" s="81"/>
      <c r="N5" s="106"/>
      <c r="O5" s="87"/>
      <c r="P5" s="87"/>
      <c r="Q5" s="314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6" t="s">
        <v>35</v>
      </c>
      <c r="I6" s="29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126</v>
      </c>
      <c r="C7" s="90"/>
      <c r="D7" s="91"/>
      <c r="E7" s="162"/>
      <c r="F7" s="289"/>
      <c r="G7" s="290"/>
      <c r="H7" s="91"/>
      <c r="I7" s="91"/>
      <c r="J7" s="144"/>
      <c r="K7" s="142"/>
      <c r="L7" s="146"/>
      <c r="M7" s="142"/>
      <c r="N7" s="137"/>
      <c r="O7" s="319">
        <v>10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127</v>
      </c>
      <c r="C8" s="90"/>
      <c r="D8" s="91"/>
      <c r="E8" s="162"/>
      <c r="F8" s="291"/>
      <c r="G8" s="292"/>
      <c r="H8" s="91"/>
      <c r="I8" s="91"/>
      <c r="J8" s="144"/>
      <c r="K8" s="142"/>
      <c r="L8" s="146"/>
      <c r="M8" s="142"/>
      <c r="N8" s="137"/>
      <c r="O8" s="91">
        <v>35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134</v>
      </c>
      <c r="C9" s="90"/>
      <c r="D9" s="91"/>
      <c r="E9" s="162"/>
      <c r="F9" s="291"/>
      <c r="G9" s="292"/>
      <c r="H9" s="91"/>
      <c r="I9" s="91"/>
      <c r="J9" s="144"/>
      <c r="K9" s="142"/>
      <c r="L9" s="146"/>
      <c r="M9" s="142"/>
      <c r="N9" s="137"/>
      <c r="O9" s="91">
        <v>55</v>
      </c>
      <c r="P9" s="302"/>
      <c r="Q9" s="167"/>
    </row>
    <row r="10" spans="1:17" s="11" customFormat="1" ht="18.899999999999999" customHeight="1" x14ac:dyDescent="0.25">
      <c r="A10" s="147">
        <v>4</v>
      </c>
      <c r="B10" s="90" t="s">
        <v>128</v>
      </c>
      <c r="C10" s="90"/>
      <c r="D10" s="91"/>
      <c r="E10" s="162"/>
      <c r="F10" s="291"/>
      <c r="G10" s="292"/>
      <c r="H10" s="91"/>
      <c r="I10" s="91"/>
      <c r="J10" s="144"/>
      <c r="K10" s="142"/>
      <c r="L10" s="146"/>
      <c r="M10" s="142"/>
      <c r="N10" s="137"/>
      <c r="O10" s="91">
        <v>62</v>
      </c>
      <c r="P10" s="301"/>
      <c r="Q10" s="298"/>
    </row>
    <row r="11" spans="1:17" s="11" customFormat="1" ht="18.899999999999999" customHeight="1" x14ac:dyDescent="0.25">
      <c r="A11" s="147">
        <v>5</v>
      </c>
      <c r="B11" s="90" t="s">
        <v>129</v>
      </c>
      <c r="C11" s="90"/>
      <c r="D11" s="91"/>
      <c r="E11" s="162"/>
      <c r="F11" s="291"/>
      <c r="G11" s="292"/>
      <c r="H11" s="91"/>
      <c r="I11" s="91"/>
      <c r="J11" s="144"/>
      <c r="K11" s="142"/>
      <c r="L11" s="146"/>
      <c r="M11" s="142"/>
      <c r="N11" s="137"/>
      <c r="O11" s="91">
        <v>67</v>
      </c>
      <c r="P11" s="301"/>
      <c r="Q11" s="298"/>
    </row>
    <row r="12" spans="1:17" s="11" customFormat="1" ht="18.899999999999999" customHeight="1" x14ac:dyDescent="0.25">
      <c r="A12" s="147">
        <v>6</v>
      </c>
      <c r="B12" s="90" t="s">
        <v>130</v>
      </c>
      <c r="C12" s="90"/>
      <c r="D12" s="91"/>
      <c r="E12" s="162"/>
      <c r="F12" s="291"/>
      <c r="G12" s="292"/>
      <c r="H12" s="91"/>
      <c r="I12" s="91"/>
      <c r="J12" s="144"/>
      <c r="K12" s="142"/>
      <c r="L12" s="146"/>
      <c r="M12" s="142"/>
      <c r="N12" s="137"/>
      <c r="O12" s="91">
        <v>69</v>
      </c>
      <c r="P12" s="301"/>
      <c r="Q12" s="298"/>
    </row>
    <row r="13" spans="1:17" s="11" customFormat="1" ht="18.899999999999999" customHeight="1" x14ac:dyDescent="0.25">
      <c r="A13" s="147">
        <v>7</v>
      </c>
      <c r="B13" s="90" t="s">
        <v>131</v>
      </c>
      <c r="C13" s="90"/>
      <c r="D13" s="91"/>
      <c r="E13" s="162"/>
      <c r="F13" s="291"/>
      <c r="G13" s="292"/>
      <c r="H13" s="91"/>
      <c r="I13" s="91"/>
      <c r="J13" s="144"/>
      <c r="K13" s="142"/>
      <c r="L13" s="146"/>
      <c r="M13" s="142"/>
      <c r="N13" s="137"/>
      <c r="O13" s="91">
        <v>78</v>
      </c>
      <c r="P13" s="301"/>
      <c r="Q13" s="298"/>
    </row>
    <row r="14" spans="1:17" s="11" customFormat="1" ht="18.899999999999999" customHeight="1" x14ac:dyDescent="0.25">
      <c r="A14" s="147">
        <v>8</v>
      </c>
      <c r="B14" s="90" t="s">
        <v>132</v>
      </c>
      <c r="C14" s="90"/>
      <c r="D14" s="91"/>
      <c r="E14" s="162"/>
      <c r="F14" s="291"/>
      <c r="G14" s="292"/>
      <c r="H14" s="91"/>
      <c r="I14" s="91"/>
      <c r="J14" s="144"/>
      <c r="K14" s="142"/>
      <c r="L14" s="146"/>
      <c r="M14" s="142"/>
      <c r="N14" s="137"/>
      <c r="O14" s="91">
        <v>95</v>
      </c>
      <c r="P14" s="301"/>
      <c r="Q14" s="29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8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0"/>
      <c r="F28" s="307"/>
      <c r="G28" s="30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1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9:E156">
    <cfRule type="expression" dxfId="75" priority="34" stopIfTrue="1">
      <formula>AND(ROUNDDOWN(($A$4-E9)/365.25,0)&lt;=13,G9&lt;&gt;"OK")</formula>
    </cfRule>
    <cfRule type="expression" dxfId="74" priority="35" stopIfTrue="1">
      <formula>AND(ROUNDDOWN(($A$4-E9)/365.25,0)&lt;=14,G9&lt;&gt;"OK")</formula>
    </cfRule>
    <cfRule type="expression" dxfId="73" priority="36" stopIfTrue="1">
      <formula>AND(ROUNDDOWN(($A$4-E9)/365.25,0)&lt;=17,G9&lt;&gt;"OK")</formula>
    </cfRule>
  </conditionalFormatting>
  <conditionalFormatting sqref="J9:J156">
    <cfRule type="cellIs" dxfId="72" priority="33" stopIfTrue="1" operator="equal">
      <formula>"Z"</formula>
    </cfRule>
  </conditionalFormatting>
  <conditionalFormatting sqref="A7:A8 A9:D156">
    <cfRule type="expression" dxfId="71" priority="32" stopIfTrue="1">
      <formula>$Q7&gt;=1</formula>
    </cfRule>
  </conditionalFormatting>
  <conditionalFormatting sqref="E9:E14">
    <cfRule type="expression" dxfId="70" priority="29" stopIfTrue="1">
      <formula>AND(ROUNDDOWN(($A$4-E9)/365.25,0)&lt;=13,G9&lt;&gt;"OK")</formula>
    </cfRule>
    <cfRule type="expression" dxfId="69" priority="30" stopIfTrue="1">
      <formula>AND(ROUNDDOWN(($A$4-E9)/365.25,0)&lt;=14,G9&lt;&gt;"OK")</formula>
    </cfRule>
    <cfRule type="expression" dxfId="68" priority="31" stopIfTrue="1">
      <formula>AND(ROUNDDOWN(($A$4-E9)/365.25,0)&lt;=17,G9&lt;&gt;"OK")</formula>
    </cfRule>
  </conditionalFormatting>
  <conditionalFormatting sqref="J9:J14">
    <cfRule type="cellIs" dxfId="67" priority="28" stopIfTrue="1" operator="equal">
      <formula>"Z"</formula>
    </cfRule>
  </conditionalFormatting>
  <conditionalFormatting sqref="B9:D14">
    <cfRule type="expression" dxfId="66" priority="27" stopIfTrue="1">
      <formula>$Q9&gt;=1</formula>
    </cfRule>
  </conditionalFormatting>
  <conditionalFormatting sqref="E9:E14">
    <cfRule type="expression" dxfId="65" priority="24" stopIfTrue="1">
      <formula>AND(ROUNDDOWN(($A$4-E9)/365.25,0)&lt;=13,G9&lt;&gt;"OK")</formula>
    </cfRule>
    <cfRule type="expression" dxfId="64" priority="25" stopIfTrue="1">
      <formula>AND(ROUNDDOWN(($A$4-E9)/365.25,0)&lt;=14,G9&lt;&gt;"OK")</formula>
    </cfRule>
    <cfRule type="expression" dxfId="63" priority="26" stopIfTrue="1">
      <formula>AND(ROUNDDOWN(($A$4-E9)/365.25,0)&lt;=17,G9&lt;&gt;"OK")</formula>
    </cfRule>
  </conditionalFormatting>
  <conditionalFormatting sqref="B9:D14">
    <cfRule type="expression" dxfId="62" priority="23" stopIfTrue="1">
      <formula>$Q9&gt;=1</formula>
    </cfRule>
  </conditionalFormatting>
  <conditionalFormatting sqref="E29:E37 E9:E27">
    <cfRule type="expression" dxfId="61" priority="20" stopIfTrue="1">
      <formula>AND(ROUNDDOWN(($A$4-E9)/365.25,0)&lt;=13,G9&lt;&gt;"OK")</formula>
    </cfRule>
    <cfRule type="expression" dxfId="60" priority="21" stopIfTrue="1">
      <formula>AND(ROUNDDOWN(($A$4-E9)/365.25,0)&lt;=14,G9&lt;&gt;"OK")</formula>
    </cfRule>
    <cfRule type="expression" dxfId="59" priority="22" stopIfTrue="1">
      <formula>AND(ROUNDDOWN(($A$4-E9)/365.25,0)&lt;=17,G9&lt;&gt;"OK")</formula>
    </cfRule>
  </conditionalFormatting>
  <conditionalFormatting sqref="B9:D37">
    <cfRule type="expression" dxfId="58" priority="19" stopIfTrue="1">
      <formula>$Q9&gt;=1</formula>
    </cfRule>
  </conditionalFormatting>
  <conditionalFormatting sqref="E7:E8">
    <cfRule type="expression" dxfId="57" priority="14" stopIfTrue="1">
      <formula>AND(ROUNDDOWN(($A$4-E7)/365.25,0)&lt;=13,G7&lt;&gt;"OK")</formula>
    </cfRule>
    <cfRule type="expression" dxfId="56" priority="15" stopIfTrue="1">
      <formula>AND(ROUNDDOWN(($A$4-E7)/365.25,0)&lt;=14,G7&lt;&gt;"OK")</formula>
    </cfRule>
    <cfRule type="expression" dxfId="55" priority="16" stopIfTrue="1">
      <formula>AND(ROUNDDOWN(($A$4-E7)/365.25,0)&lt;=17,G7&lt;&gt;"OK")</formula>
    </cfRule>
  </conditionalFormatting>
  <conditionalFormatting sqref="J7:J8">
    <cfRule type="cellIs" dxfId="54" priority="17" stopIfTrue="1" operator="equal">
      <formula>"Z"</formula>
    </cfRule>
  </conditionalFormatting>
  <conditionalFormatting sqref="B7:D8">
    <cfRule type="expression" dxfId="53" priority="18" stopIfTrue="1">
      <formula>$Q7&gt;=1</formula>
    </cfRule>
  </conditionalFormatting>
  <conditionalFormatting sqref="E7:E8">
    <cfRule type="expression" dxfId="52" priority="11" stopIfTrue="1">
      <formula>AND(ROUNDDOWN(($A$4-E7)/365.25,0)&lt;=13,G7&lt;&gt;"OK")</formula>
    </cfRule>
    <cfRule type="expression" dxfId="51" priority="12" stopIfTrue="1">
      <formula>AND(ROUNDDOWN(($A$4-E7)/365.25,0)&lt;=14,G7&lt;&gt;"OK")</formula>
    </cfRule>
    <cfRule type="expression" dxfId="50" priority="13" stopIfTrue="1">
      <formula>AND(ROUNDDOWN(($A$4-E7)/365.25,0)&lt;=17,G7&lt;&gt;"OK")</formula>
    </cfRule>
  </conditionalFormatting>
  <conditionalFormatting sqref="J7:J8">
    <cfRule type="cellIs" dxfId="49" priority="10" stopIfTrue="1" operator="equal">
      <formula>"Z"</formula>
    </cfRule>
  </conditionalFormatting>
  <conditionalFormatting sqref="B7:D8">
    <cfRule type="expression" dxfId="48" priority="9" stopIfTrue="1">
      <formula>$Q7&gt;=1</formula>
    </cfRule>
  </conditionalFormatting>
  <conditionalFormatting sqref="E7:E8">
    <cfRule type="expression" dxfId="47" priority="6" stopIfTrue="1">
      <formula>AND(ROUNDDOWN(($A$4-E7)/365.25,0)&lt;=13,G7&lt;&gt;"OK")</formula>
    </cfRule>
    <cfRule type="expression" dxfId="46" priority="7" stopIfTrue="1">
      <formula>AND(ROUNDDOWN(($A$4-E7)/365.25,0)&lt;=14,G7&lt;&gt;"OK")</formula>
    </cfRule>
    <cfRule type="expression" dxfId="45" priority="8" stopIfTrue="1">
      <formula>AND(ROUNDDOWN(($A$4-E7)/365.25,0)&lt;=17,G7&lt;&gt;"OK")</formula>
    </cfRule>
  </conditionalFormatting>
  <conditionalFormatting sqref="B7:D8">
    <cfRule type="expression" dxfId="44" priority="5" stopIfTrue="1">
      <formula>$Q7&gt;=1</formula>
    </cfRule>
  </conditionalFormatting>
  <conditionalFormatting sqref="E7:E8">
    <cfRule type="expression" dxfId="43" priority="2" stopIfTrue="1">
      <formula>AND(ROUNDDOWN(($A$4-E7)/365.25,0)&lt;=13,G7&lt;&gt;"OK")</formula>
    </cfRule>
    <cfRule type="expression" dxfId="42" priority="3" stopIfTrue="1">
      <formula>AND(ROUNDDOWN(($A$4-E7)/365.25,0)&lt;=14,G7&lt;&gt;"OK")</formula>
    </cfRule>
    <cfRule type="expression" dxfId="41" priority="4" stopIfTrue="1">
      <formula>AND(ROUNDDOWN(($A$4-E7)/365.25,0)&lt;=17,G7&lt;&gt;"OK")</formula>
    </cfRule>
  </conditionalFormatting>
  <conditionalFormatting sqref="B7:D8">
    <cfRule type="expression" dxfId="4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97C2-480E-449A-ADED-CBC8DD38E553}">
  <sheetPr codeName="Munka57">
    <tabColor indexed="11"/>
  </sheetPr>
  <dimension ref="A1:AK54"/>
  <sheetViews>
    <sheetView tabSelected="1"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5" t="str">
        <f>Altalanos!$A$6</f>
        <v>OB</v>
      </c>
      <c r="B1" s="345"/>
      <c r="C1" s="345"/>
      <c r="D1" s="345"/>
      <c r="E1" s="345"/>
      <c r="F1" s="345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2" t="e">
        <f>IF(Y5=1,CONCATENATE(VLOOKUP(Y3,AA16:AH30,2)),CONCATENATE(VLOOKUP(Y3,AA2:AK13,2)))</f>
        <v>#N/A</v>
      </c>
      <c r="AC1" s="282" t="e">
        <f>IF(Y5=1,CONCATENATE(VLOOKUP(Y3,AA16:AK30,3)),CONCATENATE(VLOOKUP(Y3,AA2:AK13,3)))</f>
        <v>#N/A</v>
      </c>
      <c r="AD1" s="282" t="e">
        <f>IF(Y5=1,CONCATENATE(VLOOKUP(Y3,AA16:AK30,4)),CONCATENATE(VLOOKUP(Y3,AA2:AK13,4)))</f>
        <v>#N/A</v>
      </c>
      <c r="AE1" s="282" t="e">
        <f>IF(Y5=1,CONCATENATE(VLOOKUP(Y3,AA16:AK30,5)),CONCATENATE(VLOOKUP(Y3,AA2:AK13,5)))</f>
        <v>#N/A</v>
      </c>
      <c r="AF1" s="282" t="e">
        <f>IF(Y5=1,CONCATENATE(VLOOKUP(Y3,AA16:AK30,6)),CONCATENATE(VLOOKUP(Y3,AA2:AK13,6)))</f>
        <v>#N/A</v>
      </c>
      <c r="AG1" s="282" t="e">
        <f>IF(Y5=1,CONCATENATE(VLOOKUP(Y3,AA16:AK30,7)),CONCATENATE(VLOOKUP(Y3,AA2:AK13,7)))</f>
        <v>#N/A</v>
      </c>
      <c r="AH1" s="282" t="e">
        <f>IF(Y5=1,CONCATENATE(VLOOKUP(Y3,AA16:AK30,8)),CONCATENATE(VLOOKUP(Y3,AA2:AK13,8)))</f>
        <v>#N/A</v>
      </c>
      <c r="AI1" s="282" t="e">
        <f>IF(Y5=1,CONCATENATE(VLOOKUP(Y3,AA16:AK30,9)),CONCATENATE(VLOOKUP(Y3,AA2:AK13,9)))</f>
        <v>#N/A</v>
      </c>
      <c r="AJ1" s="282" t="e">
        <f>IF(Y5=1,CONCATENATE(VLOOKUP(Y3,AA16:AK30,10)),CONCATENATE(VLOOKUP(Y3,AA2:AK13,10)))</f>
        <v>#N/A</v>
      </c>
      <c r="AK1" s="282" t="e">
        <f>IF(Y5=1,CONCATENATE(VLOOKUP(Y3,AA16:AK30,11)),CONCATENATE(VLOOKUP(Y3,AA2:AK13,11)))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3" t="str">
        <f>Altalanos!$B$8</f>
        <v>F14 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7"/>
      <c r="Z2" s="276"/>
      <c r="AA2" s="276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6">
        <f>IF(H4="OB","A",IF(H4="IX","W",H4))</f>
        <v>0</v>
      </c>
      <c r="Z3" s="276"/>
      <c r="AA3" s="276" t="s">
        <v>88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8" thickBot="1" x14ac:dyDescent="0.3">
      <c r="A4" s="346" t="str">
        <f>Altalanos!$A$10</f>
        <v>2024.08.27.-09.01</v>
      </c>
      <c r="B4" s="346"/>
      <c r="C4" s="346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6"/>
      <c r="Z4" s="276"/>
      <c r="AA4" s="276" t="s">
        <v>89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6">
        <f>IF(OR(Altalanos!$A$8="F1",Altalanos!$A$8="F2",Altalanos!$A$8="N1",Altalanos!$A$8="N2"),1,2)</f>
        <v>2</v>
      </c>
      <c r="Z5" s="276"/>
      <c r="AA5" s="276" t="s">
        <v>90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6"/>
      <c r="Z6" s="276"/>
      <c r="AA6" s="276" t="s">
        <v>91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 x14ac:dyDescent="0.25">
      <c r="A7" s="256" t="s">
        <v>58</v>
      </c>
      <c r="B7" s="271">
        <v>1</v>
      </c>
      <c r="C7" s="205">
        <f>IF($B7="","",VLOOKUP($B7,'F14 csapat ELO'!$A$7:$O$22,5))</f>
        <v>0</v>
      </c>
      <c r="D7" s="205">
        <f>IF($B7="","",VLOOKUP($B7,'F14 csapat ELO'!$A$7:$O$22,15))</f>
        <v>10</v>
      </c>
      <c r="E7" s="202" t="str">
        <f>UPPER(IF($B7="","",VLOOKUP($B7,'F14 csapat ELO'!$A$7:$O$22,2)))</f>
        <v>TENISZ MŰHELY</v>
      </c>
      <c r="F7" s="204"/>
      <c r="G7" s="202">
        <f>IF($B7="","",VLOOKUP($B7,'F14 csapat ELO'!$A$7:$O$22,3))</f>
        <v>0</v>
      </c>
      <c r="H7" s="204"/>
      <c r="I7" s="202">
        <f>IF($B7="","",VLOOKUP($B7,'F14 csapat ELO'!$A$7:$O$22,4))</f>
        <v>0</v>
      </c>
      <c r="J7" s="193"/>
      <c r="K7" s="326" t="s">
        <v>88</v>
      </c>
      <c r="L7" s="278"/>
      <c r="M7" s="283"/>
      <c r="N7" s="211"/>
      <c r="O7" s="211"/>
      <c r="P7" s="211"/>
      <c r="Q7" s="265" t="s">
        <v>72</v>
      </c>
      <c r="R7" s="315" t="s">
        <v>112</v>
      </c>
      <c r="S7" s="315" t="s">
        <v>113</v>
      </c>
      <c r="Y7" s="276"/>
      <c r="Z7" s="276"/>
      <c r="AA7" s="276" t="s">
        <v>92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56"/>
      <c r="L8" s="219"/>
      <c r="M8" s="284"/>
      <c r="N8" s="211"/>
      <c r="O8" s="211"/>
      <c r="P8" s="211"/>
      <c r="Q8" s="267" t="s">
        <v>79</v>
      </c>
      <c r="R8" s="316" t="s">
        <v>111</v>
      </c>
      <c r="S8" s="316" t="s">
        <v>114</v>
      </c>
      <c r="Y8" s="276"/>
      <c r="Z8" s="276"/>
      <c r="AA8" s="276" t="s">
        <v>93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 x14ac:dyDescent="0.25">
      <c r="A9" s="219" t="s">
        <v>59</v>
      </c>
      <c r="B9" s="273">
        <v>3</v>
      </c>
      <c r="C9" s="205">
        <f>IF($B9="","",VLOOKUP($B9,'F14 csapat ELO'!$A$7:$O$22,5))</f>
        <v>0</v>
      </c>
      <c r="D9" s="205">
        <f>IF($B9="","",VLOOKUP($B9,'F14 csapat ELO'!$A$7:$O$22,15))</f>
        <v>55</v>
      </c>
      <c r="E9" s="201" t="str">
        <f>UPPER(IF($B9="","",VLOOKUP($B9,'F14 csapat ELO'!$A$7:$O$22,2)))</f>
        <v>OKOS TENISZ</v>
      </c>
      <c r="F9" s="206"/>
      <c r="G9" s="201">
        <f>IF($B9="","",VLOOKUP($B9,'F14 csapat ELO'!$A$7:$O$22,3))</f>
        <v>0</v>
      </c>
      <c r="H9" s="206"/>
      <c r="I9" s="201">
        <f>IF($B9="","",VLOOKUP($B9,'F14 csapat ELO'!$A$7:$O$22,4))</f>
        <v>0</v>
      </c>
      <c r="J9" s="193"/>
      <c r="K9" s="326" t="s">
        <v>90</v>
      </c>
      <c r="L9" s="278"/>
      <c r="M9" s="283"/>
      <c r="N9" s="211"/>
      <c r="O9" s="211"/>
      <c r="P9" s="211"/>
      <c r="Q9" s="269" t="s">
        <v>80</v>
      </c>
      <c r="R9" s="317" t="s">
        <v>110</v>
      </c>
      <c r="S9" s="317" t="s">
        <v>115</v>
      </c>
      <c r="Y9" s="276"/>
      <c r="Z9" s="276"/>
      <c r="AA9" s="276" t="s">
        <v>94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56"/>
      <c r="L10" s="219"/>
      <c r="M10" s="284"/>
      <c r="N10" s="211"/>
      <c r="O10" s="211"/>
      <c r="P10" s="211"/>
      <c r="Q10" s="211"/>
      <c r="R10" s="211"/>
      <c r="S10" s="211"/>
      <c r="Y10" s="276"/>
      <c r="Z10" s="276"/>
      <c r="AA10" s="276" t="s">
        <v>95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 x14ac:dyDescent="0.25">
      <c r="A11" s="219" t="s">
        <v>60</v>
      </c>
      <c r="B11" s="273">
        <v>7</v>
      </c>
      <c r="C11" s="205">
        <f>IF($B11="","",VLOOKUP($B11,'F14 csapat ELO'!$A$7:$O$22,5))</f>
        <v>0</v>
      </c>
      <c r="D11" s="205">
        <f>IF($B11="","",VLOOKUP($B11,'F14 csapat ELO'!$A$7:$O$22,15))</f>
        <v>78</v>
      </c>
      <c r="E11" s="201" t="str">
        <f>UPPER(IF($B11="","",VLOOKUP($B11,'F14 csapat ELO'!$A$7:$O$22,2)))</f>
        <v>PVTC</v>
      </c>
      <c r="F11" s="206"/>
      <c r="G11" s="201">
        <f>IF($B11="","",VLOOKUP($B11,'F14 csapat ELO'!$A$7:$O$22,3))</f>
        <v>0</v>
      </c>
      <c r="H11" s="206"/>
      <c r="I11" s="201">
        <f>IF($B11="","",VLOOKUP($B11,'F14 csapat ELO'!$A$7:$O$22,4))</f>
        <v>0</v>
      </c>
      <c r="J11" s="193"/>
      <c r="K11" s="326" t="s">
        <v>93</v>
      </c>
      <c r="L11" s="278"/>
      <c r="M11" s="283"/>
      <c r="N11" s="211"/>
      <c r="O11" s="211"/>
      <c r="P11" s="211"/>
      <c r="Q11" s="211"/>
      <c r="R11" s="211"/>
      <c r="S11" s="211"/>
      <c r="Y11" s="276"/>
      <c r="Z11" s="276"/>
      <c r="AA11" s="276" t="s">
        <v>100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325"/>
      <c r="L12" s="248"/>
      <c r="M12" s="285"/>
      <c r="Y12" s="276"/>
      <c r="Z12" s="276"/>
      <c r="AA12" s="276" t="s">
        <v>96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 x14ac:dyDescent="0.25">
      <c r="A13" s="310" t="s">
        <v>65</v>
      </c>
      <c r="B13" s="313">
        <v>6</v>
      </c>
      <c r="C13" s="205">
        <f>IF($B13="","",VLOOKUP($B13,'F14 csapat ELO'!$A$7:$O$22,5))</f>
        <v>0</v>
      </c>
      <c r="D13" s="205">
        <f>IF($B13="","",VLOOKUP($B13,'F14 csapat ELO'!$A$7:$O$22,15))</f>
        <v>69</v>
      </c>
      <c r="E13" s="201" t="str">
        <f>UPPER(IF($B13="","",VLOOKUP($B13,'F14 csapat ELO'!$A$7:$O$22,2)))</f>
        <v>ALFA TI</v>
      </c>
      <c r="F13" s="206"/>
      <c r="G13" s="201">
        <f>IF($B13="","",VLOOKUP($B13,'F14 csapat ELO'!$A$7:$O$22,3))</f>
        <v>0</v>
      </c>
      <c r="H13" s="206"/>
      <c r="I13" s="201">
        <f>IF($B13="","",VLOOKUP($B13,'F14 csapat ELO'!$A$7:$O$22,4))</f>
        <v>0</v>
      </c>
      <c r="J13" s="193"/>
      <c r="K13" s="326"/>
      <c r="L13" s="278"/>
      <c r="M13" s="283"/>
      <c r="Y13" s="276"/>
      <c r="Z13" s="276"/>
      <c r="AA13" s="276" t="s">
        <v>97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56"/>
      <c r="L14" s="219"/>
      <c r="M14" s="284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</row>
    <row r="15" spans="1:37" x14ac:dyDescent="0.25">
      <c r="A15" s="256" t="s">
        <v>66</v>
      </c>
      <c r="B15" s="312">
        <v>2</v>
      </c>
      <c r="C15" s="205">
        <f>IF($B15="","",VLOOKUP($B15,'F14 csapat ELO'!$A$7:$O$22,5))</f>
        <v>0</v>
      </c>
      <c r="D15" s="311">
        <f>IF($B15="","",VLOOKUP($B15,'F14 csapat ELO'!$A$7:$O$22,15))</f>
        <v>35</v>
      </c>
      <c r="E15" s="202" t="str">
        <f>UPPER(IF($B15="","",VLOOKUP($B15,'F14 csapat ELO'!$A$7:$O$22,2)))</f>
        <v>VIHARSAROK TA</v>
      </c>
      <c r="F15" s="204"/>
      <c r="G15" s="202">
        <f>IF($B15="","",VLOOKUP($B15,'F14 csapat ELO'!$A$7:$O$22,3))</f>
        <v>0</v>
      </c>
      <c r="H15" s="204"/>
      <c r="I15" s="202">
        <f>IF($B15="","",VLOOKUP($B15,'F14 csapat ELO'!$A$7:$O$22,4))</f>
        <v>0</v>
      </c>
      <c r="J15" s="193"/>
      <c r="K15" s="326" t="s">
        <v>89</v>
      </c>
      <c r="L15" s="278"/>
      <c r="M15" s="283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56"/>
      <c r="L16" s="219"/>
      <c r="M16" s="284"/>
      <c r="Y16" s="276"/>
      <c r="Z16" s="276"/>
      <c r="AA16" s="276" t="s">
        <v>58</v>
      </c>
      <c r="AB16" s="276">
        <v>300</v>
      </c>
      <c r="AC16" s="276">
        <v>250</v>
      </c>
      <c r="AD16" s="276">
        <v>220</v>
      </c>
      <c r="AE16" s="276">
        <v>180</v>
      </c>
      <c r="AF16" s="276">
        <v>160</v>
      </c>
      <c r="AG16" s="276">
        <v>150</v>
      </c>
      <c r="AH16" s="276">
        <v>140</v>
      </c>
      <c r="AI16" s="276">
        <v>130</v>
      </c>
      <c r="AJ16" s="276">
        <v>120</v>
      </c>
      <c r="AK16" s="276">
        <v>110</v>
      </c>
    </row>
    <row r="17" spans="1:37" x14ac:dyDescent="0.25">
      <c r="A17" s="219" t="s">
        <v>67</v>
      </c>
      <c r="B17" s="273">
        <v>5</v>
      </c>
      <c r="C17" s="205">
        <f>IF($B17="","",VLOOKUP($B17,'F14 csapat ELO'!$A$7:$O$22,5))</f>
        <v>0</v>
      </c>
      <c r="D17" s="205">
        <f>IF($B17="","",VLOOKUP($B17,'F14 csapat ELO'!$A$7:$O$22,15))</f>
        <v>67</v>
      </c>
      <c r="E17" s="201" t="str">
        <f>UPPER(IF($B17="","",VLOOKUP($B17,'F14 csapat ELO'!$A$7:$O$22,2)))</f>
        <v>PASARÉT TK</v>
      </c>
      <c r="F17" s="206"/>
      <c r="G17" s="201">
        <f>IF($B17="","",VLOOKUP($B17,'F14 csapat ELO'!$A$7:$O$22,3))</f>
        <v>0</v>
      </c>
      <c r="H17" s="206"/>
      <c r="I17" s="201">
        <f>IF($B17="","",VLOOKUP($B17,'F14 csapat ELO'!$A$7:$O$22,4))</f>
        <v>0</v>
      </c>
      <c r="J17" s="193"/>
      <c r="K17" s="326" t="s">
        <v>92</v>
      </c>
      <c r="L17" s="278"/>
      <c r="M17" s="283"/>
      <c r="Y17" s="276"/>
      <c r="Z17" s="276"/>
      <c r="AA17" s="276" t="s">
        <v>88</v>
      </c>
      <c r="AB17" s="276">
        <v>250</v>
      </c>
      <c r="AC17" s="276">
        <v>200</v>
      </c>
      <c r="AD17" s="276">
        <v>160</v>
      </c>
      <c r="AE17" s="276">
        <v>140</v>
      </c>
      <c r="AF17" s="276">
        <v>120</v>
      </c>
      <c r="AG17" s="276">
        <v>110</v>
      </c>
      <c r="AH17" s="276">
        <v>100</v>
      </c>
      <c r="AI17" s="276">
        <v>90</v>
      </c>
      <c r="AJ17" s="276">
        <v>80</v>
      </c>
      <c r="AK17" s="276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56"/>
      <c r="L18" s="219"/>
      <c r="M18" s="284"/>
      <c r="Y18" s="276"/>
      <c r="Z18" s="276"/>
      <c r="AA18" s="276" t="s">
        <v>89</v>
      </c>
      <c r="AB18" s="276">
        <v>200</v>
      </c>
      <c r="AC18" s="276">
        <v>150</v>
      </c>
      <c r="AD18" s="276">
        <v>130</v>
      </c>
      <c r="AE18" s="276">
        <v>110</v>
      </c>
      <c r="AF18" s="276">
        <v>95</v>
      </c>
      <c r="AG18" s="276">
        <v>80</v>
      </c>
      <c r="AH18" s="276">
        <v>70</v>
      </c>
      <c r="AI18" s="276">
        <v>60</v>
      </c>
      <c r="AJ18" s="276">
        <v>55</v>
      </c>
      <c r="AK18" s="276">
        <v>50</v>
      </c>
    </row>
    <row r="19" spans="1:37" x14ac:dyDescent="0.25">
      <c r="A19" s="310" t="s">
        <v>71</v>
      </c>
      <c r="B19" s="273">
        <v>8</v>
      </c>
      <c r="C19" s="205">
        <f>IF($B19="","",VLOOKUP($B19,'F14 csapat ELO'!$A$7:$O$22,5))</f>
        <v>0</v>
      </c>
      <c r="D19" s="205">
        <f>IF($B19="","",VLOOKUP($B19,'F14 csapat ELO'!$A$7:$O$22,15))</f>
        <v>95</v>
      </c>
      <c r="E19" s="201" t="str">
        <f>UPPER(IF($B19="","",VLOOKUP($B19,'F14 csapat ELO'!$A$7:$O$22,2)))</f>
        <v>DUNAKESZI TK</v>
      </c>
      <c r="F19" s="206"/>
      <c r="G19" s="201">
        <f>IF($B19="","",VLOOKUP($B19,'F14 csapat ELO'!$A$7:$O$22,3))</f>
        <v>0</v>
      </c>
      <c r="H19" s="206"/>
      <c r="I19" s="201">
        <f>IF($B19="","",VLOOKUP($B19,'F14 csapat ELO'!$A$7:$O$22,4))</f>
        <v>0</v>
      </c>
      <c r="J19" s="193"/>
      <c r="K19" s="326" t="s">
        <v>91</v>
      </c>
      <c r="L19" s="278"/>
      <c r="M19" s="283"/>
      <c r="Y19" s="276"/>
      <c r="Z19" s="276"/>
      <c r="AA19" s="276" t="s">
        <v>90</v>
      </c>
      <c r="AB19" s="276">
        <v>150</v>
      </c>
      <c r="AC19" s="276">
        <v>120</v>
      </c>
      <c r="AD19" s="276">
        <v>100</v>
      </c>
      <c r="AE19" s="276">
        <v>80</v>
      </c>
      <c r="AF19" s="276">
        <v>70</v>
      </c>
      <c r="AG19" s="276">
        <v>60</v>
      </c>
      <c r="AH19" s="276">
        <v>55</v>
      </c>
      <c r="AI19" s="276">
        <v>50</v>
      </c>
      <c r="AJ19" s="276">
        <v>45</v>
      </c>
      <c r="AK19" s="276">
        <v>40</v>
      </c>
    </row>
    <row r="20" spans="1:37" x14ac:dyDescent="0.25">
      <c r="A20" s="219"/>
      <c r="B20" s="272"/>
      <c r="C20" s="220"/>
      <c r="D20" s="220"/>
      <c r="E20" s="220"/>
      <c r="F20" s="220"/>
      <c r="G20" s="220"/>
      <c r="H20" s="220"/>
      <c r="I20" s="220"/>
      <c r="J20" s="193"/>
      <c r="K20" s="256"/>
      <c r="L20" s="219"/>
      <c r="M20" s="284"/>
      <c r="Y20" s="276"/>
      <c r="Z20" s="276"/>
      <c r="AA20" s="276" t="s">
        <v>89</v>
      </c>
      <c r="AB20" s="276">
        <v>200</v>
      </c>
      <c r="AC20" s="276">
        <v>150</v>
      </c>
      <c r="AD20" s="276">
        <v>130</v>
      </c>
      <c r="AE20" s="276">
        <v>110</v>
      </c>
      <c r="AF20" s="276">
        <v>95</v>
      </c>
      <c r="AG20" s="276">
        <v>80</v>
      </c>
      <c r="AH20" s="276">
        <v>70</v>
      </c>
      <c r="AI20" s="276">
        <v>60</v>
      </c>
      <c r="AJ20" s="276">
        <v>55</v>
      </c>
      <c r="AK20" s="276">
        <v>50</v>
      </c>
    </row>
    <row r="21" spans="1:37" x14ac:dyDescent="0.25">
      <c r="A21" s="310" t="s">
        <v>108</v>
      </c>
      <c r="B21" s="273">
        <v>4</v>
      </c>
      <c r="C21" s="205">
        <f>IF($B21="","",VLOOKUP($B21,'F14 csapat ELO'!$A$7:$O$22,5))</f>
        <v>0</v>
      </c>
      <c r="D21" s="205">
        <f>IF($B21="","",VLOOKUP($B21,'F14 csapat ELO'!$A$7:$O$22,15))</f>
        <v>62</v>
      </c>
      <c r="E21" s="201" t="str">
        <f>UPPER(IF($B21="","",VLOOKUP($B21,'F14 csapat ELO'!$A$7:$O$22,2)))</f>
        <v>SVSE</v>
      </c>
      <c r="F21" s="206"/>
      <c r="G21" s="201">
        <f>IF($B21="","",VLOOKUP($B21,'F14 csapat ELO'!$A$7:$O$22,3))</f>
        <v>0</v>
      </c>
      <c r="H21" s="206"/>
      <c r="I21" s="201">
        <f>IF($B21="","",VLOOKUP($B21,'F14 csapat ELO'!$A$7:$O$22,4))</f>
        <v>0</v>
      </c>
      <c r="J21" s="193"/>
      <c r="K21" s="326" t="s">
        <v>94</v>
      </c>
      <c r="L21" s="278"/>
      <c r="M21" s="283"/>
      <c r="Y21" s="276"/>
      <c r="Z21" s="276"/>
      <c r="AA21" s="276" t="s">
        <v>90</v>
      </c>
      <c r="AB21" s="276">
        <v>150</v>
      </c>
      <c r="AC21" s="276">
        <v>120</v>
      </c>
      <c r="AD21" s="276">
        <v>100</v>
      </c>
      <c r="AE21" s="276">
        <v>80</v>
      </c>
      <c r="AF21" s="276">
        <v>70</v>
      </c>
      <c r="AG21" s="276">
        <v>60</v>
      </c>
      <c r="AH21" s="276">
        <v>55</v>
      </c>
      <c r="AI21" s="276">
        <v>50</v>
      </c>
      <c r="AJ21" s="276">
        <v>45</v>
      </c>
      <c r="AK21" s="276">
        <v>40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76"/>
      <c r="Z22" s="276"/>
      <c r="AA22" s="276" t="s">
        <v>91</v>
      </c>
      <c r="AB22" s="276">
        <v>120</v>
      </c>
      <c r="AC22" s="276">
        <v>90</v>
      </c>
      <c r="AD22" s="276">
        <v>65</v>
      </c>
      <c r="AE22" s="276">
        <v>55</v>
      </c>
      <c r="AF22" s="276">
        <v>50</v>
      </c>
      <c r="AG22" s="276">
        <v>45</v>
      </c>
      <c r="AH22" s="276">
        <v>40</v>
      </c>
      <c r="AI22" s="276">
        <v>35</v>
      </c>
      <c r="AJ22" s="276">
        <v>25</v>
      </c>
      <c r="AK22" s="276">
        <v>20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6"/>
      <c r="Z23" s="276"/>
      <c r="AA23" s="276" t="s">
        <v>92</v>
      </c>
      <c r="AB23" s="276">
        <v>90</v>
      </c>
      <c r="AC23" s="276">
        <v>60</v>
      </c>
      <c r="AD23" s="276">
        <v>45</v>
      </c>
      <c r="AE23" s="276">
        <v>34</v>
      </c>
      <c r="AF23" s="276">
        <v>27</v>
      </c>
      <c r="AG23" s="276">
        <v>22</v>
      </c>
      <c r="AH23" s="276">
        <v>18</v>
      </c>
      <c r="AI23" s="276">
        <v>15</v>
      </c>
      <c r="AJ23" s="276">
        <v>12</v>
      </c>
      <c r="AK23" s="276">
        <v>9</v>
      </c>
    </row>
    <row r="24" spans="1:37" ht="18.75" customHeight="1" x14ac:dyDescent="0.25">
      <c r="A24" s="193"/>
      <c r="B24" s="344"/>
      <c r="C24" s="344"/>
      <c r="D24" s="335" t="str">
        <f>E7</f>
        <v>TENISZ MŰHELY</v>
      </c>
      <c r="E24" s="335"/>
      <c r="F24" s="335" t="str">
        <f>E9</f>
        <v>OKOS TENISZ</v>
      </c>
      <c r="G24" s="335"/>
      <c r="H24" s="335" t="str">
        <f>E11</f>
        <v>PVTC</v>
      </c>
      <c r="I24" s="335"/>
      <c r="J24" s="335" t="str">
        <f>E13</f>
        <v>ALFA TI</v>
      </c>
      <c r="K24" s="335"/>
      <c r="L24" s="193"/>
      <c r="M24" s="257" t="s">
        <v>62</v>
      </c>
      <c r="Y24" s="276"/>
      <c r="Z24" s="276"/>
      <c r="AA24" s="276" t="s">
        <v>93</v>
      </c>
      <c r="AB24" s="276">
        <v>60</v>
      </c>
      <c r="AC24" s="276">
        <v>40</v>
      </c>
      <c r="AD24" s="276">
        <v>30</v>
      </c>
      <c r="AE24" s="276">
        <v>20</v>
      </c>
      <c r="AF24" s="276">
        <v>18</v>
      </c>
      <c r="AG24" s="276">
        <v>15</v>
      </c>
      <c r="AH24" s="276">
        <v>12</v>
      </c>
      <c r="AI24" s="276">
        <v>10</v>
      </c>
      <c r="AJ24" s="276">
        <v>8</v>
      </c>
      <c r="AK24" s="276">
        <v>6</v>
      </c>
    </row>
    <row r="25" spans="1:37" ht="18.75" customHeight="1" x14ac:dyDescent="0.25">
      <c r="A25" s="255" t="s">
        <v>58</v>
      </c>
      <c r="B25" s="341" t="str">
        <f>E7</f>
        <v>TENISZ MŰHELY</v>
      </c>
      <c r="C25" s="341"/>
      <c r="D25" s="347"/>
      <c r="E25" s="347"/>
      <c r="F25" s="348" t="s">
        <v>141</v>
      </c>
      <c r="G25" s="349"/>
      <c r="H25" s="348" t="s">
        <v>141</v>
      </c>
      <c r="I25" s="349"/>
      <c r="J25" s="350" t="s">
        <v>136</v>
      </c>
      <c r="K25" s="335"/>
      <c r="L25" s="193"/>
      <c r="M25" s="259">
        <v>1</v>
      </c>
      <c r="Y25" s="276"/>
      <c r="Z25" s="276"/>
      <c r="AA25" s="276" t="s">
        <v>94</v>
      </c>
      <c r="AB25" s="276">
        <v>40</v>
      </c>
      <c r="AC25" s="276">
        <v>25</v>
      </c>
      <c r="AD25" s="276">
        <v>18</v>
      </c>
      <c r="AE25" s="276">
        <v>13</v>
      </c>
      <c r="AF25" s="276">
        <v>8</v>
      </c>
      <c r="AG25" s="276">
        <v>7</v>
      </c>
      <c r="AH25" s="276">
        <v>6</v>
      </c>
      <c r="AI25" s="276">
        <v>5</v>
      </c>
      <c r="AJ25" s="276">
        <v>4</v>
      </c>
      <c r="AK25" s="276">
        <v>3</v>
      </c>
    </row>
    <row r="26" spans="1:37" ht="18.75" customHeight="1" x14ac:dyDescent="0.25">
      <c r="A26" s="255" t="s">
        <v>59</v>
      </c>
      <c r="B26" s="341" t="str">
        <f>E9</f>
        <v>OKOS TENISZ</v>
      </c>
      <c r="C26" s="341"/>
      <c r="D26" s="348" t="s">
        <v>142</v>
      </c>
      <c r="E26" s="349"/>
      <c r="F26" s="347"/>
      <c r="G26" s="347"/>
      <c r="H26" s="348" t="s">
        <v>137</v>
      </c>
      <c r="I26" s="349"/>
      <c r="J26" s="348" t="s">
        <v>136</v>
      </c>
      <c r="K26" s="349"/>
      <c r="L26" s="193"/>
      <c r="M26" s="259">
        <v>2</v>
      </c>
      <c r="Y26" s="276"/>
      <c r="Z26" s="276"/>
      <c r="AA26" s="276" t="s">
        <v>95</v>
      </c>
      <c r="AB26" s="276">
        <v>25</v>
      </c>
      <c r="AC26" s="276">
        <v>15</v>
      </c>
      <c r="AD26" s="276">
        <v>13</v>
      </c>
      <c r="AE26" s="276">
        <v>7</v>
      </c>
      <c r="AF26" s="276">
        <v>6</v>
      </c>
      <c r="AG26" s="276">
        <v>5</v>
      </c>
      <c r="AH26" s="276">
        <v>4</v>
      </c>
      <c r="AI26" s="276">
        <v>3</v>
      </c>
      <c r="AJ26" s="276">
        <v>2</v>
      </c>
      <c r="AK26" s="276">
        <v>1</v>
      </c>
    </row>
    <row r="27" spans="1:37" ht="18.75" customHeight="1" x14ac:dyDescent="0.25">
      <c r="A27" s="255" t="s">
        <v>60</v>
      </c>
      <c r="B27" s="341" t="str">
        <f>E11</f>
        <v>PVTC</v>
      </c>
      <c r="C27" s="341"/>
      <c r="D27" s="348" t="s">
        <v>142</v>
      </c>
      <c r="E27" s="349"/>
      <c r="F27" s="348" t="s">
        <v>138</v>
      </c>
      <c r="G27" s="349"/>
      <c r="H27" s="347"/>
      <c r="I27" s="347"/>
      <c r="J27" s="348" t="s">
        <v>136</v>
      </c>
      <c r="K27" s="349"/>
      <c r="L27" s="193"/>
      <c r="M27" s="259">
        <v>3</v>
      </c>
      <c r="Y27" s="276"/>
      <c r="Z27" s="276"/>
      <c r="AA27" s="276" t="s">
        <v>100</v>
      </c>
      <c r="AB27" s="276">
        <v>15</v>
      </c>
      <c r="AC27" s="276">
        <v>10</v>
      </c>
      <c r="AD27" s="276">
        <v>8</v>
      </c>
      <c r="AE27" s="276">
        <v>4</v>
      </c>
      <c r="AF27" s="276">
        <v>3</v>
      </c>
      <c r="AG27" s="276">
        <v>2</v>
      </c>
      <c r="AH27" s="276">
        <v>1</v>
      </c>
      <c r="AI27" s="276">
        <v>0</v>
      </c>
      <c r="AJ27" s="276">
        <v>0</v>
      </c>
      <c r="AK27" s="276">
        <v>0</v>
      </c>
    </row>
    <row r="28" spans="1:37" ht="18.75" customHeight="1" x14ac:dyDescent="0.25">
      <c r="A28" s="309" t="s">
        <v>65</v>
      </c>
      <c r="B28" s="341" t="str">
        <f>E13</f>
        <v>ALFA TI</v>
      </c>
      <c r="C28" s="341"/>
      <c r="D28" s="348" t="s">
        <v>135</v>
      </c>
      <c r="E28" s="349"/>
      <c r="F28" s="348" t="s">
        <v>135</v>
      </c>
      <c r="G28" s="349"/>
      <c r="H28" s="350" t="s">
        <v>135</v>
      </c>
      <c r="I28" s="335"/>
      <c r="J28" s="347"/>
      <c r="K28" s="347"/>
      <c r="L28" s="193"/>
      <c r="M28" s="259">
        <v>4</v>
      </c>
      <c r="Y28" s="276"/>
      <c r="Z28" s="276"/>
      <c r="AA28" s="276" t="s">
        <v>100</v>
      </c>
      <c r="AB28" s="276">
        <v>15</v>
      </c>
      <c r="AC28" s="276">
        <v>10</v>
      </c>
      <c r="AD28" s="276">
        <v>8</v>
      </c>
      <c r="AE28" s="276">
        <v>4</v>
      </c>
      <c r="AF28" s="276">
        <v>3</v>
      </c>
      <c r="AG28" s="276">
        <v>2</v>
      </c>
      <c r="AH28" s="276">
        <v>1</v>
      </c>
      <c r="AI28" s="276">
        <v>0</v>
      </c>
      <c r="AJ28" s="276">
        <v>0</v>
      </c>
      <c r="AK28" s="276">
        <v>0</v>
      </c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260"/>
      <c r="Y29" s="276"/>
      <c r="Z29" s="276"/>
      <c r="AA29" s="276" t="s">
        <v>96</v>
      </c>
      <c r="AB29" s="276">
        <v>10</v>
      </c>
      <c r="AC29" s="276">
        <v>6</v>
      </c>
      <c r="AD29" s="276">
        <v>4</v>
      </c>
      <c r="AE29" s="276">
        <v>2</v>
      </c>
      <c r="AF29" s="276">
        <v>1</v>
      </c>
      <c r="AG29" s="276">
        <v>0</v>
      </c>
      <c r="AH29" s="276">
        <v>0</v>
      </c>
      <c r="AI29" s="276">
        <v>0</v>
      </c>
      <c r="AJ29" s="276">
        <v>0</v>
      </c>
      <c r="AK29" s="276">
        <v>0</v>
      </c>
    </row>
    <row r="30" spans="1:37" ht="18.75" customHeight="1" x14ac:dyDescent="0.25">
      <c r="A30" s="193"/>
      <c r="B30" s="344"/>
      <c r="C30" s="344"/>
      <c r="D30" s="335" t="str">
        <f>E15</f>
        <v>VIHARSAROK TA</v>
      </c>
      <c r="E30" s="335"/>
      <c r="F30" s="335" t="str">
        <f>E17</f>
        <v>PASARÉT TK</v>
      </c>
      <c r="G30" s="335"/>
      <c r="H30" s="351" t="str">
        <f>E19</f>
        <v>DUNAKESZI TK</v>
      </c>
      <c r="I30" s="352"/>
      <c r="J30" s="335" t="str">
        <f>E21</f>
        <v>SVSE</v>
      </c>
      <c r="K30" s="335"/>
      <c r="L30" s="193"/>
      <c r="M30" s="260"/>
      <c r="Y30" s="276"/>
      <c r="Z30" s="276"/>
      <c r="AA30" s="276" t="s">
        <v>97</v>
      </c>
      <c r="AB30" s="276">
        <v>3</v>
      </c>
      <c r="AC30" s="276">
        <v>2</v>
      </c>
      <c r="AD30" s="276">
        <v>1</v>
      </c>
      <c r="AE30" s="276">
        <v>0</v>
      </c>
      <c r="AF30" s="276">
        <v>0</v>
      </c>
      <c r="AG30" s="276">
        <v>0</v>
      </c>
      <c r="AH30" s="276">
        <v>0</v>
      </c>
      <c r="AI30" s="276">
        <v>0</v>
      </c>
      <c r="AJ30" s="276">
        <v>0</v>
      </c>
      <c r="AK30" s="276">
        <v>0</v>
      </c>
    </row>
    <row r="31" spans="1:37" ht="18.75" customHeight="1" x14ac:dyDescent="0.25">
      <c r="A31" s="309" t="s">
        <v>66</v>
      </c>
      <c r="B31" s="342" t="str">
        <f>E15</f>
        <v>VIHARSAROK TA</v>
      </c>
      <c r="C31" s="343"/>
      <c r="D31" s="347"/>
      <c r="E31" s="347"/>
      <c r="F31" s="331" t="s">
        <v>141</v>
      </c>
      <c r="G31" s="332"/>
      <c r="H31" s="348" t="s">
        <v>141</v>
      </c>
      <c r="I31" s="349"/>
      <c r="J31" s="350" t="s">
        <v>141</v>
      </c>
      <c r="K31" s="335"/>
      <c r="L31" s="193"/>
      <c r="M31" s="259">
        <v>1</v>
      </c>
    </row>
    <row r="32" spans="1:37" ht="18.75" customHeight="1" x14ac:dyDescent="0.25">
      <c r="A32" s="309" t="s">
        <v>67</v>
      </c>
      <c r="B32" s="341" t="str">
        <f>E17</f>
        <v>PASARÉT TK</v>
      </c>
      <c r="C32" s="341"/>
      <c r="D32" s="331" t="s">
        <v>142</v>
      </c>
      <c r="E32" s="332"/>
      <c r="F32" s="347"/>
      <c r="G32" s="347"/>
      <c r="H32" s="348" t="s">
        <v>148</v>
      </c>
      <c r="I32" s="349"/>
      <c r="J32" s="349" t="s">
        <v>151</v>
      </c>
      <c r="K32" s="349"/>
      <c r="L32" s="193"/>
      <c r="M32" s="259">
        <v>3</v>
      </c>
    </row>
    <row r="33" spans="1:19" ht="18.75" customHeight="1" x14ac:dyDescent="0.25">
      <c r="A33" s="309" t="s">
        <v>71</v>
      </c>
      <c r="B33" s="341" t="str">
        <f>E19</f>
        <v>DUNAKESZI TK</v>
      </c>
      <c r="C33" s="341"/>
      <c r="D33" s="348" t="s">
        <v>142</v>
      </c>
      <c r="E33" s="349"/>
      <c r="F33" s="348" t="s">
        <v>149</v>
      </c>
      <c r="G33" s="349"/>
      <c r="H33" s="336"/>
      <c r="I33" s="336"/>
      <c r="J33" s="331" t="s">
        <v>139</v>
      </c>
      <c r="K33" s="332"/>
      <c r="L33" s="193"/>
      <c r="M33" s="259">
        <v>2</v>
      </c>
    </row>
    <row r="34" spans="1:19" ht="18.75" customHeight="1" x14ac:dyDescent="0.25">
      <c r="A34" s="309" t="s">
        <v>108</v>
      </c>
      <c r="B34" s="341" t="str">
        <f>E21</f>
        <v>SVSE</v>
      </c>
      <c r="C34" s="341"/>
      <c r="D34" s="348" t="s">
        <v>142</v>
      </c>
      <c r="E34" s="349"/>
      <c r="F34" s="349" t="s">
        <v>150</v>
      </c>
      <c r="G34" s="349"/>
      <c r="H34" s="333" t="s">
        <v>140</v>
      </c>
      <c r="I34" s="334"/>
      <c r="J34" s="336"/>
      <c r="K34" s="336"/>
      <c r="L34" s="193"/>
      <c r="M34" s="259">
        <v>4</v>
      </c>
    </row>
    <row r="35" spans="1:19" ht="18.75" customHeight="1" x14ac:dyDescent="0.25">
      <c r="A35" s="261"/>
      <c r="B35" s="262"/>
      <c r="C35" s="262"/>
      <c r="D35" s="261"/>
      <c r="E35" s="261"/>
      <c r="F35" s="261"/>
      <c r="G35" s="261"/>
      <c r="H35" s="261"/>
      <c r="I35" s="261"/>
      <c r="J35" s="193"/>
      <c r="K35" s="193"/>
      <c r="L35" s="193"/>
      <c r="M35" s="263"/>
    </row>
    <row r="36" spans="1:19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9" x14ac:dyDescent="0.25">
      <c r="A37" s="193" t="s">
        <v>52</v>
      </c>
      <c r="B37" s="193"/>
      <c r="C37" s="337" t="str">
        <f>IF(M25=1,B25,IF(M26=1,B26,IF(M27=1,B27,IF(M28=1,B28,""))))</f>
        <v>TENISZ MŰHELY</v>
      </c>
      <c r="D37" s="337"/>
      <c r="E37" s="219" t="s">
        <v>69</v>
      </c>
      <c r="F37" s="338" t="str">
        <f>IF(M31=1,B31,IF(M32=1,B32,IF(M33=1,B33,IF(M34=1,B34,""))))</f>
        <v>VIHARSAROK TA</v>
      </c>
      <c r="G37" s="338"/>
      <c r="H37" s="193"/>
      <c r="I37" s="328" t="s">
        <v>139</v>
      </c>
      <c r="J37" s="193"/>
      <c r="K37" s="193"/>
      <c r="L37" s="193"/>
      <c r="M37" s="193"/>
    </row>
    <row r="38" spans="1:19" x14ac:dyDescent="0.25">
      <c r="A38" s="193"/>
      <c r="B38" s="193"/>
      <c r="C38" s="193"/>
      <c r="D38" s="193"/>
      <c r="E38" s="193"/>
      <c r="F38" s="219"/>
      <c r="G38" s="219"/>
      <c r="H38" s="193"/>
      <c r="I38" s="329"/>
      <c r="J38" s="193"/>
      <c r="K38" s="193"/>
      <c r="L38" s="193"/>
      <c r="M38" s="193"/>
    </row>
    <row r="39" spans="1:19" x14ac:dyDescent="0.25">
      <c r="A39" s="193" t="s">
        <v>68</v>
      </c>
      <c r="B39" s="193"/>
      <c r="C39" s="337" t="str">
        <f>IF(M25=2,B25,IF(M26=2,B26,IF(M27=2,B27,IF(M28=2,B28,""))))</f>
        <v>OKOS TENISZ</v>
      </c>
      <c r="D39" s="337"/>
      <c r="E39" s="219" t="s">
        <v>69</v>
      </c>
      <c r="F39" s="338" t="str">
        <f>IF(M31=2,B31,IF(M32=2,B32,IF(M33=2,B33,IF(M34=2,B34,""))))</f>
        <v>DUNAKESZI TK</v>
      </c>
      <c r="G39" s="338"/>
      <c r="H39" s="193"/>
      <c r="I39" s="328" t="s">
        <v>141</v>
      </c>
      <c r="J39" s="193"/>
      <c r="K39" s="193"/>
      <c r="L39" s="193"/>
      <c r="M39" s="193"/>
    </row>
    <row r="40" spans="1:19" x14ac:dyDescent="0.25">
      <c r="A40" s="193"/>
      <c r="B40" s="193"/>
      <c r="C40" s="258"/>
      <c r="D40" s="258"/>
      <c r="E40" s="219"/>
      <c r="F40" s="258"/>
      <c r="G40" s="258"/>
      <c r="H40" s="193"/>
      <c r="I40" s="329"/>
      <c r="J40" s="193"/>
      <c r="K40" s="193"/>
      <c r="L40" s="193"/>
      <c r="M40" s="193"/>
    </row>
    <row r="41" spans="1:19" x14ac:dyDescent="0.25">
      <c r="A41" s="193" t="s">
        <v>70</v>
      </c>
      <c r="B41" s="193"/>
      <c r="C41" s="338" t="str">
        <f>IF(M25=3,B25,IF(M26=3,B26,IF(M27=3,B27,IF(M28=3,B28,""))))</f>
        <v>PVTC</v>
      </c>
      <c r="D41" s="338"/>
      <c r="E41" s="219" t="s">
        <v>69</v>
      </c>
      <c r="F41" s="337" t="str">
        <f>IF(M31=3,B31,IF(M32=3,B32,IF(M33=3,B33,IF(M34=3,B34,""))))</f>
        <v>PASARÉT TK</v>
      </c>
      <c r="G41" s="337"/>
      <c r="H41" s="193"/>
      <c r="I41" s="328" t="s">
        <v>153</v>
      </c>
      <c r="J41" s="193"/>
      <c r="K41" s="193"/>
      <c r="L41" s="193"/>
      <c r="M41" s="193"/>
    </row>
    <row r="42" spans="1:19" x14ac:dyDescent="0.25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</row>
    <row r="43" spans="1:19" x14ac:dyDescent="0.25">
      <c r="A43" s="220" t="s">
        <v>109</v>
      </c>
      <c r="B43" s="193"/>
      <c r="C43" s="338" t="str">
        <f>IF(M25=4,B25,IF(M26=4,B26,IF(M27=4,B27,IF(M28=4,B28,))))</f>
        <v>ALFA TI</v>
      </c>
      <c r="D43" s="338"/>
      <c r="E43" s="219" t="s">
        <v>69</v>
      </c>
      <c r="F43" s="337" t="s">
        <v>128</v>
      </c>
      <c r="G43" s="337"/>
      <c r="H43" s="193"/>
      <c r="I43" s="327" t="s">
        <v>154</v>
      </c>
      <c r="J43" s="193"/>
      <c r="K43" s="193"/>
      <c r="L43" s="193"/>
      <c r="M43" s="193"/>
      <c r="O43" s="211"/>
      <c r="P43" s="211"/>
      <c r="Q43" s="211"/>
      <c r="R43" s="211"/>
      <c r="S43" s="211"/>
    </row>
    <row r="44" spans="1:19" x14ac:dyDescent="0.25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2"/>
      <c r="M44" s="193"/>
      <c r="O44" s="211"/>
      <c r="P44" s="221"/>
      <c r="Q44" s="221"/>
      <c r="R44" s="222"/>
      <c r="S44" s="211"/>
    </row>
    <row r="45" spans="1:19" x14ac:dyDescent="0.25">
      <c r="A45" s="110" t="s">
        <v>38</v>
      </c>
      <c r="B45" s="111"/>
      <c r="C45" s="165"/>
      <c r="D45" s="227" t="s">
        <v>2</v>
      </c>
      <c r="E45" s="228" t="s">
        <v>40</v>
      </c>
      <c r="F45" s="246"/>
      <c r="G45" s="227" t="s">
        <v>2</v>
      </c>
      <c r="H45" s="228" t="s">
        <v>49</v>
      </c>
      <c r="I45" s="119"/>
      <c r="J45" s="228" t="s">
        <v>50</v>
      </c>
      <c r="K45" s="118" t="s">
        <v>51</v>
      </c>
      <c r="L45" s="31"/>
      <c r="M45" s="246"/>
      <c r="O45" s="211"/>
      <c r="P45" s="223"/>
      <c r="Q45" s="223"/>
      <c r="R45" s="224"/>
      <c r="S45" s="211"/>
    </row>
    <row r="46" spans="1:19" x14ac:dyDescent="0.25">
      <c r="A46" s="196" t="s">
        <v>39</v>
      </c>
      <c r="B46" s="197"/>
      <c r="C46" s="198"/>
      <c r="D46" s="229">
        <v>1</v>
      </c>
      <c r="E46" s="339" t="str">
        <f>IF(D46&gt;$R$47,,UPPER(VLOOKUP(D46,'F14 csapat ELO'!$A$7:$Q$134,2)))</f>
        <v>TENISZ MŰHELY</v>
      </c>
      <c r="F46" s="339"/>
      <c r="G46" s="240" t="s">
        <v>3</v>
      </c>
      <c r="H46" s="197"/>
      <c r="I46" s="230"/>
      <c r="J46" s="241"/>
      <c r="K46" s="194" t="s">
        <v>41</v>
      </c>
      <c r="L46" s="247"/>
      <c r="M46" s="231"/>
      <c r="O46" s="211"/>
      <c r="P46" s="224"/>
      <c r="Q46" s="225"/>
      <c r="R46" s="224"/>
      <c r="S46" s="211"/>
    </row>
    <row r="47" spans="1:19" x14ac:dyDescent="0.25">
      <c r="A47" s="199" t="s">
        <v>48</v>
      </c>
      <c r="B47" s="117"/>
      <c r="C47" s="200"/>
      <c r="D47" s="232">
        <v>2</v>
      </c>
      <c r="E47" s="340" t="str">
        <f>IF(D47&gt;$R$47,,UPPER(VLOOKUP(D47,'F14 csapat ELO'!$A$7:$Q$134,2)))</f>
        <v>VIHARSAROK TA</v>
      </c>
      <c r="F47" s="340"/>
      <c r="G47" s="242" t="s">
        <v>4</v>
      </c>
      <c r="H47" s="233"/>
      <c r="I47" s="234"/>
      <c r="J47" s="82"/>
      <c r="K47" s="244"/>
      <c r="L47" s="192"/>
      <c r="M47" s="239"/>
      <c r="O47" s="211"/>
      <c r="P47" s="223"/>
      <c r="Q47" s="223"/>
      <c r="R47" s="226">
        <f>MIN(4,'F14 csapat ELO'!Q2)</f>
        <v>4</v>
      </c>
      <c r="S47" s="211"/>
    </row>
    <row r="48" spans="1:19" x14ac:dyDescent="0.25">
      <c r="A48" s="132"/>
      <c r="B48" s="133"/>
      <c r="C48" s="134"/>
      <c r="D48" s="232"/>
      <c r="E48" s="236"/>
      <c r="F48" s="237"/>
      <c r="G48" s="242" t="s">
        <v>5</v>
      </c>
      <c r="H48" s="233"/>
      <c r="I48" s="234"/>
      <c r="J48" s="82"/>
      <c r="K48" s="194" t="s">
        <v>42</v>
      </c>
      <c r="L48" s="247"/>
      <c r="M48" s="231"/>
      <c r="O48" s="211"/>
      <c r="P48" s="224"/>
      <c r="Q48" s="225"/>
      <c r="R48" s="224"/>
      <c r="S48" s="211"/>
    </row>
    <row r="49" spans="1:19" x14ac:dyDescent="0.25">
      <c r="A49" s="112"/>
      <c r="B49" s="163"/>
      <c r="C49" s="113"/>
      <c r="D49" s="232"/>
      <c r="E49" s="236"/>
      <c r="F49" s="237"/>
      <c r="G49" s="242" t="s">
        <v>6</v>
      </c>
      <c r="H49" s="233"/>
      <c r="I49" s="234"/>
      <c r="J49" s="82"/>
      <c r="K49" s="245"/>
      <c r="L49" s="237"/>
      <c r="M49" s="235"/>
      <c r="O49" s="211"/>
      <c r="P49" s="224"/>
      <c r="Q49" s="225"/>
      <c r="R49" s="224"/>
      <c r="S49" s="211"/>
    </row>
    <row r="50" spans="1:19" x14ac:dyDescent="0.25">
      <c r="A50" s="121"/>
      <c r="B50" s="135"/>
      <c r="C50" s="164"/>
      <c r="D50" s="232"/>
      <c r="E50" s="236"/>
      <c r="F50" s="237"/>
      <c r="G50" s="242" t="s">
        <v>7</v>
      </c>
      <c r="H50" s="233"/>
      <c r="I50" s="234"/>
      <c r="J50" s="82"/>
      <c r="K50" s="199"/>
      <c r="L50" s="192"/>
      <c r="M50" s="239"/>
      <c r="O50" s="211"/>
      <c r="P50" s="223"/>
      <c r="Q50" s="223"/>
      <c r="R50" s="224"/>
      <c r="S50" s="211"/>
    </row>
    <row r="51" spans="1:19" x14ac:dyDescent="0.25">
      <c r="A51" s="122"/>
      <c r="B51" s="138"/>
      <c r="C51" s="113"/>
      <c r="D51" s="232"/>
      <c r="E51" s="236"/>
      <c r="F51" s="237"/>
      <c r="G51" s="242" t="s">
        <v>8</v>
      </c>
      <c r="H51" s="233"/>
      <c r="I51" s="234"/>
      <c r="J51" s="82"/>
      <c r="K51" s="194" t="s">
        <v>31</v>
      </c>
      <c r="L51" s="247"/>
      <c r="M51" s="231"/>
      <c r="O51" s="211"/>
      <c r="P51" s="224"/>
      <c r="Q51" s="225"/>
      <c r="R51" s="224"/>
      <c r="S51" s="211"/>
    </row>
    <row r="52" spans="1:19" x14ac:dyDescent="0.25">
      <c r="A52" s="122"/>
      <c r="B52" s="138"/>
      <c r="C52" s="130"/>
      <c r="D52" s="232"/>
      <c r="E52" s="236"/>
      <c r="F52" s="237"/>
      <c r="G52" s="242" t="s">
        <v>9</v>
      </c>
      <c r="H52" s="233"/>
      <c r="I52" s="234"/>
      <c r="J52" s="82"/>
      <c r="K52" s="245"/>
      <c r="L52" s="237"/>
      <c r="M52" s="235"/>
      <c r="O52" s="211"/>
      <c r="P52" s="224"/>
      <c r="Q52" s="225"/>
      <c r="R52" s="226"/>
      <c r="S52" s="211"/>
    </row>
    <row r="53" spans="1:19" x14ac:dyDescent="0.25">
      <c r="A53" s="123"/>
      <c r="B53" s="120"/>
      <c r="C53" s="131"/>
      <c r="D53" s="238"/>
      <c r="E53" s="114"/>
      <c r="F53" s="192"/>
      <c r="G53" s="243" t="s">
        <v>10</v>
      </c>
      <c r="H53" s="117"/>
      <c r="I53" s="195"/>
      <c r="J53" s="115"/>
      <c r="K53" s="199" t="str">
        <f>L4</f>
        <v>Rákóczi Andrea</v>
      </c>
      <c r="L53" s="192"/>
      <c r="M53" s="239"/>
      <c r="O53" s="211"/>
      <c r="P53" s="211"/>
      <c r="Q53" s="211"/>
      <c r="R53" s="211"/>
      <c r="S53" s="211"/>
    </row>
    <row r="54" spans="1:19" x14ac:dyDescent="0.25">
      <c r="O54" s="211"/>
      <c r="P54" s="211"/>
      <c r="Q54" s="211"/>
      <c r="R54" s="211"/>
      <c r="S54" s="211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  <mergeCell ref="H24:I24"/>
  </mergeCells>
  <conditionalFormatting sqref="R52 R47">
    <cfRule type="expression" dxfId="39" priority="2" stopIfTrue="1">
      <formula>$O$1="CU"</formula>
    </cfRule>
  </conditionalFormatting>
  <conditionalFormatting sqref="E7 E9 E11 E13 E15 E17 E19:E21">
    <cfRule type="cellIs" dxfId="3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DDBF-9BEA-4E47-9394-4B2F30FDF3C1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T9" sqref="T9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9" customWidth="1"/>
    <col min="5" max="5" width="12.109375" style="303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2" t="str">
        <f>Altalanos!$C$8</f>
        <v>F16 csapat</v>
      </c>
      <c r="D2" s="99"/>
      <c r="E2" s="159" t="s">
        <v>32</v>
      </c>
      <c r="F2" s="89"/>
      <c r="G2" s="89"/>
      <c r="H2" s="295"/>
      <c r="I2" s="295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8" t="s">
        <v>45</v>
      </c>
      <c r="B3" s="293"/>
      <c r="C3" s="293"/>
      <c r="D3" s="293"/>
      <c r="E3" s="293"/>
      <c r="F3" s="293"/>
      <c r="G3" s="293"/>
      <c r="H3" s="293"/>
      <c r="I3" s="294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5" t="s">
        <v>28</v>
      </c>
      <c r="I4" s="300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6"/>
      <c r="J5" s="106"/>
      <c r="K5" s="81"/>
      <c r="L5" s="81"/>
      <c r="M5" s="81"/>
      <c r="N5" s="106"/>
      <c r="O5" s="87"/>
      <c r="P5" s="87"/>
      <c r="Q5" s="314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6" t="s">
        <v>35</v>
      </c>
      <c r="I6" s="297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143</v>
      </c>
      <c r="C7" s="90"/>
      <c r="D7" s="91"/>
      <c r="E7" s="162"/>
      <c r="F7" s="289"/>
      <c r="G7" s="290"/>
      <c r="H7" s="91"/>
      <c r="I7" s="91"/>
      <c r="J7" s="144"/>
      <c r="K7" s="142"/>
      <c r="L7" s="146"/>
      <c r="M7" s="142"/>
      <c r="N7" s="137"/>
      <c r="O7" s="319">
        <v>15</v>
      </c>
      <c r="P7" s="108"/>
      <c r="Q7" s="92"/>
    </row>
    <row r="8" spans="1:17" s="11" customFormat="1" ht="18.899999999999999" customHeight="1" thickBot="1" x14ac:dyDescent="0.3">
      <c r="A8" s="147">
        <v>2</v>
      </c>
      <c r="B8" s="90" t="s">
        <v>144</v>
      </c>
      <c r="C8" s="90"/>
      <c r="D8" s="91"/>
      <c r="E8" s="162"/>
      <c r="F8" s="291"/>
      <c r="G8" s="292"/>
      <c r="H8" s="91"/>
      <c r="I8" s="91"/>
      <c r="J8" s="144"/>
      <c r="K8" s="142"/>
      <c r="L8" s="146"/>
      <c r="M8" s="142"/>
      <c r="N8" s="137"/>
      <c r="O8" s="91">
        <v>15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133</v>
      </c>
      <c r="C9" s="90"/>
      <c r="D9" s="91"/>
      <c r="E9" s="162"/>
      <c r="F9" s="289"/>
      <c r="G9" s="290"/>
      <c r="H9" s="91"/>
      <c r="I9" s="91"/>
      <c r="J9" s="144"/>
      <c r="K9" s="142"/>
      <c r="L9" s="146"/>
      <c r="M9" s="142"/>
      <c r="N9" s="137"/>
      <c r="O9" s="319">
        <v>44</v>
      </c>
      <c r="P9" s="302"/>
      <c r="Q9" s="167"/>
    </row>
    <row r="10" spans="1:17" s="11" customFormat="1" ht="18.899999999999999" customHeight="1" x14ac:dyDescent="0.25">
      <c r="A10" s="147">
        <v>4</v>
      </c>
      <c r="B10" s="90" t="s">
        <v>131</v>
      </c>
      <c r="C10" s="90"/>
      <c r="D10" s="91"/>
      <c r="E10" s="162"/>
      <c r="F10" s="291"/>
      <c r="G10" s="292"/>
      <c r="H10" s="91"/>
      <c r="I10" s="91"/>
      <c r="J10" s="144"/>
      <c r="K10" s="142"/>
      <c r="L10" s="146"/>
      <c r="M10" s="142"/>
      <c r="N10" s="137"/>
      <c r="O10" s="91">
        <v>93</v>
      </c>
      <c r="P10" s="301"/>
      <c r="Q10" s="298"/>
    </row>
    <row r="11" spans="1:17" s="11" customFormat="1" ht="18.899999999999999" customHeight="1" x14ac:dyDescent="0.25">
      <c r="A11" s="147">
        <v>5</v>
      </c>
      <c r="B11" s="90" t="s">
        <v>128</v>
      </c>
      <c r="C11" s="90"/>
      <c r="D11" s="91"/>
      <c r="E11" s="162"/>
      <c r="F11" s="291"/>
      <c r="G11" s="292"/>
      <c r="H11" s="91"/>
      <c r="I11" s="91"/>
      <c r="J11" s="144"/>
      <c r="K11" s="142"/>
      <c r="L11" s="146"/>
      <c r="M11" s="142"/>
      <c r="N11" s="137"/>
      <c r="O11" s="91">
        <v>136</v>
      </c>
      <c r="P11" s="301"/>
      <c r="Q11" s="298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91"/>
      <c r="G12" s="292"/>
      <c r="H12" s="91"/>
      <c r="I12" s="91"/>
      <c r="J12" s="144"/>
      <c r="K12" s="142"/>
      <c r="L12" s="146"/>
      <c r="M12" s="142"/>
      <c r="N12" s="137"/>
      <c r="O12" s="91"/>
      <c r="P12" s="301"/>
      <c r="Q12" s="298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91"/>
      <c r="G13" s="292"/>
      <c r="H13" s="91"/>
      <c r="I13" s="91"/>
      <c r="J13" s="144"/>
      <c r="K13" s="142"/>
      <c r="L13" s="146"/>
      <c r="M13" s="142"/>
      <c r="N13" s="137"/>
      <c r="O13" s="91"/>
      <c r="P13" s="301"/>
      <c r="Q13" s="298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1"/>
      <c r="G14" s="292"/>
      <c r="H14" s="91"/>
      <c r="I14" s="91"/>
      <c r="J14" s="144"/>
      <c r="K14" s="142"/>
      <c r="L14" s="146"/>
      <c r="M14" s="142"/>
      <c r="N14" s="137"/>
      <c r="O14" s="91"/>
      <c r="P14" s="301"/>
      <c r="Q14" s="298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8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0"/>
      <c r="F28" s="307"/>
      <c r="G28" s="308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1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4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9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9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9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9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9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9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9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9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9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9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9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9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9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9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9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9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9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9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9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9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9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9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9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9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9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9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9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9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9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9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9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9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9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9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9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9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9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9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9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9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9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9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9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9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9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9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9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9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9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9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9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9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9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9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9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9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9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9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9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9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9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9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9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9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9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9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9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9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9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9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9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9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9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9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9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9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9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9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9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9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9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9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9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9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9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9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9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9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9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9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9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9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9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9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9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9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9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9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9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9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9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9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9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9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9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9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9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9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9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9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9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9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9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9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9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9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9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9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9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8 E10:E156">
    <cfRule type="expression" dxfId="37" priority="34" stopIfTrue="1">
      <formula>AND(ROUNDDOWN(($A$4-E7)/365.25,0)&lt;=13,G7&lt;&gt;"OK")</formula>
    </cfRule>
    <cfRule type="expression" dxfId="36" priority="35" stopIfTrue="1">
      <formula>AND(ROUNDDOWN(($A$4-E7)/365.25,0)&lt;=14,G7&lt;&gt;"OK")</formula>
    </cfRule>
    <cfRule type="expression" dxfId="35" priority="36" stopIfTrue="1">
      <formula>AND(ROUNDDOWN(($A$4-E7)/365.25,0)&lt;=17,G7&lt;&gt;"OK")</formula>
    </cfRule>
  </conditionalFormatting>
  <conditionalFormatting sqref="J7:J8 J10:J156">
    <cfRule type="cellIs" dxfId="34" priority="33" stopIfTrue="1" operator="equal">
      <formula>"Z"</formula>
    </cfRule>
  </conditionalFormatting>
  <conditionalFormatting sqref="A7:D8 A10:D156 A9">
    <cfRule type="expression" dxfId="33" priority="32" stopIfTrue="1">
      <formula>$Q7&gt;=1</formula>
    </cfRule>
  </conditionalFormatting>
  <conditionalFormatting sqref="E7:E8 E10:E14">
    <cfRule type="expression" dxfId="32" priority="29" stopIfTrue="1">
      <formula>AND(ROUNDDOWN(($A$4-E7)/365.25,0)&lt;=13,G7&lt;&gt;"OK")</formula>
    </cfRule>
    <cfRule type="expression" dxfId="31" priority="30" stopIfTrue="1">
      <formula>AND(ROUNDDOWN(($A$4-E7)/365.25,0)&lt;=14,G7&lt;&gt;"OK")</formula>
    </cfRule>
    <cfRule type="expression" dxfId="30" priority="31" stopIfTrue="1">
      <formula>AND(ROUNDDOWN(($A$4-E7)/365.25,0)&lt;=17,G7&lt;&gt;"OK")</formula>
    </cfRule>
  </conditionalFormatting>
  <conditionalFormatting sqref="J7:J8 J10:J14">
    <cfRule type="cellIs" dxfId="29" priority="28" stopIfTrue="1" operator="equal">
      <formula>"Z"</formula>
    </cfRule>
  </conditionalFormatting>
  <conditionalFormatting sqref="B7:D8 B10:D14">
    <cfRule type="expression" dxfId="28" priority="27" stopIfTrue="1">
      <formula>$Q7&gt;=1</formula>
    </cfRule>
  </conditionalFormatting>
  <conditionalFormatting sqref="E7:E8 E10:E14">
    <cfRule type="expression" dxfId="27" priority="24" stopIfTrue="1">
      <formula>AND(ROUNDDOWN(($A$4-E7)/365.25,0)&lt;=13,G7&lt;&gt;"OK")</formula>
    </cfRule>
    <cfRule type="expression" dxfId="26" priority="25" stopIfTrue="1">
      <formula>AND(ROUNDDOWN(($A$4-E7)/365.25,0)&lt;=14,G7&lt;&gt;"OK")</formula>
    </cfRule>
    <cfRule type="expression" dxfId="25" priority="26" stopIfTrue="1">
      <formula>AND(ROUNDDOWN(($A$4-E7)/365.25,0)&lt;=17,G7&lt;&gt;"OK")</formula>
    </cfRule>
  </conditionalFormatting>
  <conditionalFormatting sqref="B7:D8 B10:D14">
    <cfRule type="expression" dxfId="24" priority="23" stopIfTrue="1">
      <formula>$Q7&gt;=1</formula>
    </cfRule>
  </conditionalFormatting>
  <conditionalFormatting sqref="E7:E8 E29:E37 E10:E27">
    <cfRule type="expression" dxfId="23" priority="20" stopIfTrue="1">
      <formula>AND(ROUNDDOWN(($A$4-E7)/365.25,0)&lt;=13,G7&lt;&gt;"OK")</formula>
    </cfRule>
    <cfRule type="expression" dxfId="22" priority="21" stopIfTrue="1">
      <formula>AND(ROUNDDOWN(($A$4-E7)/365.25,0)&lt;=14,G7&lt;&gt;"OK")</formula>
    </cfRule>
    <cfRule type="expression" dxfId="21" priority="22" stopIfTrue="1">
      <formula>AND(ROUNDDOWN(($A$4-E7)/365.25,0)&lt;=17,G7&lt;&gt;"OK")</formula>
    </cfRule>
  </conditionalFormatting>
  <conditionalFormatting sqref="B7:D8 B10:D37">
    <cfRule type="expression" dxfId="20" priority="19" stopIfTrue="1">
      <formula>$Q7&gt;=1</formula>
    </cfRule>
  </conditionalFormatting>
  <conditionalFormatting sqref="E9">
    <cfRule type="expression" dxfId="19" priority="16" stopIfTrue="1">
      <formula>AND(ROUNDDOWN(($A$4-E9)/365.25,0)&lt;=13,G9&lt;&gt;"OK")</formula>
    </cfRule>
    <cfRule type="expression" dxfId="18" priority="17" stopIfTrue="1">
      <formula>AND(ROUNDDOWN(($A$4-E9)/365.25,0)&lt;=14,G9&lt;&gt;"OK")</formula>
    </cfRule>
    <cfRule type="expression" dxfId="17" priority="18" stopIfTrue="1">
      <formula>AND(ROUNDDOWN(($A$4-E9)/365.25,0)&lt;=17,G9&lt;&gt;"OK")</formula>
    </cfRule>
  </conditionalFormatting>
  <conditionalFormatting sqref="J9">
    <cfRule type="cellIs" dxfId="16" priority="15" stopIfTrue="1" operator="equal">
      <formula>"Z"</formula>
    </cfRule>
  </conditionalFormatting>
  <conditionalFormatting sqref="B9:D9">
    <cfRule type="expression" dxfId="15" priority="14" stopIfTrue="1">
      <formula>$Q9&gt;=1</formula>
    </cfRule>
  </conditionalFormatting>
  <conditionalFormatting sqref="E9">
    <cfRule type="expression" dxfId="14" priority="11" stopIfTrue="1">
      <formula>AND(ROUNDDOWN(($A$4-E9)/365.25,0)&lt;=13,G9&lt;&gt;"OK")</formula>
    </cfRule>
    <cfRule type="expression" dxfId="13" priority="12" stopIfTrue="1">
      <formula>AND(ROUNDDOWN(($A$4-E9)/365.25,0)&lt;=14,G9&lt;&gt;"OK")</formula>
    </cfRule>
    <cfRule type="expression" dxfId="12" priority="13" stopIfTrue="1">
      <formula>AND(ROUNDDOWN(($A$4-E9)/365.25,0)&lt;=17,G9&lt;&gt;"OK")</formula>
    </cfRule>
  </conditionalFormatting>
  <conditionalFormatting sqref="J9">
    <cfRule type="cellIs" dxfId="11" priority="10" stopIfTrue="1" operator="equal">
      <formula>"Z"</formula>
    </cfRule>
  </conditionalFormatting>
  <conditionalFormatting sqref="B9:D9">
    <cfRule type="expression" dxfId="10" priority="9" stopIfTrue="1">
      <formula>$Q9&gt;=1</formula>
    </cfRule>
  </conditionalFormatting>
  <conditionalFormatting sqref="E9">
    <cfRule type="expression" dxfId="9" priority="6" stopIfTrue="1">
      <formula>AND(ROUNDDOWN(($A$4-E9)/365.25,0)&lt;=13,G9&lt;&gt;"OK")</formula>
    </cfRule>
    <cfRule type="expression" dxfId="8" priority="7" stopIfTrue="1">
      <formula>AND(ROUNDDOWN(($A$4-E9)/365.25,0)&lt;=14,G9&lt;&gt;"OK")</formula>
    </cfRule>
    <cfRule type="expression" dxfId="7" priority="8" stopIfTrue="1">
      <formula>AND(ROUNDDOWN(($A$4-E9)/365.25,0)&lt;=17,G9&lt;&gt;"OK")</formula>
    </cfRule>
  </conditionalFormatting>
  <conditionalFormatting sqref="B9:D9">
    <cfRule type="expression" dxfId="6" priority="5" stopIfTrue="1">
      <formula>$Q9&gt;=1</formula>
    </cfRule>
  </conditionalFormatting>
  <conditionalFormatting sqref="E9">
    <cfRule type="expression" dxfId="5" priority="2" stopIfTrue="1">
      <formula>AND(ROUNDDOWN(($A$4-E9)/365.25,0)&lt;=13,G9&lt;&gt;"OK")</formula>
    </cfRule>
    <cfRule type="expression" dxfId="4" priority="3" stopIfTrue="1">
      <formula>AND(ROUNDDOWN(($A$4-E9)/365.25,0)&lt;=14,G9&lt;&gt;"OK")</formula>
    </cfRule>
    <cfRule type="expression" dxfId="3" priority="4" stopIfTrue="1">
      <formula>AND(ROUNDDOWN(($A$4-E9)/365.25,0)&lt;=17,G9&lt;&gt;"OK")</formula>
    </cfRule>
  </conditionalFormatting>
  <conditionalFormatting sqref="B9:D9">
    <cfRule type="expression" dxfId="2" priority="1" stopIfTrue="1">
      <formula>$Q9&gt;=1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C46-BC8C-4D0E-A87E-D05BC101964A}">
  <sheetPr codeName="Munka25">
    <tabColor indexed="11"/>
  </sheetPr>
  <dimension ref="A1:AK43"/>
  <sheetViews>
    <sheetView workbookViewId="0">
      <selection sqref="A1:F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45" t="str">
        <f>Altalanos!$A$6</f>
        <v>OB</v>
      </c>
      <c r="B1" s="345"/>
      <c r="C1" s="345"/>
      <c r="D1" s="345"/>
      <c r="E1" s="345"/>
      <c r="F1" s="345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3" t="str">
        <f>Altalanos!$C$8</f>
        <v>F16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7"/>
      <c r="Z2" s="276"/>
      <c r="AA2" s="276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14"/>
      <c r="R3" s="216"/>
      <c r="S3" s="211"/>
      <c r="Y3" s="276">
        <f>IF(H4="OB","A",IF(H4="IX","W",H4))</f>
        <v>0</v>
      </c>
      <c r="Z3" s="276"/>
      <c r="AA3" s="276" t="s">
        <v>88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8" thickBot="1" x14ac:dyDescent="0.3">
      <c r="A4" s="346" t="str">
        <f>Altalanos!$A$10</f>
        <v>2024.08.27.-09.01</v>
      </c>
      <c r="B4" s="346"/>
      <c r="C4" s="346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65" t="s">
        <v>72</v>
      </c>
      <c r="Q4" s="266" t="s">
        <v>81</v>
      </c>
      <c r="R4" s="266" t="s">
        <v>77</v>
      </c>
      <c r="S4" s="264"/>
      <c r="Y4" s="276"/>
      <c r="Z4" s="276"/>
      <c r="AA4" s="276" t="s">
        <v>89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67" t="s">
        <v>79</v>
      </c>
      <c r="Q5" s="268" t="s">
        <v>75</v>
      </c>
      <c r="R5" s="268" t="s">
        <v>82</v>
      </c>
      <c r="S5" s="264"/>
      <c r="Y5" s="276">
        <f>IF(OR(Altalanos!$A$8="F1",Altalanos!$A$8="F2",Altalanos!$A$8="N1",Altalanos!$A$8="N2"),1,2)</f>
        <v>2</v>
      </c>
      <c r="Z5" s="276"/>
      <c r="AA5" s="276" t="s">
        <v>90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69" t="s">
        <v>80</v>
      </c>
      <c r="Q6" s="270" t="s">
        <v>83</v>
      </c>
      <c r="R6" s="270" t="s">
        <v>78</v>
      </c>
      <c r="S6" s="264"/>
      <c r="Y6" s="276"/>
      <c r="Z6" s="276"/>
      <c r="AA6" s="276" t="s">
        <v>91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 x14ac:dyDescent="0.25">
      <c r="A7" s="219" t="s">
        <v>58</v>
      </c>
      <c r="B7" s="250">
        <v>5</v>
      </c>
      <c r="C7" s="252">
        <f>IF($B7="","",VLOOKUP($B7,'F16 csapat ELO'!$A$7:$O$22,5))</f>
        <v>0</v>
      </c>
      <c r="D7" s="252">
        <f>IF($B7="","",VLOOKUP($B7,'F16 csapat ELO'!$A$7:$O$22,15))</f>
        <v>136</v>
      </c>
      <c r="E7" s="353" t="str">
        <f>UPPER(IF($B7="","",VLOOKUP($B7,'F16 csapat ELO'!$A$7:$O$22,2)))</f>
        <v>SVSE</v>
      </c>
      <c r="F7" s="353"/>
      <c r="G7" s="353">
        <f>IF($B7="","",VLOOKUP($B7,'F16 csapat ELO'!$A$7:$O$22,3))</f>
        <v>0</v>
      </c>
      <c r="H7" s="353"/>
      <c r="I7" s="253">
        <f>IF($B7="","",VLOOKUP($B7,'F16 csapat ELO'!$A$7:$O$22,4))</f>
        <v>0</v>
      </c>
      <c r="J7" s="193"/>
      <c r="K7" s="326" t="s">
        <v>92</v>
      </c>
      <c r="L7" s="278"/>
      <c r="M7" s="283"/>
      <c r="N7" s="211"/>
      <c r="O7" s="211"/>
      <c r="P7" s="265" t="s">
        <v>86</v>
      </c>
      <c r="Q7" s="266" t="s">
        <v>74</v>
      </c>
      <c r="R7" s="266" t="s">
        <v>84</v>
      </c>
      <c r="S7" s="211"/>
      <c r="Y7" s="276"/>
      <c r="Z7" s="276"/>
      <c r="AA7" s="276" t="s">
        <v>92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56"/>
      <c r="L8" s="219"/>
      <c r="M8" s="284"/>
      <c r="N8" s="211"/>
      <c r="O8" s="211"/>
      <c r="P8" s="267" t="s">
        <v>87</v>
      </c>
      <c r="Q8" s="268" t="s">
        <v>76</v>
      </c>
      <c r="R8" s="268" t="s">
        <v>85</v>
      </c>
      <c r="S8" s="211"/>
      <c r="Y8" s="276"/>
      <c r="Z8" s="276"/>
      <c r="AA8" s="276" t="s">
        <v>93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 x14ac:dyDescent="0.25">
      <c r="A9" s="219" t="s">
        <v>59</v>
      </c>
      <c r="B9" s="250">
        <v>2</v>
      </c>
      <c r="C9" s="252">
        <f>IF($B9="","",VLOOKUP($B9,'F16 csapat ELO'!$A$7:$O$22,5))</f>
        <v>0</v>
      </c>
      <c r="D9" s="252">
        <f>IF($B9="","",VLOOKUP($B9,'F16 csapat ELO'!$A$7:$O$22,15))</f>
        <v>15</v>
      </c>
      <c r="E9" s="353" t="str">
        <f>UPPER(IF($B9="","",VLOOKUP($B9,'F16 csapat ELO'!$A$7:$O$22,2)))</f>
        <v>PASARÉT TK</v>
      </c>
      <c r="F9" s="353"/>
      <c r="G9" s="353">
        <f>IF($B9="","",VLOOKUP($B9,'F16 csapat ELO'!$A$7:$O$22,3))</f>
        <v>0</v>
      </c>
      <c r="H9" s="353"/>
      <c r="I9" s="253">
        <f>IF($B9="","",VLOOKUP($B9,'F16 csapat ELO'!$A$7:$O$22,4))</f>
        <v>0</v>
      </c>
      <c r="J9" s="193"/>
      <c r="K9" s="326" t="s">
        <v>88</v>
      </c>
      <c r="L9" s="278"/>
      <c r="M9" s="283"/>
      <c r="N9" s="211"/>
      <c r="O9" s="211"/>
      <c r="P9" s="211"/>
      <c r="Q9" s="211"/>
      <c r="R9" s="211"/>
      <c r="S9" s="211"/>
      <c r="Y9" s="276"/>
      <c r="Z9" s="276"/>
      <c r="AA9" s="276" t="s">
        <v>94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56"/>
      <c r="L10" s="219"/>
      <c r="M10" s="284"/>
      <c r="N10" s="211"/>
      <c r="O10" s="211"/>
      <c r="P10" s="211"/>
      <c r="Q10" s="211"/>
      <c r="R10" s="211"/>
      <c r="S10" s="211"/>
      <c r="Y10" s="276"/>
      <c r="Z10" s="276"/>
      <c r="AA10" s="276" t="s">
        <v>95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 x14ac:dyDescent="0.25">
      <c r="A11" s="219" t="s">
        <v>60</v>
      </c>
      <c r="B11" s="250">
        <v>4</v>
      </c>
      <c r="C11" s="252">
        <f>IF($B11="","",VLOOKUP($B11,'F16 csapat ELO'!$A$7:$O$22,5))</f>
        <v>0</v>
      </c>
      <c r="D11" s="252">
        <f>IF($B11="","",VLOOKUP($B11,'F16 csapat ELO'!$A$7:$O$22,15))</f>
        <v>93</v>
      </c>
      <c r="E11" s="353" t="str">
        <f>UPPER(IF($B11="","",VLOOKUP($B11,'F16 csapat ELO'!$A$7:$O$22,2)))</f>
        <v>PVTC</v>
      </c>
      <c r="F11" s="353"/>
      <c r="G11" s="353">
        <f>IF($B11="","",VLOOKUP($B11,'F16 csapat ELO'!$A$7:$O$22,3))</f>
        <v>0</v>
      </c>
      <c r="H11" s="353"/>
      <c r="I11" s="253">
        <f>IF($B11="","",VLOOKUP($B11,'F16 csapat ELO'!$A$7:$O$22,4))</f>
        <v>0</v>
      </c>
      <c r="J11" s="193"/>
      <c r="K11" s="326" t="s">
        <v>91</v>
      </c>
      <c r="L11" s="278"/>
      <c r="M11" s="283"/>
      <c r="N11" s="211"/>
      <c r="O11" s="211"/>
      <c r="P11" s="211"/>
      <c r="Q11" s="211"/>
      <c r="R11" s="211"/>
      <c r="S11" s="211"/>
      <c r="Y11" s="276"/>
      <c r="Z11" s="276"/>
      <c r="AA11" s="276" t="s">
        <v>100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325"/>
      <c r="L12" s="248"/>
      <c r="M12" s="285"/>
      <c r="Y12" s="276"/>
      <c r="Z12" s="276"/>
      <c r="AA12" s="276" t="s">
        <v>96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 x14ac:dyDescent="0.25">
      <c r="A13" s="219" t="s">
        <v>65</v>
      </c>
      <c r="B13" s="250">
        <v>1</v>
      </c>
      <c r="C13" s="252">
        <f>IF($B13="","",VLOOKUP($B13,'F16 csapat ELO'!$A$7:$O$22,5))</f>
        <v>0</v>
      </c>
      <c r="D13" s="252">
        <f>IF($B13="","",VLOOKUP($B13,'F16 csapat ELO'!$A$7:$O$22,15))</f>
        <v>15</v>
      </c>
      <c r="E13" s="353" t="str">
        <f>UPPER(IF($B13="","",VLOOKUP($B13,'F16 csapat ELO'!$A$7:$O$22,2)))</f>
        <v>MARSO TC</v>
      </c>
      <c r="F13" s="353"/>
      <c r="G13" s="353">
        <f>IF($B13="","",VLOOKUP($B13,'F16 csapat ELO'!$A$7:$O$22,3))</f>
        <v>0</v>
      </c>
      <c r="H13" s="353"/>
      <c r="I13" s="253">
        <f>IF($B13="","",VLOOKUP($B13,'F16 csapat ELO'!$A$7:$O$22,4))</f>
        <v>0</v>
      </c>
      <c r="J13" s="193"/>
      <c r="K13" s="326" t="s">
        <v>89</v>
      </c>
      <c r="L13" s="278"/>
      <c r="M13" s="283"/>
      <c r="Y13" s="276"/>
      <c r="Z13" s="276"/>
      <c r="AA13" s="276" t="s">
        <v>97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 x14ac:dyDescent="0.25">
      <c r="A14" s="219"/>
      <c r="B14" s="251"/>
      <c r="C14" s="254"/>
      <c r="D14" s="254"/>
      <c r="E14" s="254"/>
      <c r="F14" s="254"/>
      <c r="G14" s="254"/>
      <c r="H14" s="254"/>
      <c r="I14" s="254"/>
      <c r="J14" s="193"/>
      <c r="K14" s="256"/>
      <c r="L14" s="219"/>
      <c r="M14" s="285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</row>
    <row r="15" spans="1:37" x14ac:dyDescent="0.25">
      <c r="A15" s="219" t="s">
        <v>66</v>
      </c>
      <c r="B15" s="250">
        <v>3</v>
      </c>
      <c r="C15" s="252">
        <f>IF($B15="","",VLOOKUP($B15,'F16 csapat ELO'!$A$7:$O$22,5))</f>
        <v>0</v>
      </c>
      <c r="D15" s="252">
        <f>IF($B15="","",VLOOKUP($B15,'F16 csapat ELO'!$A$7:$O$22,15))</f>
        <v>44</v>
      </c>
      <c r="E15" s="353" t="str">
        <f>UPPER(IF($B15="","",VLOOKUP($B15,'F16 csapat ELO'!$A$7:$O$22,2)))</f>
        <v>PG TENISZ</v>
      </c>
      <c r="F15" s="353"/>
      <c r="G15" s="353">
        <f>IF($B15="","",VLOOKUP($B15,'F16 csapat ELO'!$A$7:$O$22,3))</f>
        <v>0</v>
      </c>
      <c r="H15" s="353"/>
      <c r="I15" s="253">
        <f>IF($B15="","",VLOOKUP($B15,'F16 csapat ELO'!$A$7:$O$22,4))</f>
        <v>0</v>
      </c>
      <c r="J15" s="193"/>
      <c r="K15" s="326" t="s">
        <v>90</v>
      </c>
      <c r="L15" s="278"/>
      <c r="M15" s="283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6"/>
      <c r="Z16" s="276"/>
      <c r="AA16" s="276" t="s">
        <v>58</v>
      </c>
      <c r="AB16" s="276">
        <v>300</v>
      </c>
      <c r="AC16" s="276">
        <v>250</v>
      </c>
      <c r="AD16" s="276">
        <v>220</v>
      </c>
      <c r="AE16" s="276">
        <v>180</v>
      </c>
      <c r="AF16" s="276">
        <v>160</v>
      </c>
      <c r="AG16" s="276">
        <v>150</v>
      </c>
      <c r="AH16" s="276">
        <v>140</v>
      </c>
      <c r="AI16" s="276">
        <v>130</v>
      </c>
      <c r="AJ16" s="276">
        <v>120</v>
      </c>
      <c r="AK16" s="276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6"/>
      <c r="Z17" s="276"/>
      <c r="AA17" s="276" t="s">
        <v>88</v>
      </c>
      <c r="AB17" s="276">
        <v>250</v>
      </c>
      <c r="AC17" s="276">
        <v>200</v>
      </c>
      <c r="AD17" s="276">
        <v>160</v>
      </c>
      <c r="AE17" s="276">
        <v>140</v>
      </c>
      <c r="AF17" s="276">
        <v>120</v>
      </c>
      <c r="AG17" s="276">
        <v>110</v>
      </c>
      <c r="AH17" s="276">
        <v>100</v>
      </c>
      <c r="AI17" s="276">
        <v>90</v>
      </c>
      <c r="AJ17" s="276">
        <v>80</v>
      </c>
      <c r="AK17" s="276">
        <v>70</v>
      </c>
    </row>
    <row r="18" spans="1:37" ht="18.75" customHeight="1" x14ac:dyDescent="0.25">
      <c r="A18" s="193"/>
      <c r="B18" s="344"/>
      <c r="C18" s="344"/>
      <c r="D18" s="335" t="str">
        <f>E7</f>
        <v>SVSE</v>
      </c>
      <c r="E18" s="335"/>
      <c r="F18" s="335" t="str">
        <f>E9</f>
        <v>PASARÉT TK</v>
      </c>
      <c r="G18" s="335"/>
      <c r="H18" s="335" t="str">
        <f>E11</f>
        <v>PVTC</v>
      </c>
      <c r="I18" s="335"/>
      <c r="J18" s="335" t="str">
        <f>E13</f>
        <v>MARSO TC</v>
      </c>
      <c r="K18" s="335"/>
      <c r="L18" s="335" t="str">
        <f>E15</f>
        <v>PG TENISZ</v>
      </c>
      <c r="M18" s="335"/>
      <c r="Y18" s="276"/>
      <c r="Z18" s="276"/>
      <c r="AA18" s="276" t="s">
        <v>89</v>
      </c>
      <c r="AB18" s="276">
        <v>200</v>
      </c>
      <c r="AC18" s="276">
        <v>150</v>
      </c>
      <c r="AD18" s="276">
        <v>130</v>
      </c>
      <c r="AE18" s="276">
        <v>110</v>
      </c>
      <c r="AF18" s="276">
        <v>95</v>
      </c>
      <c r="AG18" s="276">
        <v>80</v>
      </c>
      <c r="AH18" s="276">
        <v>70</v>
      </c>
      <c r="AI18" s="276">
        <v>60</v>
      </c>
      <c r="AJ18" s="276">
        <v>55</v>
      </c>
      <c r="AK18" s="276">
        <v>50</v>
      </c>
    </row>
    <row r="19" spans="1:37" ht="18.75" customHeight="1" x14ac:dyDescent="0.25">
      <c r="A19" s="255" t="s">
        <v>58</v>
      </c>
      <c r="B19" s="341" t="str">
        <f>E7</f>
        <v>SVSE</v>
      </c>
      <c r="C19" s="341"/>
      <c r="D19" s="336"/>
      <c r="E19" s="336"/>
      <c r="F19" s="332" t="s">
        <v>152</v>
      </c>
      <c r="G19" s="332"/>
      <c r="H19" s="332" t="s">
        <v>146</v>
      </c>
      <c r="I19" s="332"/>
      <c r="J19" s="333" t="s">
        <v>146</v>
      </c>
      <c r="K19" s="334"/>
      <c r="L19" s="333" t="s">
        <v>142</v>
      </c>
      <c r="M19" s="334"/>
      <c r="Y19" s="276"/>
      <c r="Z19" s="276"/>
      <c r="AA19" s="276" t="s">
        <v>90</v>
      </c>
      <c r="AB19" s="276">
        <v>150</v>
      </c>
      <c r="AC19" s="276">
        <v>120</v>
      </c>
      <c r="AD19" s="276">
        <v>100</v>
      </c>
      <c r="AE19" s="276">
        <v>80</v>
      </c>
      <c r="AF19" s="276">
        <v>70</v>
      </c>
      <c r="AG19" s="276">
        <v>60</v>
      </c>
      <c r="AH19" s="276">
        <v>55</v>
      </c>
      <c r="AI19" s="276">
        <v>50</v>
      </c>
      <c r="AJ19" s="276">
        <v>45</v>
      </c>
      <c r="AK19" s="276">
        <v>40</v>
      </c>
    </row>
    <row r="20" spans="1:37" ht="18.75" customHeight="1" x14ac:dyDescent="0.25">
      <c r="A20" s="255" t="s">
        <v>59</v>
      </c>
      <c r="B20" s="341" t="str">
        <f>E9</f>
        <v>PASARÉT TK</v>
      </c>
      <c r="C20" s="341"/>
      <c r="D20" s="332" t="s">
        <v>147</v>
      </c>
      <c r="E20" s="332"/>
      <c r="F20" s="336"/>
      <c r="G20" s="336"/>
      <c r="H20" s="331" t="s">
        <v>141</v>
      </c>
      <c r="I20" s="332"/>
      <c r="J20" s="331" t="s">
        <v>141</v>
      </c>
      <c r="K20" s="332"/>
      <c r="L20" s="333" t="s">
        <v>141</v>
      </c>
      <c r="M20" s="334"/>
      <c r="Y20" s="276"/>
      <c r="Z20" s="276"/>
      <c r="AA20" s="276" t="s">
        <v>91</v>
      </c>
      <c r="AB20" s="276">
        <v>120</v>
      </c>
      <c r="AC20" s="276">
        <v>90</v>
      </c>
      <c r="AD20" s="276">
        <v>65</v>
      </c>
      <c r="AE20" s="276">
        <v>55</v>
      </c>
      <c r="AF20" s="276">
        <v>50</v>
      </c>
      <c r="AG20" s="276">
        <v>45</v>
      </c>
      <c r="AH20" s="276">
        <v>40</v>
      </c>
      <c r="AI20" s="276">
        <v>35</v>
      </c>
      <c r="AJ20" s="276">
        <v>25</v>
      </c>
      <c r="AK20" s="276">
        <v>20</v>
      </c>
    </row>
    <row r="21" spans="1:37" ht="18.75" customHeight="1" x14ac:dyDescent="0.25">
      <c r="A21" s="255" t="s">
        <v>60</v>
      </c>
      <c r="B21" s="341" t="str">
        <f>E11</f>
        <v>PVTC</v>
      </c>
      <c r="C21" s="341"/>
      <c r="D21" s="332" t="s">
        <v>145</v>
      </c>
      <c r="E21" s="332"/>
      <c r="F21" s="331" t="s">
        <v>142</v>
      </c>
      <c r="G21" s="332"/>
      <c r="H21" s="336"/>
      <c r="I21" s="336"/>
      <c r="J21" s="331" t="s">
        <v>146</v>
      </c>
      <c r="K21" s="332"/>
      <c r="L21" s="332" t="s">
        <v>146</v>
      </c>
      <c r="M21" s="332"/>
      <c r="Y21" s="276"/>
      <c r="Z21" s="276"/>
      <c r="AA21" s="276" t="s">
        <v>92</v>
      </c>
      <c r="AB21" s="276">
        <v>90</v>
      </c>
      <c r="AC21" s="276">
        <v>60</v>
      </c>
      <c r="AD21" s="276">
        <v>45</v>
      </c>
      <c r="AE21" s="276">
        <v>34</v>
      </c>
      <c r="AF21" s="276">
        <v>27</v>
      </c>
      <c r="AG21" s="276">
        <v>22</v>
      </c>
      <c r="AH21" s="276">
        <v>18</v>
      </c>
      <c r="AI21" s="276">
        <v>15</v>
      </c>
      <c r="AJ21" s="276">
        <v>12</v>
      </c>
      <c r="AK21" s="276">
        <v>9</v>
      </c>
    </row>
    <row r="22" spans="1:37" ht="18.75" customHeight="1" x14ac:dyDescent="0.25">
      <c r="A22" s="255" t="s">
        <v>65</v>
      </c>
      <c r="B22" s="341" t="str">
        <f>E13</f>
        <v>MARSO TC</v>
      </c>
      <c r="C22" s="341"/>
      <c r="D22" s="331" t="s">
        <v>145</v>
      </c>
      <c r="E22" s="332"/>
      <c r="F22" s="331" t="s">
        <v>142</v>
      </c>
      <c r="G22" s="332"/>
      <c r="H22" s="333" t="s">
        <v>145</v>
      </c>
      <c r="I22" s="334"/>
      <c r="J22" s="336"/>
      <c r="K22" s="336"/>
      <c r="L22" s="331" t="s">
        <v>145</v>
      </c>
      <c r="M22" s="332"/>
      <c r="Y22" s="276"/>
      <c r="Z22" s="276"/>
      <c r="AA22" s="276" t="s">
        <v>93</v>
      </c>
      <c r="AB22" s="276">
        <v>60</v>
      </c>
      <c r="AC22" s="276">
        <v>40</v>
      </c>
      <c r="AD22" s="276">
        <v>30</v>
      </c>
      <c r="AE22" s="276">
        <v>20</v>
      </c>
      <c r="AF22" s="276">
        <v>18</v>
      </c>
      <c r="AG22" s="276">
        <v>15</v>
      </c>
      <c r="AH22" s="276">
        <v>12</v>
      </c>
      <c r="AI22" s="276">
        <v>10</v>
      </c>
      <c r="AJ22" s="276">
        <v>8</v>
      </c>
      <c r="AK22" s="276">
        <v>6</v>
      </c>
    </row>
    <row r="23" spans="1:37" ht="18.75" customHeight="1" x14ac:dyDescent="0.25">
      <c r="A23" s="255" t="s">
        <v>66</v>
      </c>
      <c r="B23" s="341" t="str">
        <f>E15</f>
        <v>PG TENISZ</v>
      </c>
      <c r="C23" s="341"/>
      <c r="D23" s="331" t="s">
        <v>141</v>
      </c>
      <c r="E23" s="332"/>
      <c r="F23" s="331" t="s">
        <v>142</v>
      </c>
      <c r="G23" s="332"/>
      <c r="H23" s="334" t="s">
        <v>145</v>
      </c>
      <c r="I23" s="334"/>
      <c r="J23" s="333" t="s">
        <v>146</v>
      </c>
      <c r="K23" s="334"/>
      <c r="L23" s="336"/>
      <c r="M23" s="336"/>
      <c r="Y23" s="276"/>
      <c r="Z23" s="276"/>
      <c r="AA23" s="276" t="s">
        <v>94</v>
      </c>
      <c r="AB23" s="276">
        <v>40</v>
      </c>
      <c r="AC23" s="276">
        <v>25</v>
      </c>
      <c r="AD23" s="276">
        <v>18</v>
      </c>
      <c r="AE23" s="276">
        <v>13</v>
      </c>
      <c r="AF23" s="276">
        <v>8</v>
      </c>
      <c r="AG23" s="276">
        <v>7</v>
      </c>
      <c r="AH23" s="276">
        <v>6</v>
      </c>
      <c r="AI23" s="276">
        <v>5</v>
      </c>
      <c r="AJ23" s="276">
        <v>4</v>
      </c>
      <c r="AK23" s="276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6"/>
      <c r="Z24" s="276"/>
      <c r="AA24" s="276" t="s">
        <v>95</v>
      </c>
      <c r="AB24" s="276">
        <v>25</v>
      </c>
      <c r="AC24" s="276">
        <v>15</v>
      </c>
      <c r="AD24" s="276">
        <v>13</v>
      </c>
      <c r="AE24" s="276">
        <v>7</v>
      </c>
      <c r="AF24" s="276">
        <v>6</v>
      </c>
      <c r="AG24" s="276">
        <v>5</v>
      </c>
      <c r="AH24" s="276">
        <v>4</v>
      </c>
      <c r="AI24" s="276">
        <v>3</v>
      </c>
      <c r="AJ24" s="276">
        <v>2</v>
      </c>
      <c r="AK24" s="276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6"/>
      <c r="Z25" s="276"/>
      <c r="AA25" s="276" t="s">
        <v>100</v>
      </c>
      <c r="AB25" s="276">
        <v>15</v>
      </c>
      <c r="AC25" s="276">
        <v>10</v>
      </c>
      <c r="AD25" s="276">
        <v>8</v>
      </c>
      <c r="AE25" s="276">
        <v>4</v>
      </c>
      <c r="AF25" s="276">
        <v>3</v>
      </c>
      <c r="AG25" s="276">
        <v>2</v>
      </c>
      <c r="AH25" s="276">
        <v>1</v>
      </c>
      <c r="AI25" s="276">
        <v>0</v>
      </c>
      <c r="AJ25" s="276">
        <v>0</v>
      </c>
      <c r="AK25" s="276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6"/>
      <c r="Z26" s="276"/>
      <c r="AA26" s="276" t="s">
        <v>96</v>
      </c>
      <c r="AB26" s="276">
        <v>10</v>
      </c>
      <c r="AC26" s="276">
        <v>6</v>
      </c>
      <c r="AD26" s="276">
        <v>4</v>
      </c>
      <c r="AE26" s="276">
        <v>2</v>
      </c>
      <c r="AF26" s="276">
        <v>1</v>
      </c>
      <c r="AG26" s="276">
        <v>0</v>
      </c>
      <c r="AH26" s="276">
        <v>0</v>
      </c>
      <c r="AI26" s="276">
        <v>0</v>
      </c>
      <c r="AJ26" s="276">
        <v>0</v>
      </c>
      <c r="AK26" s="276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6"/>
      <c r="Z27" s="276"/>
      <c r="AA27" s="276" t="s">
        <v>97</v>
      </c>
      <c r="AB27" s="276">
        <v>3</v>
      </c>
      <c r="AC27" s="276">
        <v>2</v>
      </c>
      <c r="AD27" s="276">
        <v>1</v>
      </c>
      <c r="AE27" s="276">
        <v>0</v>
      </c>
      <c r="AF27" s="276">
        <v>0</v>
      </c>
      <c r="AG27" s="276">
        <v>0</v>
      </c>
      <c r="AH27" s="276">
        <v>0</v>
      </c>
      <c r="AI27" s="276">
        <v>0</v>
      </c>
      <c r="AJ27" s="276">
        <v>0</v>
      </c>
      <c r="AK27" s="276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39"/>
      <c r="F34" s="339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0"/>
      <c r="F35" s="340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19:M19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21:M21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  <mergeCell ref="H23:I23"/>
  </mergeCells>
  <conditionalFormatting sqref="E7 E9 E11 E13 E15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F14 csapat ELO</vt:lpstr>
      <vt:lpstr>F14 Csapat</vt:lpstr>
      <vt:lpstr>F16 csapat ELO</vt:lpstr>
      <vt:lpstr>F16 Csapat</vt:lpstr>
      <vt:lpstr>'F14 csapat ELO'!Nyomtatási_cím</vt:lpstr>
      <vt:lpstr>'F16 csapat ELO'!Nyomtatási_cím</vt:lpstr>
      <vt:lpstr>Birók!Nyomtatási_terület</vt:lpstr>
      <vt:lpstr>'F14 Csapat'!Nyomtatási_terület</vt:lpstr>
      <vt:lpstr>'F14 csapat ELO'!Nyomtatási_terület</vt:lpstr>
      <vt:lpstr>'F16 Csapat'!Nyomtatási_terület</vt:lpstr>
      <vt:lpstr>'F16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2024-09-02T11:37:20Z</dcterms:modified>
  <cp:category>Forms</cp:category>
</cp:coreProperties>
</file>