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4\Csapat\14-16\"/>
    </mc:Choice>
  </mc:AlternateContent>
  <xr:revisionPtr revIDLastSave="0" documentId="8_{20D91A38-76B7-400D-9D94-73572D43CEBE}" xr6:coauthVersionLast="47" xr6:coauthVersionMax="47" xr10:uidLastSave="{00000000-0000-0000-0000-000000000000}"/>
  <bookViews>
    <workbookView xWindow="-108" yWindow="-108" windowWidth="23256" windowHeight="13176" tabRatio="884" firstSheet="1" activeTab="3" xr2:uid="{22CB9A3B-A2E7-4FCF-99E6-B250BAB037CC}"/>
  </bookViews>
  <sheets>
    <sheet name="Altalanos" sheetId="1" r:id="rId1"/>
    <sheet name="Birók" sheetId="2" r:id="rId2"/>
    <sheet name="L14 csapat ELO" sheetId="231" r:id="rId3"/>
    <sheet name="L14 Csapat" sheetId="236" r:id="rId4"/>
    <sheet name="L16 csapat ELO" sheetId="279" r:id="rId5"/>
    <sheet name="L16 Csapat" sheetId="282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'L14 csapat ELO'!$1:$6</definedName>
    <definedName name="_xlnm.Print_Titles" localSheetId="4">'L16 csapat ELO'!$1:$6</definedName>
    <definedName name="_xlnm.Print_Area" localSheetId="1">Birók!$A$1:$N$29</definedName>
    <definedName name="_xlnm.Print_Area" localSheetId="3">'L14 Csapat'!$A$1:$M$49</definedName>
    <definedName name="_xlnm.Print_Area" localSheetId="2">'L14 csapat ELO'!$A$1:$Q$134</definedName>
    <definedName name="_xlnm.Print_Area" localSheetId="5">'L16 Csapat'!$A$1:$M$41</definedName>
    <definedName name="_xlnm.Print_Area" localSheetId="4">'L16 csapat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82" l="1"/>
  <c r="C2" i="279"/>
  <c r="I15" i="282"/>
  <c r="G15" i="282"/>
  <c r="E15" i="282"/>
  <c r="B23" i="282" s="1"/>
  <c r="D15" i="282"/>
  <c r="C15" i="282"/>
  <c r="I13" i="282"/>
  <c r="G13" i="282"/>
  <c r="E13" i="282"/>
  <c r="B22" i="282" s="1"/>
  <c r="D13" i="282"/>
  <c r="C13" i="282"/>
  <c r="I11" i="282"/>
  <c r="G11" i="282"/>
  <c r="E11" i="282"/>
  <c r="B21" i="282" s="1"/>
  <c r="D11" i="282"/>
  <c r="C11" i="282"/>
  <c r="I9" i="282"/>
  <c r="G9" i="282"/>
  <c r="E9" i="282"/>
  <c r="B20" i="282" s="1"/>
  <c r="D9" i="282"/>
  <c r="C9" i="282"/>
  <c r="I7" i="282"/>
  <c r="G7" i="282"/>
  <c r="E7" i="282"/>
  <c r="B19" i="282" s="1"/>
  <c r="D7" i="282"/>
  <c r="C7" i="282"/>
  <c r="Y5" i="282"/>
  <c r="L4" i="282"/>
  <c r="K41" i="282"/>
  <c r="E4" i="282"/>
  <c r="A4" i="282"/>
  <c r="Y3" i="282"/>
  <c r="A1" i="282"/>
  <c r="P156" i="279"/>
  <c r="M156" i="279"/>
  <c r="L156" i="279"/>
  <c r="K156" i="279"/>
  <c r="J156" i="279"/>
  <c r="P155" i="279"/>
  <c r="M155" i="279" s="1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 s="1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/>
  <c r="L148" i="279"/>
  <c r="K148" i="279"/>
  <c r="J148" i="279"/>
  <c r="P147" i="279"/>
  <c r="M147" i="279" s="1"/>
  <c r="L147" i="279"/>
  <c r="K147" i="279"/>
  <c r="J147" i="279"/>
  <c r="P146" i="279"/>
  <c r="M146" i="279"/>
  <c r="L146" i="279"/>
  <c r="K146" i="279"/>
  <c r="J146" i="279"/>
  <c r="P145" i="279"/>
  <c r="M145" i="279" s="1"/>
  <c r="L145" i="279"/>
  <c r="K145" i="279"/>
  <c r="J145" i="279"/>
  <c r="P144" i="279"/>
  <c r="M144" i="279"/>
  <c r="L144" i="279"/>
  <c r="K144" i="279"/>
  <c r="J144" i="279"/>
  <c r="P143" i="279"/>
  <c r="M143" i="279" s="1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 s="1"/>
  <c r="L135" i="279"/>
  <c r="K135" i="279"/>
  <c r="J135" i="279"/>
  <c r="P134" i="279"/>
  <c r="M134" i="279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/>
  <c r="L128" i="279"/>
  <c r="K128" i="279"/>
  <c r="J128" i="279"/>
  <c r="P127" i="279"/>
  <c r="M127" i="279" s="1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/>
  <c r="L124" i="279"/>
  <c r="K124" i="279"/>
  <c r="J124" i="279"/>
  <c r="P123" i="279"/>
  <c r="M123" i="279" s="1"/>
  <c r="L123" i="279"/>
  <c r="K123" i="279"/>
  <c r="J123" i="279"/>
  <c r="P122" i="279"/>
  <c r="M122" i="279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 s="1"/>
  <c r="L119" i="279"/>
  <c r="K119" i="279"/>
  <c r="J119" i="279"/>
  <c r="P118" i="279"/>
  <c r="M118" i="279"/>
  <c r="L118" i="279"/>
  <c r="K118" i="279"/>
  <c r="J118" i="279"/>
  <c r="P117" i="279"/>
  <c r="M117" i="279" s="1"/>
  <c r="L117" i="279"/>
  <c r="K117" i="279"/>
  <c r="J117" i="279"/>
  <c r="P116" i="279"/>
  <c r="M116" i="279"/>
  <c r="L116" i="279"/>
  <c r="K116" i="279"/>
  <c r="J116" i="279"/>
  <c r="P115" i="279"/>
  <c r="M115" i="279" s="1"/>
  <c r="L115" i="279"/>
  <c r="K115" i="279"/>
  <c r="J115" i="279"/>
  <c r="P114" i="279"/>
  <c r="M114" i="279"/>
  <c r="L114" i="279"/>
  <c r="K114" i="279"/>
  <c r="J114" i="279"/>
  <c r="P113" i="279"/>
  <c r="M113" i="279" s="1"/>
  <c r="L113" i="279"/>
  <c r="K113" i="279"/>
  <c r="J113" i="279"/>
  <c r="P112" i="279"/>
  <c r="M112" i="279"/>
  <c r="L112" i="279"/>
  <c r="K112" i="279"/>
  <c r="J112" i="279"/>
  <c r="P111" i="279"/>
  <c r="M111" i="279" s="1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/>
  <c r="L104" i="279"/>
  <c r="K104" i="279"/>
  <c r="J104" i="279"/>
  <c r="P103" i="279"/>
  <c r="M103" i="279" s="1"/>
  <c r="L103" i="279"/>
  <c r="K103" i="279"/>
  <c r="J103" i="279"/>
  <c r="P102" i="279"/>
  <c r="M102" i="279"/>
  <c r="L102" i="279"/>
  <c r="K102" i="279"/>
  <c r="J102" i="279"/>
  <c r="P101" i="279"/>
  <c r="M101" i="279" s="1"/>
  <c r="L101" i="279"/>
  <c r="K101" i="279"/>
  <c r="J101" i="279"/>
  <c r="P100" i="279"/>
  <c r="M100" i="279"/>
  <c r="L100" i="279"/>
  <c r="K100" i="279"/>
  <c r="J100" i="279"/>
  <c r="P99" i="279"/>
  <c r="M99" i="279" s="1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/>
  <c r="L96" i="279"/>
  <c r="K96" i="279"/>
  <c r="J96" i="279"/>
  <c r="P95" i="279"/>
  <c r="M95" i="279" s="1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/>
  <c r="L92" i="279"/>
  <c r="K92" i="279"/>
  <c r="J92" i="279"/>
  <c r="P91" i="279"/>
  <c r="M91" i="279" s="1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/>
  <c r="L88" i="279"/>
  <c r="K88" i="279"/>
  <c r="J88" i="279"/>
  <c r="P87" i="279"/>
  <c r="M87" i="279" s="1"/>
  <c r="L87" i="279"/>
  <c r="K87" i="279"/>
  <c r="J87" i="279"/>
  <c r="P86" i="279"/>
  <c r="M86" i="279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/>
  <c r="L76" i="279"/>
  <c r="K76" i="279"/>
  <c r="J76" i="279"/>
  <c r="P75" i="279"/>
  <c r="M75" i="279" s="1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 s="1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/>
  <c r="L60" i="279"/>
  <c r="K60" i="279"/>
  <c r="J60" i="279"/>
  <c r="P59" i="279"/>
  <c r="M59" i="279" s="1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6"/>
  <c r="C2" i="231"/>
  <c r="R44" i="236"/>
  <c r="E43" i="236"/>
  <c r="I19" i="236"/>
  <c r="G19" i="236"/>
  <c r="E19" i="236"/>
  <c r="J27" i="236"/>
  <c r="D19" i="236"/>
  <c r="C19" i="236"/>
  <c r="I17" i="236"/>
  <c r="G17" i="236"/>
  <c r="E17" i="236"/>
  <c r="B30" i="236"/>
  <c r="F36" i="236" s="1"/>
  <c r="D17" i="236"/>
  <c r="C17" i="236"/>
  <c r="I15" i="236"/>
  <c r="G15" i="236"/>
  <c r="E15" i="236"/>
  <c r="B29" i="236" s="1"/>
  <c r="D15" i="236"/>
  <c r="C15" i="236"/>
  <c r="I13" i="236"/>
  <c r="G13" i="236"/>
  <c r="E13" i="236"/>
  <c r="B28" i="236"/>
  <c r="F34" i="236" s="1"/>
  <c r="D13" i="236"/>
  <c r="C13" i="236"/>
  <c r="I11" i="236"/>
  <c r="G11" i="236"/>
  <c r="E11" i="236"/>
  <c r="B25" i="236" s="1"/>
  <c r="C38" i="236" s="1"/>
  <c r="D11" i="236"/>
  <c r="C11" i="236"/>
  <c r="I9" i="236"/>
  <c r="G9" i="236"/>
  <c r="E9" i="236"/>
  <c r="B24" i="236"/>
  <c r="D9" i="236"/>
  <c r="C9" i="236"/>
  <c r="I7" i="236"/>
  <c r="G7" i="236"/>
  <c r="E7" i="236"/>
  <c r="B23" i="236" s="1"/>
  <c r="C36" i="236" s="1"/>
  <c r="C34" i="236"/>
  <c r="D7" i="236"/>
  <c r="C7" i="236"/>
  <c r="Y5" i="236"/>
  <c r="AB1" i="236"/>
  <c r="L4" i="236"/>
  <c r="K49" i="236"/>
  <c r="E4" i="236"/>
  <c r="A4" i="236"/>
  <c r="Y3" i="236"/>
  <c r="A1" i="236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P22" i="2"/>
  <c r="P23" i="2"/>
  <c r="P24" i="2"/>
  <c r="P25" i="2"/>
  <c r="P26" i="2"/>
  <c r="P27" i="2"/>
  <c r="P28" i="2"/>
  <c r="P29" i="2"/>
  <c r="B5" i="2"/>
  <c r="A5" i="2"/>
  <c r="A1" i="2"/>
  <c r="AI1" i="236"/>
  <c r="AF1" i="282"/>
  <c r="AH1" i="282"/>
  <c r="AD1" i="282"/>
  <c r="E42" i="236"/>
  <c r="AB1" i="282"/>
  <c r="AI1" i="282"/>
  <c r="AC1" i="282"/>
  <c r="AJ1" i="282"/>
  <c r="AG1" i="282"/>
  <c r="AH1" i="236"/>
  <c r="AE1" i="236"/>
  <c r="AK1" i="236"/>
  <c r="AD1" i="236"/>
  <c r="AJ1" i="236"/>
  <c r="AC1" i="236"/>
  <c r="AF1" i="236"/>
  <c r="AG1" i="236"/>
  <c r="F18" i="282"/>
  <c r="H18" i="282"/>
  <c r="F27" i="236"/>
  <c r="H22" i="236"/>
  <c r="F22" i="236"/>
  <c r="D22" i="236"/>
  <c r="J18" i="282"/>
  <c r="L18" i="282"/>
  <c r="D18" i="282"/>
  <c r="B31" i="236"/>
  <c r="F38" i="236" s="1"/>
  <c r="H27" i="236"/>
  <c r="D27" i="236"/>
  <c r="AK1" i="282" l="1"/>
  <c r="AE1" i="2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8D27DA0-7F01-4AC8-B2C2-1F98E933955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58C764A-0C2B-4DD4-9083-F551927FB7B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3AE1C04-87B2-43B4-B473-D2A16B71B74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9A2C51B-0A90-4136-804E-2851FCCD873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<sst xmlns="http://schemas.openxmlformats.org/spreadsheetml/2006/main" count="332" uniqueCount="146">
  <si>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</si>
  <si>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</si>
  <si>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</si>
  <si>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</si>
  <si>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</si>
  <si>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</si>
  <si>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</si>
  <si>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</si>
  <si>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</si>
  <si>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</si>
  <si>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</si>
  <si>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</si>
  <si>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</si>
  <si>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</si>
  <si>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</si>
  <si>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</si>
  <si>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</si>
  <si>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</si>
  <si>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</si>
  <si>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</si>
  <si>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</si>
  <si>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</si>
  <si>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</si>
  <si>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</si>
  <si>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</si>
  <si>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</si>
  <si>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</si>
  <si>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</si>
  <si>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</si>
  <si>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</si>
  <si>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</si>
  <si>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</si>
  <si>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</si>
  <si>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</si>
  <si>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</si>
  <si>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</si>
  <si>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</si>
  <si>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</si>
  <si>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</si>
  <si>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</si>
  <si>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</si>
  <si>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</si>
  <si>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</si>
  <si>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</si>
  <si>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</si>
  <si>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</si>
  <si>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</si>
  <si>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</si>
  <si>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</si>
  <si>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</si>
  <si>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</si>
  <si>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</si>
  <si>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</si>
  <si>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</si>
  <si>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</si>
  <si>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</si>
  <si>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</si>
  <si>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</si>
  <si>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</si>
  <si>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</si>
  <si>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</si>
  <si>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</si>
  <si>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</si>
  <si>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</si>
  <si>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</si>
  <si>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</si>
  <si>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</si>
  <si>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</si>
  <si>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</si>
  <si>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</si>
  <si>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</si>
  <si>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</si>
  <si>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</si>
  <si>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</si>
  <si>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</si>
  <si>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</si>
  <si>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</si>
  <si>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</si>
  <si>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</si>
  <si>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</si>
  <si>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</si>
  <si>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</si>
  <si>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</si>
  <si>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</si>
  <si>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</si>
  <si>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</si>
  <si>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</si>
  <si>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</si>
  <si>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</si>
  <si>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</si>
  <si>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</si>
  <si>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</si>
  <si>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</si>
  <si>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</si>
  <si>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</si>
  <si>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</si>
  <si>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</si>
  <si>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</si>
  <si>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</si>
  <si>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</si>
  <si>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</si>
  <si>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</si>
  <si>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</si>
  <si>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</si>
  <si>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</si>
  <si>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</si>
  <si>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</si>
  <si>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</si>
  <si>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</si>
  <si>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</si>
  <si>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</si>
  <si>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</si>
  <si>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</si>
  <si>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OB</t>
  </si>
  <si>
    <t>L12 csapat</t>
  </si>
  <si>
    <t>L14  csapat</t>
  </si>
  <si>
    <t>L16 csapat</t>
  </si>
  <si>
    <t>L18 csapat</t>
  </si>
  <si>
    <t>2024.08.27.-09.01</t>
  </si>
  <si>
    <t>Balatonboglár</t>
  </si>
  <si>
    <t>Rákóczi Andrea</t>
  </si>
  <si>
    <t>BBTC SE</t>
  </si>
  <si>
    <t>Por Krisztina</t>
  </si>
  <si>
    <t>Volvex Tenisz</t>
  </si>
  <si>
    <t>MTK</t>
  </si>
  <si>
    <t>SVSE I.</t>
  </si>
  <si>
    <t xml:space="preserve">Bud. Honvéd </t>
  </si>
  <si>
    <t>SVSE II.</t>
  </si>
  <si>
    <t>Fortuna SE</t>
  </si>
  <si>
    <t>Tenisz Műhely</t>
  </si>
  <si>
    <t>TSZSK GYULA</t>
  </si>
  <si>
    <t>ZTE</t>
  </si>
  <si>
    <t>2/0</t>
  </si>
  <si>
    <t>0/2</t>
  </si>
  <si>
    <t>0/3</t>
  </si>
  <si>
    <t>3/0</t>
  </si>
  <si>
    <t>3/1</t>
  </si>
  <si>
    <t>1/3</t>
  </si>
  <si>
    <t>2/1</t>
  </si>
  <si>
    <t>1/2</t>
  </si>
  <si>
    <t>III.</t>
  </si>
  <si>
    <t>I.</t>
  </si>
  <si>
    <t>II.</t>
  </si>
  <si>
    <t>2/2( 4/5)</t>
  </si>
  <si>
    <t>2/2(5/4)</t>
  </si>
  <si>
    <t>2/1 (5/2)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</si>
</sst>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6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54" fillId="6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49" fontId="0" fillId="6" borderId="0" xfId="0" applyNumberFormat="1" applyFill="1" applyBorder="1" applyAlignment="1">
      <alignment horizontal="right" vertical="center" shrinkToFit="1"/>
    </xf>
    <xf numFmtId="49" fontId="0" fillId="6" borderId="0" xfId="0" applyNumberFormat="1" applyFill="1" applyBorder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 applyBorder="1" applyAlignment="1">
      <alignment horizontal="center"/>
    </xf>
    <xf numFmtId="49" fontId="64" fillId="6" borderId="7" xfId="0" applyNumberFormat="1" applyFont="1" applyFill="1" applyBorder="1"/>
    <xf numFmtId="0" fontId="54" fillId="7" borderId="7" xfId="0" applyFont="1" applyFill="1" applyBorder="1" applyAlignment="1">
      <alignment horizontal="center"/>
    </xf>
    <xf numFmtId="0" fontId="54" fillId="6" borderId="0" xfId="0" applyFont="1" applyFill="1"/>
    <xf numFmtId="49" fontId="64" fillId="6" borderId="0" xfId="0" applyNumberFormat="1" applyFont="1" applyFill="1"/>
    <xf numFmtId="0" fontId="2" fillId="7" borderId="7" xfId="0" applyFont="1" applyFill="1" applyBorder="1" applyAlignment="1">
      <alignment horizontal="center"/>
    </xf>
    <xf numFmtId="14" fontId="26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49" fontId="0" fillId="0" borderId="5" xfId="0" applyNumberFormat="1" applyBorder="1" applyAlignment="1">
      <alignment horizontal="right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49" fontId="0" fillId="0" borderId="5" xfId="0" applyNumberForma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64" fillId="6" borderId="7" xfId="0" applyNumberFormat="1" applyFon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56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76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79" name="Picture 13">
          <a:extLst>
            <a:ext uri="{FF2B5EF4-FFF2-40B4-BE49-F238E27FC236}">
              <a16:creationId xmlns:a16="http://schemas.microsoft.com/office/drawing/2014/main" id="{CD3EA5D8-5386-9478-D96A-440CE96B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122" name="Picture 23">
          <a:extLst>
            <a:ext uri="{FF2B5EF4-FFF2-40B4-BE49-F238E27FC236}">
              <a16:creationId xmlns:a16="http://schemas.microsoft.com/office/drawing/2014/main" id="{ABB4E22F-9F2D-E387-388B-F2B060FF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3D0D3AD8-9590-AEA0-7101-63813296D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69" name="Picture 21">
          <a:extLst>
            <a:ext uri="{FF2B5EF4-FFF2-40B4-BE49-F238E27FC236}">
              <a16:creationId xmlns:a16="http://schemas.microsoft.com/office/drawing/2014/main" id="{795BF7CC-34A6-6AB1-A1FE-B623D42C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EF8E8886-6C98-B7FE-D8DA-E69490FBD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78" name="Picture 1">
          <a:extLst>
            <a:ext uri="{FF2B5EF4-FFF2-40B4-BE49-F238E27FC236}">
              <a16:creationId xmlns:a16="http://schemas.microsoft.com/office/drawing/2014/main" id="{0DC9889E-91AE-A9B6-14F4-0845D0D6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56" name="Picture 21">
          <a:extLst>
            <a:ext uri="{FF2B5EF4-FFF2-40B4-BE49-F238E27FC236}">
              <a16:creationId xmlns:a16="http://schemas.microsoft.com/office/drawing/2014/main" id="{156B8423-F508-7FC7-7CD1-10389203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11FA39E9-1DB3-A3EB-8668-8AEC30C8A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6141" name="Picture 1">
          <a:extLst>
            <a:ext uri="{FF2B5EF4-FFF2-40B4-BE49-F238E27FC236}">
              <a16:creationId xmlns:a16="http://schemas.microsoft.com/office/drawing/2014/main" id="{E4CB26E2-F746-42B0-0212-D43BA21C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BF8-0F9B-47E5-A47D-145BE8D93F8D}">
  <sheetPr codeName="Sheet1"/>
  <dimension ref="A1:G18"/>
  <sheetViews>
    <sheetView showGridLines="0" showZeros="0" workbookViewId="0">
      <selection activeCell="E12" sqref="E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101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4"/>
      <c r="F5" s="21"/>
      <c r="G5" s="22"/>
    </row>
    <row r="6" spans="1:7" s="2" customFormat="1" ht="24.6" x14ac:dyDescent="0.25">
      <c r="A6" s="317" t="s">
        <v>113</v>
      </c>
      <c r="B6" s="285"/>
      <c r="C6" s="23"/>
      <c r="D6" s="24"/>
      <c r="E6" s="25"/>
      <c r="F6" s="5"/>
      <c r="G6" s="5"/>
    </row>
    <row r="7" spans="1:7" s="18" customFormat="1" ht="15" customHeight="1" x14ac:dyDescent="0.25">
      <c r="A7" s="273" t="s">
        <v>102</v>
      </c>
      <c r="B7" s="273" t="s">
        <v>103</v>
      </c>
      <c r="C7" s="273" t="s">
        <v>104</v>
      </c>
      <c r="D7" s="273" t="s">
        <v>105</v>
      </c>
      <c r="E7" s="273" t="s">
        <v>106</v>
      </c>
      <c r="F7" s="21"/>
      <c r="G7" s="22"/>
    </row>
    <row r="8" spans="1:7" s="2" customFormat="1" ht="16.5" customHeight="1" x14ac:dyDescent="0.25">
      <c r="A8" s="174" t="s">
        <v>114</v>
      </c>
      <c r="B8" s="174" t="s">
        <v>115</v>
      </c>
      <c r="C8" s="174" t="s">
        <v>116</v>
      </c>
      <c r="D8" s="174" t="s">
        <v>117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118</v>
      </c>
      <c r="B10" s="28"/>
      <c r="C10" s="29" t="s">
        <v>119</v>
      </c>
      <c r="D10" s="155" t="s">
        <v>57</v>
      </c>
      <c r="E10" s="277" t="s">
        <v>120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98</v>
      </c>
      <c r="E11" s="168" t="s">
        <v>99</v>
      </c>
      <c r="F11" s="31"/>
      <c r="G11" s="31"/>
    </row>
    <row r="12" spans="1:7" s="2" customFormat="1" x14ac:dyDescent="0.25">
      <c r="A12" s="126"/>
      <c r="B12" s="5"/>
      <c r="C12" s="175"/>
      <c r="D12" s="175" t="s">
        <v>121</v>
      </c>
      <c r="E12" s="175" t="s">
        <v>122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72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4B93-B448-4282-A333-F87B553C6C7C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2024.08.27.-09.01</v>
      </c>
      <c r="B5" s="53" t="str">
        <f>Altalanos!$C$10</f>
        <v>Balatonboglár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28" t="s">
        <v>23</v>
      </c>
      <c r="B6" s="328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5379-3EAC-4FF2-BE39-ECC438C06220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O13" sqref="O13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39" customWidth="1"/>
    <col min="5" max="5" width="10.6640625" style="301" customWidth="1"/>
    <col min="6" max="6" width="6.109375" style="88" hidden="1" customWidth="1"/>
    <col min="7" max="7" width="3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5" t="str">
        <f>Altalanos!$B$8</f>
        <v>L14  csapat</v>
      </c>
      <c r="D2" s="99"/>
      <c r="E2" s="159" t="s">
        <v>32</v>
      </c>
      <c r="F2" s="89"/>
      <c r="G2" s="89"/>
      <c r="H2" s="293"/>
      <c r="I2" s="293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6" t="s">
        <v>45</v>
      </c>
      <c r="B3" s="291"/>
      <c r="C3" s="291"/>
      <c r="D3" s="291"/>
      <c r="E3" s="291"/>
      <c r="F3" s="291"/>
      <c r="G3" s="291"/>
      <c r="H3" s="291"/>
      <c r="I3" s="292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3" t="s">
        <v>28</v>
      </c>
      <c r="I4" s="298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4"/>
      <c r="J5" s="106"/>
      <c r="K5" s="81"/>
      <c r="L5" s="81"/>
      <c r="M5" s="81"/>
      <c r="N5" s="106"/>
      <c r="O5" s="87"/>
      <c r="P5" s="87"/>
      <c r="Q5" s="30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4" t="s">
        <v>35</v>
      </c>
      <c r="I6" s="295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125</v>
      </c>
      <c r="C7" s="90"/>
      <c r="D7" s="91"/>
      <c r="E7" s="162"/>
      <c r="F7" s="287"/>
      <c r="G7" s="288"/>
      <c r="H7" s="91"/>
      <c r="I7" s="91"/>
      <c r="J7" s="144"/>
      <c r="K7" s="142"/>
      <c r="L7" s="146"/>
      <c r="M7" s="142"/>
      <c r="N7" s="137"/>
      <c r="O7" s="312">
        <v>17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129</v>
      </c>
      <c r="C8" s="90"/>
      <c r="D8" s="91"/>
      <c r="E8" s="162"/>
      <c r="F8" s="289"/>
      <c r="G8" s="290"/>
      <c r="H8" s="91"/>
      <c r="I8" s="91"/>
      <c r="J8" s="144"/>
      <c r="K8" s="142"/>
      <c r="L8" s="146"/>
      <c r="M8" s="142"/>
      <c r="N8" s="137"/>
      <c r="O8" s="91">
        <v>23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126</v>
      </c>
      <c r="C9" s="90"/>
      <c r="D9" s="91"/>
      <c r="E9" s="162"/>
      <c r="F9" s="289"/>
      <c r="G9" s="290"/>
      <c r="H9" s="91"/>
      <c r="I9" s="91"/>
      <c r="J9" s="144"/>
      <c r="K9" s="142"/>
      <c r="L9" s="146"/>
      <c r="M9" s="142"/>
      <c r="N9" s="137"/>
      <c r="O9" s="91">
        <v>29</v>
      </c>
      <c r="P9" s="300"/>
      <c r="Q9" s="167"/>
    </row>
    <row r="10" spans="1:17" s="11" customFormat="1" ht="18.899999999999999" customHeight="1" x14ac:dyDescent="0.25">
      <c r="A10" s="147">
        <v>4</v>
      </c>
      <c r="B10" s="90" t="s">
        <v>123</v>
      </c>
      <c r="C10" s="90"/>
      <c r="D10" s="91"/>
      <c r="E10" s="162"/>
      <c r="F10" s="289"/>
      <c r="G10" s="290"/>
      <c r="H10" s="91"/>
      <c r="I10" s="91"/>
      <c r="J10" s="144"/>
      <c r="K10" s="142"/>
      <c r="L10" s="146"/>
      <c r="M10" s="142"/>
      <c r="N10" s="137"/>
      <c r="O10" s="91">
        <v>66</v>
      </c>
      <c r="P10" s="299"/>
      <c r="Q10" s="296"/>
    </row>
    <row r="11" spans="1:17" s="11" customFormat="1" ht="18.899999999999999" customHeight="1" x14ac:dyDescent="0.25">
      <c r="A11" s="147">
        <v>5</v>
      </c>
      <c r="B11" s="90" t="s">
        <v>127</v>
      </c>
      <c r="C11" s="90"/>
      <c r="D11" s="91"/>
      <c r="E11" s="162"/>
      <c r="F11" s="289"/>
      <c r="G11" s="290"/>
      <c r="H11" s="91"/>
      <c r="I11" s="91"/>
      <c r="J11" s="144"/>
      <c r="K11" s="142"/>
      <c r="L11" s="146"/>
      <c r="M11" s="142"/>
      <c r="N11" s="137"/>
      <c r="O11" s="91">
        <v>101</v>
      </c>
      <c r="P11" s="299"/>
      <c r="Q11" s="296"/>
    </row>
    <row r="12" spans="1:17" s="11" customFormat="1" ht="18.899999999999999" customHeight="1" x14ac:dyDescent="0.25">
      <c r="A12" s="147">
        <v>6</v>
      </c>
      <c r="B12" s="90" t="s">
        <v>128</v>
      </c>
      <c r="C12" s="90"/>
      <c r="D12" s="91"/>
      <c r="E12" s="162"/>
      <c r="F12" s="289"/>
      <c r="G12" s="290"/>
      <c r="H12" s="91"/>
      <c r="I12" s="91"/>
      <c r="J12" s="144"/>
      <c r="K12" s="142"/>
      <c r="L12" s="146"/>
      <c r="M12" s="142"/>
      <c r="N12" s="137"/>
      <c r="O12" s="91">
        <v>163</v>
      </c>
      <c r="P12" s="299"/>
      <c r="Q12" s="296"/>
    </row>
    <row r="13" spans="1:17" s="11" customFormat="1" ht="18.899999999999999" customHeight="1" x14ac:dyDescent="0.25">
      <c r="A13" s="147">
        <v>7</v>
      </c>
      <c r="B13" s="90" t="s">
        <v>121</v>
      </c>
      <c r="C13" s="90"/>
      <c r="D13" s="91"/>
      <c r="E13" s="162"/>
      <c r="F13" s="289"/>
      <c r="G13" s="290"/>
      <c r="H13" s="91"/>
      <c r="I13" s="91"/>
      <c r="J13" s="144"/>
      <c r="K13" s="142"/>
      <c r="L13" s="146"/>
      <c r="M13" s="142"/>
      <c r="N13" s="137"/>
      <c r="O13" s="91">
        <v>175</v>
      </c>
      <c r="P13" s="299"/>
      <c r="Q13" s="296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9"/>
      <c r="G14" s="290"/>
      <c r="H14" s="91"/>
      <c r="I14" s="91"/>
      <c r="J14" s="144"/>
      <c r="K14" s="142"/>
      <c r="L14" s="146"/>
      <c r="M14" s="142"/>
      <c r="N14" s="137"/>
      <c r="O14" s="91"/>
      <c r="P14" s="299"/>
      <c r="Q14" s="296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3"/>
      <c r="F28" s="305"/>
      <c r="G28" s="306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4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2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7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7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7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7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7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7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7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7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7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7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7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7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7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7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7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7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7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7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7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7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7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7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7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7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7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7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7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7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7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7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7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7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7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7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7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7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7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7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7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7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7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7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7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7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7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7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7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7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7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7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7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7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7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7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7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7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7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7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7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7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7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7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7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7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7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7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7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7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7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7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7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7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7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7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7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7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7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7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7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7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7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7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7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7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7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7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7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7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7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7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7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7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7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7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7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7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7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7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7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7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7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7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7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7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7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7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7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7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7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7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7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7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7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7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7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7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7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7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7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75" priority="52" stopIfTrue="1">
      <formula>AND(ROUNDDOWN(($A$4-E7)/365.25,0)&lt;=13,G7&lt;&gt;"OK")</formula>
    </cfRule>
    <cfRule type="expression" dxfId="74" priority="53" stopIfTrue="1">
      <formula>AND(ROUNDDOWN(($A$4-E7)/365.25,0)&lt;=14,G7&lt;&gt;"OK")</formula>
    </cfRule>
    <cfRule type="expression" dxfId="73" priority="54" stopIfTrue="1">
      <formula>AND(ROUNDDOWN(($A$4-E7)/365.25,0)&lt;=17,G7&lt;&gt;"OK")</formula>
    </cfRule>
  </conditionalFormatting>
  <conditionalFormatting sqref="J7:J156">
    <cfRule type="cellIs" dxfId="72" priority="51" stopIfTrue="1" operator="equal">
      <formula>"Z"</formula>
    </cfRule>
  </conditionalFormatting>
  <conditionalFormatting sqref="A7:D10 A12:D156 A11 B9:D11">
    <cfRule type="expression" dxfId="71" priority="50" stopIfTrue="1">
      <formula>$Q7&gt;=1</formula>
    </cfRule>
  </conditionalFormatting>
  <conditionalFormatting sqref="E7:E14">
    <cfRule type="expression" dxfId="70" priority="47" stopIfTrue="1">
      <formula>AND(ROUNDDOWN(($A$4-E7)/365.25,0)&lt;=13,G7&lt;&gt;"OK")</formula>
    </cfRule>
    <cfRule type="expression" dxfId="69" priority="48" stopIfTrue="1">
      <formula>AND(ROUNDDOWN(($A$4-E7)/365.25,0)&lt;=14,G7&lt;&gt;"OK")</formula>
    </cfRule>
    <cfRule type="expression" dxfId="68" priority="49" stopIfTrue="1">
      <formula>AND(ROUNDDOWN(($A$4-E7)/365.25,0)&lt;=17,G7&lt;&gt;"OK")</formula>
    </cfRule>
  </conditionalFormatting>
  <conditionalFormatting sqref="J7:J14">
    <cfRule type="cellIs" dxfId="67" priority="46" stopIfTrue="1" operator="equal">
      <formula>"Z"</formula>
    </cfRule>
  </conditionalFormatting>
  <conditionalFormatting sqref="B7:D14">
    <cfRule type="expression" dxfId="66" priority="45" stopIfTrue="1">
      <formula>$Q7&gt;=1</formula>
    </cfRule>
  </conditionalFormatting>
  <conditionalFormatting sqref="E7:E14">
    <cfRule type="expression" dxfId="65" priority="42" stopIfTrue="1">
      <formula>AND(ROUNDDOWN(($A$4-E7)/365.25,0)&lt;=13,G7&lt;&gt;"OK")</formula>
    </cfRule>
    <cfRule type="expression" dxfId="64" priority="43" stopIfTrue="1">
      <formula>AND(ROUNDDOWN(($A$4-E7)/365.25,0)&lt;=14,G7&lt;&gt;"OK")</formula>
    </cfRule>
    <cfRule type="expression" dxfId="63" priority="44" stopIfTrue="1">
      <formula>AND(ROUNDDOWN(($A$4-E7)/365.25,0)&lt;=17,G7&lt;&gt;"OK")</formula>
    </cfRule>
  </conditionalFormatting>
  <conditionalFormatting sqref="B7:D14">
    <cfRule type="expression" dxfId="62" priority="41" stopIfTrue="1">
      <formula>$Q7&gt;=1</formula>
    </cfRule>
  </conditionalFormatting>
  <conditionalFormatting sqref="E29:E37 E7:E27">
    <cfRule type="expression" dxfId="61" priority="38" stopIfTrue="1">
      <formula>AND(ROUNDDOWN(($A$4-E7)/365.25,0)&lt;=13,G7&lt;&gt;"OK")</formula>
    </cfRule>
    <cfRule type="expression" dxfId="60" priority="39" stopIfTrue="1">
      <formula>AND(ROUNDDOWN(($A$4-E7)/365.25,0)&lt;=14,G7&lt;&gt;"OK")</formula>
    </cfRule>
    <cfRule type="expression" dxfId="59" priority="40" stopIfTrue="1">
      <formula>AND(ROUNDDOWN(($A$4-E7)/365.25,0)&lt;=17,G7&lt;&gt;"OK")</formula>
    </cfRule>
  </conditionalFormatting>
  <conditionalFormatting sqref="B7:D37">
    <cfRule type="expression" dxfId="58" priority="37" stopIfTrue="1">
      <formula>$Q7&gt;=1</formula>
    </cfRule>
  </conditionalFormatting>
  <conditionalFormatting sqref="E11">
    <cfRule type="expression" dxfId="57" priority="34" stopIfTrue="1">
      <formula>AND(ROUNDDOWN(($A$4-E11)/365.25,0)&lt;=13,G11&lt;&gt;"OK")</formula>
    </cfRule>
    <cfRule type="expression" dxfId="56" priority="35" stopIfTrue="1">
      <formula>AND(ROUNDDOWN(($A$4-E11)/365.25,0)&lt;=14,G11&lt;&gt;"OK")</formula>
    </cfRule>
    <cfRule type="expression" dxfId="55" priority="36" stopIfTrue="1">
      <formula>AND(ROUNDDOWN(($A$4-E11)/365.25,0)&lt;=17,G11&lt;&gt;"OK")</formula>
    </cfRule>
  </conditionalFormatting>
  <conditionalFormatting sqref="J11">
    <cfRule type="cellIs" dxfId="54" priority="33" stopIfTrue="1" operator="equal">
      <formula>"Z"</formula>
    </cfRule>
  </conditionalFormatting>
  <conditionalFormatting sqref="B11:D11">
    <cfRule type="expression" dxfId="53" priority="32" stopIfTrue="1">
      <formula>$Q11&gt;=1</formula>
    </cfRule>
  </conditionalFormatting>
  <conditionalFormatting sqref="E11">
    <cfRule type="expression" dxfId="52" priority="29" stopIfTrue="1">
      <formula>AND(ROUNDDOWN(($A$4-E11)/365.25,0)&lt;=13,G11&lt;&gt;"OK")</formula>
    </cfRule>
    <cfRule type="expression" dxfId="51" priority="30" stopIfTrue="1">
      <formula>AND(ROUNDDOWN(($A$4-E11)/365.25,0)&lt;=14,G11&lt;&gt;"OK")</formula>
    </cfRule>
    <cfRule type="expression" dxfId="50" priority="31" stopIfTrue="1">
      <formula>AND(ROUNDDOWN(($A$4-E11)/365.25,0)&lt;=17,G11&lt;&gt;"OK")</formula>
    </cfRule>
  </conditionalFormatting>
  <conditionalFormatting sqref="J11">
    <cfRule type="cellIs" dxfId="49" priority="28" stopIfTrue="1" operator="equal">
      <formula>"Z"</formula>
    </cfRule>
  </conditionalFormatting>
  <conditionalFormatting sqref="B11:D11">
    <cfRule type="expression" dxfId="48" priority="27" stopIfTrue="1">
      <formula>$Q11&gt;=1</formula>
    </cfRule>
  </conditionalFormatting>
  <conditionalFormatting sqref="E11">
    <cfRule type="expression" dxfId="47" priority="24" stopIfTrue="1">
      <formula>AND(ROUNDDOWN(($A$4-E11)/365.25,0)&lt;=13,G11&lt;&gt;"OK")</formula>
    </cfRule>
    <cfRule type="expression" dxfId="46" priority="25" stopIfTrue="1">
      <formula>AND(ROUNDDOWN(($A$4-E11)/365.25,0)&lt;=14,G11&lt;&gt;"OK")</formula>
    </cfRule>
    <cfRule type="expression" dxfId="45" priority="26" stopIfTrue="1">
      <formula>AND(ROUNDDOWN(($A$4-E11)/365.25,0)&lt;=17,G11&lt;&gt;"OK")</formula>
    </cfRule>
  </conditionalFormatting>
  <conditionalFormatting sqref="B11:D11">
    <cfRule type="expression" dxfId="44" priority="23" stopIfTrue="1">
      <formula>$Q11&gt;=1</formula>
    </cfRule>
  </conditionalFormatting>
  <conditionalFormatting sqref="E11">
    <cfRule type="expression" dxfId="43" priority="20" stopIfTrue="1">
      <formula>AND(ROUNDDOWN(($A$4-E11)/365.25,0)&lt;=13,G11&lt;&gt;"OK")</formula>
    </cfRule>
    <cfRule type="expression" dxfId="42" priority="21" stopIfTrue="1">
      <formula>AND(ROUNDDOWN(($A$4-E11)/365.25,0)&lt;=14,G11&lt;&gt;"OK")</formula>
    </cfRule>
    <cfRule type="expression" dxfId="41" priority="22" stopIfTrue="1">
      <formula>AND(ROUNDDOWN(($A$4-E11)/365.25,0)&lt;=17,G11&lt;&gt;"OK")</formula>
    </cfRule>
  </conditionalFormatting>
  <conditionalFormatting sqref="B11:D11">
    <cfRule type="expression" dxfId="40" priority="19" stopIfTrue="1">
      <formula>$Q11&gt;=1</formula>
    </cfRule>
  </conditionalFormatting>
  <conditionalFormatting sqref="E12">
    <cfRule type="expression" dxfId="39" priority="16" stopIfTrue="1">
      <formula>AND(ROUNDDOWN(($A$4-E12)/365.25,0)&lt;=13,G12&lt;&gt;"OK")</formula>
    </cfRule>
    <cfRule type="expression" dxfId="38" priority="17" stopIfTrue="1">
      <formula>AND(ROUNDDOWN(($A$4-E12)/365.25,0)&lt;=14,G12&lt;&gt;"OK")</formula>
    </cfRule>
    <cfRule type="expression" dxfId="37" priority="18" stopIfTrue="1">
      <formula>AND(ROUNDDOWN(($A$4-E12)/365.25,0)&lt;=17,G12&lt;&gt;"OK")</formula>
    </cfRule>
  </conditionalFormatting>
  <conditionalFormatting sqref="J12">
    <cfRule type="cellIs" dxfId="36" priority="15" stopIfTrue="1" operator="equal">
      <formula>"Z"</formula>
    </cfRule>
  </conditionalFormatting>
  <conditionalFormatting sqref="B12:D12">
    <cfRule type="expression" dxfId="35" priority="14" stopIfTrue="1">
      <formula>$Q12&gt;=1</formula>
    </cfRule>
  </conditionalFormatting>
  <conditionalFormatting sqref="E12">
    <cfRule type="expression" dxfId="34" priority="11" stopIfTrue="1">
      <formula>AND(ROUNDDOWN(($A$4-E12)/365.25,0)&lt;=13,G12&lt;&gt;"OK")</formula>
    </cfRule>
    <cfRule type="expression" dxfId="33" priority="12" stopIfTrue="1">
      <formula>AND(ROUNDDOWN(($A$4-E12)/365.25,0)&lt;=14,G12&lt;&gt;"OK")</formula>
    </cfRule>
    <cfRule type="expression" dxfId="32" priority="13" stopIfTrue="1">
      <formula>AND(ROUNDDOWN(($A$4-E12)/365.25,0)&lt;=17,G12&lt;&gt;"OK")</formula>
    </cfRule>
  </conditionalFormatting>
  <conditionalFormatting sqref="J12">
    <cfRule type="cellIs" dxfId="31" priority="10" stopIfTrue="1" operator="equal">
      <formula>"Z"</formula>
    </cfRule>
  </conditionalFormatting>
  <conditionalFormatting sqref="B12:D12">
    <cfRule type="expression" dxfId="30" priority="9" stopIfTrue="1">
      <formula>$Q12&gt;=1</formula>
    </cfRule>
  </conditionalFormatting>
  <conditionalFormatting sqref="E12">
    <cfRule type="expression" dxfId="29" priority="6" stopIfTrue="1">
      <formula>AND(ROUNDDOWN(($A$4-E12)/365.25,0)&lt;=13,G12&lt;&gt;"OK")</formula>
    </cfRule>
    <cfRule type="expression" dxfId="28" priority="7" stopIfTrue="1">
      <formula>AND(ROUNDDOWN(($A$4-E12)/365.25,0)&lt;=14,G12&lt;&gt;"OK")</formula>
    </cfRule>
    <cfRule type="expression" dxfId="27" priority="8" stopIfTrue="1">
      <formula>AND(ROUNDDOWN(($A$4-E12)/365.25,0)&lt;=17,G12&lt;&gt;"OK")</formula>
    </cfRule>
  </conditionalFormatting>
  <conditionalFormatting sqref="B12:D12">
    <cfRule type="expression" dxfId="26" priority="5" stopIfTrue="1">
      <formula>$Q12&gt;=1</formula>
    </cfRule>
  </conditionalFormatting>
  <conditionalFormatting sqref="E12">
    <cfRule type="expression" dxfId="25" priority="2" stopIfTrue="1">
      <formula>AND(ROUNDDOWN(($A$4-E12)/365.25,0)&lt;=13,G12&lt;&gt;"OK")</formula>
    </cfRule>
    <cfRule type="expression" dxfId="24" priority="3" stopIfTrue="1">
      <formula>AND(ROUNDDOWN(($A$4-E12)/365.25,0)&lt;=14,G12&lt;&gt;"OK")</formula>
    </cfRule>
    <cfRule type="expression" dxfId="23" priority="4" stopIfTrue="1">
      <formula>AND(ROUNDDOWN(($A$4-E12)/365.25,0)&lt;=17,G12&lt;&gt;"OK")</formula>
    </cfRule>
  </conditionalFormatting>
  <conditionalFormatting sqref="B12:D12">
    <cfRule type="expression" dxfId="22" priority="1" stopIfTrue="1">
      <formula>$Q12&gt;=1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168C-0967-4E88-92A3-14E58E0CADB4}">
  <sheetPr codeName="Munka16">
    <tabColor indexed="11"/>
  </sheetPr>
  <dimension ref="A1:AK51"/>
  <sheetViews>
    <sheetView tabSelected="1"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29" t="str">
        <f>Altalanos!$A$6</f>
        <v>OB</v>
      </c>
      <c r="B1" s="329"/>
      <c r="C1" s="329"/>
      <c r="D1" s="329"/>
      <c r="E1" s="329"/>
      <c r="F1" s="329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0" t="e">
        <f>IF(Y5=1,CONCATENATE(VLOOKUP(Y3,AA16:AH27,2)),CONCATENATE(VLOOKUP(Y3,AA2:AK13,2)))</f>
        <v>#N/A</v>
      </c>
      <c r="AC1" s="280" t="e">
        <f>IF(Y5=1,CONCATENATE(VLOOKUP(Y3,AA16:AK27,3)),CONCATENATE(VLOOKUP(Y3,AA2:AK13,3)))</f>
        <v>#N/A</v>
      </c>
      <c r="AD1" s="280" t="e">
        <f>IF(Y5=1,CONCATENATE(VLOOKUP(Y3,AA16:AK27,4)),CONCATENATE(VLOOKUP(Y3,AA2:AK13,4)))</f>
        <v>#N/A</v>
      </c>
      <c r="AE1" s="280" t="e">
        <f>IF(Y5=1,CONCATENATE(VLOOKUP(Y3,AA16:AK27,5)),CONCATENATE(VLOOKUP(Y3,AA2:AK13,5)))</f>
        <v>#N/A</v>
      </c>
      <c r="AF1" s="280" t="e">
        <f>IF(Y5=1,CONCATENATE(VLOOKUP(Y3,AA16:AK27,6)),CONCATENATE(VLOOKUP(Y3,AA2:AK13,6)))</f>
        <v>#N/A</v>
      </c>
      <c r="AG1" s="280" t="e">
        <f>IF(Y5=1,CONCATENATE(VLOOKUP(Y3,AA16:AK27,7)),CONCATENATE(VLOOKUP(Y3,AA2:AK13,7)))</f>
        <v>#N/A</v>
      </c>
      <c r="AH1" s="280" t="e">
        <f>IF(Y5=1,CONCATENATE(VLOOKUP(Y3,AA16:AK27,8)),CONCATENATE(VLOOKUP(Y3,AA2:AK13,8)))</f>
        <v>#N/A</v>
      </c>
      <c r="AI1" s="280" t="e">
        <f>IF(Y5=1,CONCATENATE(VLOOKUP(Y3,AA16:AK27,9)),CONCATENATE(VLOOKUP(Y3,AA2:AK13,9)))</f>
        <v>#N/A</v>
      </c>
      <c r="AJ1" s="280" t="e">
        <f>IF(Y5=1,CONCATENATE(VLOOKUP(Y3,AA16:AK27,10)),CONCATENATE(VLOOKUP(Y3,AA2:AK13,10)))</f>
        <v>#N/A</v>
      </c>
      <c r="AK1" s="280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16" t="str">
        <f>Altalanos!$B$8</f>
        <v>L14 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5"/>
      <c r="Z2" s="274"/>
      <c r="AA2" s="274" t="s">
        <v>58</v>
      </c>
      <c r="AB2" s="278">
        <v>150</v>
      </c>
      <c r="AC2" s="278">
        <v>120</v>
      </c>
      <c r="AD2" s="278">
        <v>100</v>
      </c>
      <c r="AE2" s="278">
        <v>80</v>
      </c>
      <c r="AF2" s="278">
        <v>70</v>
      </c>
      <c r="AG2" s="278">
        <v>60</v>
      </c>
      <c r="AH2" s="278">
        <v>55</v>
      </c>
      <c r="AI2" s="278">
        <v>50</v>
      </c>
      <c r="AJ2" s="278">
        <v>45</v>
      </c>
      <c r="AK2" s="278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63" t="s">
        <v>72</v>
      </c>
      <c r="R3" s="264" t="s">
        <v>78</v>
      </c>
      <c r="S3" s="264" t="s">
        <v>73</v>
      </c>
      <c r="Y3" s="274">
        <f>IF(H4="OB","A",IF(H4="IX","W",H4))</f>
        <v>0</v>
      </c>
      <c r="Z3" s="274"/>
      <c r="AA3" s="274" t="s">
        <v>88</v>
      </c>
      <c r="AB3" s="278">
        <v>120</v>
      </c>
      <c r="AC3" s="278">
        <v>90</v>
      </c>
      <c r="AD3" s="278">
        <v>65</v>
      </c>
      <c r="AE3" s="278">
        <v>55</v>
      </c>
      <c r="AF3" s="278">
        <v>50</v>
      </c>
      <c r="AG3" s="278">
        <v>45</v>
      </c>
      <c r="AH3" s="278">
        <v>40</v>
      </c>
      <c r="AI3" s="278">
        <v>35</v>
      </c>
      <c r="AJ3" s="278">
        <v>25</v>
      </c>
      <c r="AK3" s="278">
        <v>20</v>
      </c>
    </row>
    <row r="4" spans="1:37" ht="13.8" thickBot="1" x14ac:dyDescent="0.3">
      <c r="A4" s="330" t="str">
        <f>Altalanos!$A$10</f>
        <v>2024.08.27.-09.01</v>
      </c>
      <c r="B4" s="330"/>
      <c r="C4" s="330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17"/>
      <c r="Q4" s="265" t="s">
        <v>79</v>
      </c>
      <c r="R4" s="266" t="s">
        <v>74</v>
      </c>
      <c r="S4" s="266" t="s">
        <v>75</v>
      </c>
      <c r="Y4" s="274"/>
      <c r="Z4" s="274"/>
      <c r="AA4" s="274" t="s">
        <v>89</v>
      </c>
      <c r="AB4" s="278">
        <v>90</v>
      </c>
      <c r="AC4" s="278">
        <v>60</v>
      </c>
      <c r="AD4" s="278">
        <v>45</v>
      </c>
      <c r="AE4" s="278">
        <v>34</v>
      </c>
      <c r="AF4" s="278">
        <v>27</v>
      </c>
      <c r="AG4" s="278">
        <v>22</v>
      </c>
      <c r="AH4" s="278">
        <v>18</v>
      </c>
      <c r="AI4" s="278">
        <v>15</v>
      </c>
      <c r="AJ4" s="278">
        <v>12</v>
      </c>
      <c r="AK4" s="278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11"/>
      <c r="Q5" s="267" t="s">
        <v>80</v>
      </c>
      <c r="R5" s="268" t="s">
        <v>76</v>
      </c>
      <c r="S5" s="268" t="s">
        <v>77</v>
      </c>
      <c r="Y5" s="274">
        <f>IF(OR(Altalanos!$A$8="F1",Altalanos!$A$8="F2",Altalanos!$A$8="N1",Altalanos!$A$8="N2"),1,2)</f>
        <v>2</v>
      </c>
      <c r="Z5" s="274"/>
      <c r="AA5" s="274" t="s">
        <v>90</v>
      </c>
      <c r="AB5" s="278">
        <v>60</v>
      </c>
      <c r="AC5" s="278">
        <v>40</v>
      </c>
      <c r="AD5" s="278">
        <v>30</v>
      </c>
      <c r="AE5" s="278">
        <v>20</v>
      </c>
      <c r="AF5" s="278">
        <v>18</v>
      </c>
      <c r="AG5" s="278">
        <v>15</v>
      </c>
      <c r="AH5" s="278">
        <v>12</v>
      </c>
      <c r="AI5" s="278">
        <v>10</v>
      </c>
      <c r="AJ5" s="278">
        <v>8</v>
      </c>
      <c r="AK5" s="278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74"/>
      <c r="Z6" s="274"/>
      <c r="AA6" s="274" t="s">
        <v>91</v>
      </c>
      <c r="AB6" s="278">
        <v>40</v>
      </c>
      <c r="AC6" s="278">
        <v>25</v>
      </c>
      <c r="AD6" s="278">
        <v>18</v>
      </c>
      <c r="AE6" s="278">
        <v>13</v>
      </c>
      <c r="AF6" s="278">
        <v>10</v>
      </c>
      <c r="AG6" s="278">
        <v>8</v>
      </c>
      <c r="AH6" s="278">
        <v>6</v>
      </c>
      <c r="AI6" s="278">
        <v>5</v>
      </c>
      <c r="AJ6" s="278">
        <v>4</v>
      </c>
      <c r="AK6" s="278">
        <v>3</v>
      </c>
    </row>
    <row r="7" spans="1:37" x14ac:dyDescent="0.25">
      <c r="A7" s="256" t="s">
        <v>58</v>
      </c>
      <c r="B7" s="269">
        <v>1</v>
      </c>
      <c r="C7" s="205">
        <f>IF($B7="","",VLOOKUP($B7,'L14 csapat ELO'!$A$7:$O$22,5))</f>
        <v>0</v>
      </c>
      <c r="D7" s="205">
        <f>IF($B7="","",VLOOKUP($B7,'L14 csapat ELO'!$A$7:$O$22,15))</f>
        <v>17</v>
      </c>
      <c r="E7" s="202" t="str">
        <f>UPPER(IF($B7="","",VLOOKUP($B7,'L14 csapat ELO'!$A$7:$O$22,2)))</f>
        <v>SVSE I.</v>
      </c>
      <c r="F7" s="204"/>
      <c r="G7" s="202">
        <f>IF($B7="","",VLOOKUP($B7,'L14 csapat ELO'!$A$7:$O$22,3))</f>
        <v>0</v>
      </c>
      <c r="H7" s="204"/>
      <c r="I7" s="202">
        <f>IF($B7="","",VLOOKUP($B7,'L14 csapat ELO'!$A$7:$O$22,4))</f>
        <v>0</v>
      </c>
      <c r="J7" s="193"/>
      <c r="K7" s="327" t="s">
        <v>90</v>
      </c>
      <c r="L7" s="276"/>
      <c r="M7" s="281"/>
      <c r="N7" s="211"/>
      <c r="O7" s="211"/>
      <c r="P7" s="211"/>
      <c r="Q7" s="263" t="s">
        <v>72</v>
      </c>
      <c r="R7" s="308" t="s">
        <v>108</v>
      </c>
      <c r="S7" s="308" t="s">
        <v>110</v>
      </c>
      <c r="Y7" s="274"/>
      <c r="Z7" s="274"/>
      <c r="AA7" s="274" t="s">
        <v>92</v>
      </c>
      <c r="AB7" s="278">
        <v>25</v>
      </c>
      <c r="AC7" s="278">
        <v>15</v>
      </c>
      <c r="AD7" s="278">
        <v>13</v>
      </c>
      <c r="AE7" s="278">
        <v>8</v>
      </c>
      <c r="AF7" s="278">
        <v>6</v>
      </c>
      <c r="AG7" s="278">
        <v>4</v>
      </c>
      <c r="AH7" s="278">
        <v>3</v>
      </c>
      <c r="AI7" s="278">
        <v>2</v>
      </c>
      <c r="AJ7" s="278">
        <v>1</v>
      </c>
      <c r="AK7" s="278">
        <v>0</v>
      </c>
    </row>
    <row r="8" spans="1:37" x14ac:dyDescent="0.25">
      <c r="A8" s="219"/>
      <c r="B8" s="270"/>
      <c r="C8" s="220"/>
      <c r="D8" s="220"/>
      <c r="E8" s="220"/>
      <c r="F8" s="220"/>
      <c r="G8" s="220"/>
      <c r="H8" s="220"/>
      <c r="I8" s="220"/>
      <c r="J8" s="193"/>
      <c r="K8" s="219"/>
      <c r="L8" s="219"/>
      <c r="M8" s="282"/>
      <c r="N8" s="211"/>
      <c r="O8" s="211"/>
      <c r="P8" s="211"/>
      <c r="Q8" s="265" t="s">
        <v>79</v>
      </c>
      <c r="R8" s="309" t="s">
        <v>109</v>
      </c>
      <c r="S8" s="309" t="s">
        <v>111</v>
      </c>
      <c r="Y8" s="274"/>
      <c r="Z8" s="274"/>
      <c r="AA8" s="274" t="s">
        <v>93</v>
      </c>
      <c r="AB8" s="278">
        <v>15</v>
      </c>
      <c r="AC8" s="278">
        <v>10</v>
      </c>
      <c r="AD8" s="278">
        <v>7</v>
      </c>
      <c r="AE8" s="278">
        <v>5</v>
      </c>
      <c r="AF8" s="278">
        <v>4</v>
      </c>
      <c r="AG8" s="278">
        <v>3</v>
      </c>
      <c r="AH8" s="278">
        <v>2</v>
      </c>
      <c r="AI8" s="278">
        <v>1</v>
      </c>
      <c r="AJ8" s="278">
        <v>0</v>
      </c>
      <c r="AK8" s="278">
        <v>0</v>
      </c>
    </row>
    <row r="9" spans="1:37" x14ac:dyDescent="0.25">
      <c r="A9" s="219" t="s">
        <v>59</v>
      </c>
      <c r="B9" s="271">
        <v>3</v>
      </c>
      <c r="C9" s="205">
        <f>IF($B9="","",VLOOKUP($B9,'L14 csapat ELO'!$A$7:$O$22,5))</f>
        <v>0</v>
      </c>
      <c r="D9" s="205">
        <f>IF($B9="","",VLOOKUP($B9,'L14 csapat ELO'!$A$7:$O$22,15))</f>
        <v>29</v>
      </c>
      <c r="E9" s="201" t="str">
        <f>UPPER(IF($B9="","",VLOOKUP($B9,'L14 csapat ELO'!$A$7:$O$22,2)))</f>
        <v xml:space="preserve">BUD. HONVÉD </v>
      </c>
      <c r="F9" s="206"/>
      <c r="G9" s="201">
        <f>IF($B9="","",VLOOKUP($B9,'L14 csapat ELO'!$A$7:$O$22,3))</f>
        <v>0</v>
      </c>
      <c r="H9" s="206"/>
      <c r="I9" s="201">
        <f>IF($B9="","",VLOOKUP($B9,'L14 csapat ELO'!$A$7:$O$22,4))</f>
        <v>0</v>
      </c>
      <c r="J9" s="193"/>
      <c r="K9" s="327" t="s">
        <v>89</v>
      </c>
      <c r="L9" s="276"/>
      <c r="M9" s="281"/>
      <c r="N9" s="211"/>
      <c r="O9" s="211"/>
      <c r="P9" s="211"/>
      <c r="Q9" s="267" t="s">
        <v>80</v>
      </c>
      <c r="R9" s="310" t="s">
        <v>84</v>
      </c>
      <c r="S9" s="310" t="s">
        <v>112</v>
      </c>
      <c r="Y9" s="274"/>
      <c r="Z9" s="274"/>
      <c r="AA9" s="274" t="s">
        <v>94</v>
      </c>
      <c r="AB9" s="278">
        <v>10</v>
      </c>
      <c r="AC9" s="278">
        <v>6</v>
      </c>
      <c r="AD9" s="278">
        <v>4</v>
      </c>
      <c r="AE9" s="278">
        <v>2</v>
      </c>
      <c r="AF9" s="278">
        <v>1</v>
      </c>
      <c r="AG9" s="278">
        <v>0</v>
      </c>
      <c r="AH9" s="278">
        <v>0</v>
      </c>
      <c r="AI9" s="278">
        <v>0</v>
      </c>
      <c r="AJ9" s="278">
        <v>0</v>
      </c>
      <c r="AK9" s="278">
        <v>0</v>
      </c>
    </row>
    <row r="10" spans="1:37" x14ac:dyDescent="0.25">
      <c r="A10" s="219"/>
      <c r="B10" s="270"/>
      <c r="C10" s="220"/>
      <c r="D10" s="220"/>
      <c r="E10" s="220"/>
      <c r="F10" s="220"/>
      <c r="G10" s="220"/>
      <c r="H10" s="220"/>
      <c r="I10" s="220"/>
      <c r="J10" s="193"/>
      <c r="K10" s="219"/>
      <c r="L10" s="219"/>
      <c r="M10" s="282"/>
      <c r="N10" s="211"/>
      <c r="O10" s="211"/>
      <c r="P10" s="211"/>
      <c r="Q10" s="211"/>
      <c r="R10" s="211"/>
      <c r="S10" s="211"/>
      <c r="Y10" s="274"/>
      <c r="Z10" s="274"/>
      <c r="AA10" s="274" t="s">
        <v>95</v>
      </c>
      <c r="AB10" s="278">
        <v>6</v>
      </c>
      <c r="AC10" s="278">
        <v>3</v>
      </c>
      <c r="AD10" s="278">
        <v>2</v>
      </c>
      <c r="AE10" s="278">
        <v>1</v>
      </c>
      <c r="AF10" s="278">
        <v>0</v>
      </c>
      <c r="AG10" s="278">
        <v>0</v>
      </c>
      <c r="AH10" s="278">
        <v>0</v>
      </c>
      <c r="AI10" s="278">
        <v>0</v>
      </c>
      <c r="AJ10" s="278">
        <v>0</v>
      </c>
      <c r="AK10" s="278">
        <v>0</v>
      </c>
    </row>
    <row r="11" spans="1:37" x14ac:dyDescent="0.25">
      <c r="A11" s="219" t="s">
        <v>60</v>
      </c>
      <c r="B11" s="271">
        <v>7</v>
      </c>
      <c r="C11" s="205">
        <f>IF($B11="","",VLOOKUP($B11,'L14 csapat ELO'!$A$7:$O$22,5))</f>
        <v>0</v>
      </c>
      <c r="D11" s="205">
        <f>IF($B11="","",VLOOKUP($B11,'L14 csapat ELO'!$A$7:$O$22,15))</f>
        <v>175</v>
      </c>
      <c r="E11" s="201" t="str">
        <f>UPPER(IF($B11="","",VLOOKUP($B11,'L14 csapat ELO'!$A$7:$O$22,2)))</f>
        <v>BBTC SE</v>
      </c>
      <c r="F11" s="206"/>
      <c r="G11" s="201">
        <f>IF($B11="","",VLOOKUP($B11,'L14 csapat ELO'!$A$7:$O$22,3))</f>
        <v>0</v>
      </c>
      <c r="H11" s="206"/>
      <c r="I11" s="201">
        <f>IF($B11="","",VLOOKUP($B11,'L14 csapat ELO'!$A$7:$O$22,4))</f>
        <v>0</v>
      </c>
      <c r="J11" s="193"/>
      <c r="K11" s="327" t="s">
        <v>93</v>
      </c>
      <c r="L11" s="276"/>
      <c r="M11" s="281"/>
      <c r="N11" s="211"/>
      <c r="O11" s="211"/>
      <c r="P11" s="211"/>
      <c r="Q11" s="211"/>
      <c r="R11" s="211"/>
      <c r="S11" s="211"/>
      <c r="Y11" s="274"/>
      <c r="Z11" s="274"/>
      <c r="AA11" s="274" t="s">
        <v>100</v>
      </c>
      <c r="AB11" s="278">
        <v>3</v>
      </c>
      <c r="AC11" s="278">
        <v>2</v>
      </c>
      <c r="AD11" s="278">
        <v>1</v>
      </c>
      <c r="AE11" s="278">
        <v>0</v>
      </c>
      <c r="AF11" s="278">
        <v>0</v>
      </c>
      <c r="AG11" s="278">
        <v>0</v>
      </c>
      <c r="AH11" s="278">
        <v>0</v>
      </c>
      <c r="AI11" s="278">
        <v>0</v>
      </c>
      <c r="AJ11" s="278">
        <v>0</v>
      </c>
      <c r="AK11" s="278">
        <v>0</v>
      </c>
    </row>
    <row r="12" spans="1:37" x14ac:dyDescent="0.25">
      <c r="A12" s="193"/>
      <c r="B12" s="256"/>
      <c r="C12" s="248"/>
      <c r="D12" s="193"/>
      <c r="E12" s="193"/>
      <c r="F12" s="193"/>
      <c r="G12" s="193"/>
      <c r="H12" s="193"/>
      <c r="I12" s="193"/>
      <c r="J12" s="193"/>
      <c r="K12" s="248"/>
      <c r="L12" s="248"/>
      <c r="M12" s="283"/>
      <c r="Y12" s="274"/>
      <c r="Z12" s="274"/>
      <c r="AA12" s="274" t="s">
        <v>96</v>
      </c>
      <c r="AB12" s="279">
        <v>0</v>
      </c>
      <c r="AC12" s="279">
        <v>0</v>
      </c>
      <c r="AD12" s="279">
        <v>0</v>
      </c>
      <c r="AE12" s="279">
        <v>0</v>
      </c>
      <c r="AF12" s="279">
        <v>0</v>
      </c>
      <c r="AG12" s="279">
        <v>0</v>
      </c>
      <c r="AH12" s="279">
        <v>0</v>
      </c>
      <c r="AI12" s="279">
        <v>0</v>
      </c>
      <c r="AJ12" s="279">
        <v>0</v>
      </c>
      <c r="AK12" s="279">
        <v>0</v>
      </c>
    </row>
    <row r="13" spans="1:37" x14ac:dyDescent="0.25">
      <c r="A13" s="256" t="s">
        <v>65</v>
      </c>
      <c r="B13" s="269">
        <v>2</v>
      </c>
      <c r="C13" s="205">
        <f>IF($B13="","",VLOOKUP($B13,'L14 csapat ELO'!$A$7:$O$22,5))</f>
        <v>0</v>
      </c>
      <c r="D13" s="205">
        <f>IF($B13="","",VLOOKUP($B13,'L14 csapat ELO'!$A$7:$O$22,15))</f>
        <v>23</v>
      </c>
      <c r="E13" s="202" t="str">
        <f>UPPER(IF($B13="","",VLOOKUP($B13,'L14 csapat ELO'!$A$7:$O$22,2)))</f>
        <v>TENISZ MŰHELY</v>
      </c>
      <c r="F13" s="204"/>
      <c r="G13" s="202">
        <f>IF($B13="","",VLOOKUP($B13,'L14 csapat ELO'!$A$7:$O$22,3))</f>
        <v>0</v>
      </c>
      <c r="H13" s="204"/>
      <c r="I13" s="202">
        <f>IF($B13="","",VLOOKUP($B13,'L14 csapat ELO'!$A$7:$O$22,4))</f>
        <v>0</v>
      </c>
      <c r="J13" s="193"/>
      <c r="K13" s="327" t="s">
        <v>88</v>
      </c>
      <c r="L13" s="276"/>
      <c r="M13" s="281"/>
      <c r="Y13" s="274"/>
      <c r="Z13" s="274"/>
      <c r="AA13" s="274" t="s">
        <v>97</v>
      </c>
      <c r="AB13" s="279">
        <v>0</v>
      </c>
      <c r="AC13" s="279">
        <v>0</v>
      </c>
      <c r="AD13" s="279">
        <v>0</v>
      </c>
      <c r="AE13" s="279">
        <v>0</v>
      </c>
      <c r="AF13" s="279">
        <v>0</v>
      </c>
      <c r="AG13" s="279">
        <v>0</v>
      </c>
      <c r="AH13" s="279">
        <v>0</v>
      </c>
      <c r="AI13" s="279">
        <v>0</v>
      </c>
      <c r="AJ13" s="279">
        <v>0</v>
      </c>
      <c r="AK13" s="279">
        <v>0</v>
      </c>
    </row>
    <row r="14" spans="1:37" x14ac:dyDescent="0.25">
      <c r="A14" s="219"/>
      <c r="B14" s="270"/>
      <c r="C14" s="220"/>
      <c r="D14" s="220"/>
      <c r="E14" s="220"/>
      <c r="F14" s="220"/>
      <c r="G14" s="220"/>
      <c r="H14" s="220"/>
      <c r="I14" s="220"/>
      <c r="J14" s="193"/>
      <c r="K14" s="219"/>
      <c r="L14" s="219"/>
      <c r="M14" s="282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</row>
    <row r="15" spans="1:37" x14ac:dyDescent="0.25">
      <c r="A15" s="219" t="s">
        <v>66</v>
      </c>
      <c r="B15" s="271">
        <v>6</v>
      </c>
      <c r="C15" s="205">
        <f>IF($B15="","",VLOOKUP($B15,'L14 csapat ELO'!$A$7:$O$22,5))</f>
        <v>0</v>
      </c>
      <c r="D15" s="205">
        <f>IF($B15="","",VLOOKUP($B15,'L14 csapat ELO'!$A$7:$O$22,15))</f>
        <v>163</v>
      </c>
      <c r="E15" s="201" t="str">
        <f>UPPER(IF($B15="","",VLOOKUP($B15,'L14 csapat ELO'!$A$7:$O$22,2)))</f>
        <v>FORTUNA SE</v>
      </c>
      <c r="F15" s="206"/>
      <c r="G15" s="201">
        <f>IF($B15="","",VLOOKUP($B15,'L14 csapat ELO'!$A$7:$O$22,3))</f>
        <v>0</v>
      </c>
      <c r="H15" s="206"/>
      <c r="I15" s="201">
        <f>IF($B15="","",VLOOKUP($B15,'L14 csapat ELO'!$A$7:$O$22,4))</f>
        <v>0</v>
      </c>
      <c r="J15" s="193"/>
      <c r="K15" s="327" t="s">
        <v>94</v>
      </c>
      <c r="L15" s="276"/>
      <c r="M15" s="281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</row>
    <row r="16" spans="1:37" x14ac:dyDescent="0.25">
      <c r="A16" s="219"/>
      <c r="B16" s="270"/>
      <c r="C16" s="220"/>
      <c r="D16" s="220"/>
      <c r="E16" s="220"/>
      <c r="F16" s="220"/>
      <c r="G16" s="220"/>
      <c r="H16" s="220"/>
      <c r="I16" s="220"/>
      <c r="J16" s="193"/>
      <c r="K16" s="219"/>
      <c r="L16" s="219"/>
      <c r="M16" s="282"/>
      <c r="Y16" s="274"/>
      <c r="Z16" s="274"/>
      <c r="AA16" s="274" t="s">
        <v>58</v>
      </c>
      <c r="AB16" s="274">
        <v>300</v>
      </c>
      <c r="AC16" s="274">
        <v>250</v>
      </c>
      <c r="AD16" s="274">
        <v>220</v>
      </c>
      <c r="AE16" s="274">
        <v>180</v>
      </c>
      <c r="AF16" s="274">
        <v>160</v>
      </c>
      <c r="AG16" s="274">
        <v>150</v>
      </c>
      <c r="AH16" s="274">
        <v>140</v>
      </c>
      <c r="AI16" s="274">
        <v>130</v>
      </c>
      <c r="AJ16" s="274">
        <v>120</v>
      </c>
      <c r="AK16" s="274">
        <v>110</v>
      </c>
    </row>
    <row r="17" spans="1:37" x14ac:dyDescent="0.25">
      <c r="A17" s="219" t="s">
        <v>67</v>
      </c>
      <c r="B17" s="271">
        <v>4</v>
      </c>
      <c r="C17" s="205">
        <f>IF($B17="","",VLOOKUP($B17,'L14 csapat ELO'!$A$7:$O$22,5))</f>
        <v>0</v>
      </c>
      <c r="D17" s="205">
        <f>IF($B17="","",VLOOKUP($B17,'L14 csapat ELO'!$A$7:$O$22,15))</f>
        <v>66</v>
      </c>
      <c r="E17" s="201" t="str">
        <f>UPPER(IF($B17="","",VLOOKUP($B17,'L14 csapat ELO'!$A$7:$O$22,2)))</f>
        <v>VOLVEX TENISZ</v>
      </c>
      <c r="F17" s="206"/>
      <c r="G17" s="201">
        <f>IF($B17="","",VLOOKUP($B17,'L14 csapat ELO'!$A$7:$O$22,3))</f>
        <v>0</v>
      </c>
      <c r="H17" s="206"/>
      <c r="I17" s="201">
        <f>IF($B17="","",VLOOKUP($B17,'L14 csapat ELO'!$A$7:$O$22,4))</f>
        <v>0</v>
      </c>
      <c r="J17" s="193"/>
      <c r="K17" s="327" t="s">
        <v>91</v>
      </c>
      <c r="L17" s="276"/>
      <c r="M17" s="281"/>
      <c r="Y17" s="274"/>
      <c r="Z17" s="274"/>
      <c r="AA17" s="274" t="s">
        <v>88</v>
      </c>
      <c r="AB17" s="274">
        <v>250</v>
      </c>
      <c r="AC17" s="274">
        <v>200</v>
      </c>
      <c r="AD17" s="274">
        <v>160</v>
      </c>
      <c r="AE17" s="274">
        <v>140</v>
      </c>
      <c r="AF17" s="274">
        <v>120</v>
      </c>
      <c r="AG17" s="274">
        <v>110</v>
      </c>
      <c r="AH17" s="274">
        <v>100</v>
      </c>
      <c r="AI17" s="274">
        <v>90</v>
      </c>
      <c r="AJ17" s="274">
        <v>80</v>
      </c>
      <c r="AK17" s="274">
        <v>70</v>
      </c>
    </row>
    <row r="18" spans="1:37" x14ac:dyDescent="0.25">
      <c r="A18" s="219"/>
      <c r="B18" s="270"/>
      <c r="C18" s="220"/>
      <c r="D18" s="220"/>
      <c r="E18" s="220"/>
      <c r="F18" s="220"/>
      <c r="G18" s="220"/>
      <c r="H18" s="220"/>
      <c r="I18" s="220"/>
      <c r="J18" s="193"/>
      <c r="K18" s="219"/>
      <c r="L18" s="219"/>
      <c r="M18" s="282"/>
      <c r="Y18" s="274"/>
      <c r="Z18" s="274"/>
      <c r="AA18" s="274" t="s">
        <v>89</v>
      </c>
      <c r="AB18" s="274">
        <v>200</v>
      </c>
      <c r="AC18" s="274">
        <v>150</v>
      </c>
      <c r="AD18" s="274">
        <v>130</v>
      </c>
      <c r="AE18" s="274">
        <v>110</v>
      </c>
      <c r="AF18" s="274">
        <v>95</v>
      </c>
      <c r="AG18" s="274">
        <v>80</v>
      </c>
      <c r="AH18" s="274">
        <v>70</v>
      </c>
      <c r="AI18" s="274">
        <v>60</v>
      </c>
      <c r="AJ18" s="274">
        <v>55</v>
      </c>
      <c r="AK18" s="274">
        <v>50</v>
      </c>
    </row>
    <row r="19" spans="1:37" x14ac:dyDescent="0.25">
      <c r="A19" s="219" t="s">
        <v>67</v>
      </c>
      <c r="B19" s="271">
        <v>5</v>
      </c>
      <c r="C19" s="205">
        <f>IF($B19="","",VLOOKUP($B19,'L14 csapat ELO'!$A$7:$O$22,5))</f>
        <v>0</v>
      </c>
      <c r="D19" s="205">
        <f>IF($B19="","",VLOOKUP($B19,'L14 csapat ELO'!$A$7:$O$22,15))</f>
        <v>101</v>
      </c>
      <c r="E19" s="201" t="str">
        <f>UPPER(IF($B19="","",VLOOKUP($B19,'L14 csapat ELO'!$A$7:$O$22,2)))</f>
        <v>SVSE II.</v>
      </c>
      <c r="F19" s="206"/>
      <c r="G19" s="201">
        <f>IF($B19="","",VLOOKUP($B19,'L14 csapat ELO'!$A$7:$O$22,3))</f>
        <v>0</v>
      </c>
      <c r="H19" s="206"/>
      <c r="I19" s="201">
        <f>IF($B19="","",VLOOKUP($B19,'L14 csapat ELO'!$A$7:$O$22,4))</f>
        <v>0</v>
      </c>
      <c r="J19" s="193"/>
      <c r="K19" s="327" t="s">
        <v>92</v>
      </c>
      <c r="L19" s="276"/>
      <c r="M19" s="281"/>
      <c r="Y19" s="274"/>
      <c r="Z19" s="274"/>
      <c r="AA19" s="274" t="s">
        <v>90</v>
      </c>
      <c r="AB19" s="274">
        <v>150</v>
      </c>
      <c r="AC19" s="274">
        <v>120</v>
      </c>
      <c r="AD19" s="274">
        <v>100</v>
      </c>
      <c r="AE19" s="274">
        <v>80</v>
      </c>
      <c r="AF19" s="274">
        <v>70</v>
      </c>
      <c r="AG19" s="274">
        <v>60</v>
      </c>
      <c r="AH19" s="274">
        <v>55</v>
      </c>
      <c r="AI19" s="274">
        <v>50</v>
      </c>
      <c r="AJ19" s="274">
        <v>45</v>
      </c>
      <c r="AK19" s="274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74"/>
      <c r="Z20" s="274"/>
      <c r="AA20" s="274" t="s">
        <v>91</v>
      </c>
      <c r="AB20" s="274">
        <v>120</v>
      </c>
      <c r="AC20" s="274">
        <v>90</v>
      </c>
      <c r="AD20" s="274">
        <v>65</v>
      </c>
      <c r="AE20" s="274">
        <v>55</v>
      </c>
      <c r="AF20" s="274">
        <v>50</v>
      </c>
      <c r="AG20" s="274">
        <v>45</v>
      </c>
      <c r="AH20" s="274">
        <v>40</v>
      </c>
      <c r="AI20" s="274">
        <v>35</v>
      </c>
      <c r="AJ20" s="274">
        <v>25</v>
      </c>
      <c r="AK20" s="274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74"/>
      <c r="Z21" s="274"/>
      <c r="AA21" s="274" t="s">
        <v>92</v>
      </c>
      <c r="AB21" s="274">
        <v>90</v>
      </c>
      <c r="AC21" s="274">
        <v>60</v>
      </c>
      <c r="AD21" s="274">
        <v>45</v>
      </c>
      <c r="AE21" s="274">
        <v>34</v>
      </c>
      <c r="AF21" s="274">
        <v>27</v>
      </c>
      <c r="AG21" s="274">
        <v>22</v>
      </c>
      <c r="AH21" s="274">
        <v>18</v>
      </c>
      <c r="AI21" s="274">
        <v>15</v>
      </c>
      <c r="AJ21" s="274">
        <v>12</v>
      </c>
      <c r="AK21" s="274">
        <v>9</v>
      </c>
    </row>
    <row r="22" spans="1:37" ht="18.75" customHeight="1" x14ac:dyDescent="0.25">
      <c r="A22" s="193"/>
      <c r="B22" s="331"/>
      <c r="C22" s="331"/>
      <c r="D22" s="332" t="str">
        <f>E7</f>
        <v>SVSE I.</v>
      </c>
      <c r="E22" s="332"/>
      <c r="F22" s="332" t="str">
        <f>E9</f>
        <v xml:space="preserve">BUD. HONVÉD </v>
      </c>
      <c r="G22" s="332"/>
      <c r="H22" s="332" t="str">
        <f>E11</f>
        <v>BBTC SE</v>
      </c>
      <c r="I22" s="332"/>
      <c r="J22" s="193"/>
      <c r="K22" s="193"/>
      <c r="L22" s="193"/>
      <c r="M22" s="257" t="s">
        <v>62</v>
      </c>
      <c r="Y22" s="274"/>
      <c r="Z22" s="274"/>
      <c r="AA22" s="274" t="s">
        <v>93</v>
      </c>
      <c r="AB22" s="274">
        <v>60</v>
      </c>
      <c r="AC22" s="274">
        <v>40</v>
      </c>
      <c r="AD22" s="274">
        <v>30</v>
      </c>
      <c r="AE22" s="274">
        <v>20</v>
      </c>
      <c r="AF22" s="274">
        <v>18</v>
      </c>
      <c r="AG22" s="274">
        <v>15</v>
      </c>
      <c r="AH22" s="274">
        <v>12</v>
      </c>
      <c r="AI22" s="274">
        <v>10</v>
      </c>
      <c r="AJ22" s="274">
        <v>8</v>
      </c>
      <c r="AK22" s="274">
        <v>6</v>
      </c>
    </row>
    <row r="23" spans="1:37" ht="18.75" customHeight="1" x14ac:dyDescent="0.25">
      <c r="A23" s="255" t="s">
        <v>58</v>
      </c>
      <c r="B23" s="333" t="str">
        <f>E7</f>
        <v>SVSE I.</v>
      </c>
      <c r="C23" s="333"/>
      <c r="D23" s="334"/>
      <c r="E23" s="334"/>
      <c r="F23" s="335" t="s">
        <v>137</v>
      </c>
      <c r="G23" s="336"/>
      <c r="H23" s="335" t="s">
        <v>135</v>
      </c>
      <c r="I23" s="336"/>
      <c r="J23" s="318"/>
      <c r="K23" s="318"/>
      <c r="L23" s="193"/>
      <c r="M23" s="258">
        <v>2</v>
      </c>
      <c r="Y23" s="274"/>
      <c r="Z23" s="274"/>
      <c r="AA23" s="274" t="s">
        <v>94</v>
      </c>
      <c r="AB23" s="274">
        <v>40</v>
      </c>
      <c r="AC23" s="274">
        <v>25</v>
      </c>
      <c r="AD23" s="274">
        <v>18</v>
      </c>
      <c r="AE23" s="274">
        <v>13</v>
      </c>
      <c r="AF23" s="274">
        <v>8</v>
      </c>
      <c r="AG23" s="274">
        <v>7</v>
      </c>
      <c r="AH23" s="274">
        <v>6</v>
      </c>
      <c r="AI23" s="274">
        <v>5</v>
      </c>
      <c r="AJ23" s="274">
        <v>4</v>
      </c>
      <c r="AK23" s="274">
        <v>3</v>
      </c>
    </row>
    <row r="24" spans="1:37" ht="18.75" customHeight="1" x14ac:dyDescent="0.25">
      <c r="A24" s="255" t="s">
        <v>59</v>
      </c>
      <c r="B24" s="333" t="str">
        <f>E9</f>
        <v xml:space="preserve">BUD. HONVÉD </v>
      </c>
      <c r="C24" s="333"/>
      <c r="D24" s="335" t="s">
        <v>136</v>
      </c>
      <c r="E24" s="336"/>
      <c r="F24" s="334"/>
      <c r="G24" s="334"/>
      <c r="H24" s="335" t="s">
        <v>135</v>
      </c>
      <c r="I24" s="336"/>
      <c r="J24" s="318"/>
      <c r="K24" s="318"/>
      <c r="L24" s="193"/>
      <c r="M24" s="258">
        <v>1</v>
      </c>
      <c r="Y24" s="274"/>
      <c r="Z24" s="274"/>
      <c r="AA24" s="274" t="s">
        <v>95</v>
      </c>
      <c r="AB24" s="274">
        <v>25</v>
      </c>
      <c r="AC24" s="274">
        <v>15</v>
      </c>
      <c r="AD24" s="274">
        <v>13</v>
      </c>
      <c r="AE24" s="274">
        <v>7</v>
      </c>
      <c r="AF24" s="274">
        <v>6</v>
      </c>
      <c r="AG24" s="274">
        <v>5</v>
      </c>
      <c r="AH24" s="274">
        <v>4</v>
      </c>
      <c r="AI24" s="274">
        <v>3</v>
      </c>
      <c r="AJ24" s="274">
        <v>2</v>
      </c>
      <c r="AK24" s="274">
        <v>1</v>
      </c>
    </row>
    <row r="25" spans="1:37" ht="18.75" customHeight="1" x14ac:dyDescent="0.25">
      <c r="A25" s="255" t="s">
        <v>60</v>
      </c>
      <c r="B25" s="333" t="str">
        <f>E11</f>
        <v>BBTC SE</v>
      </c>
      <c r="C25" s="333"/>
      <c r="D25" s="335" t="s">
        <v>134</v>
      </c>
      <c r="E25" s="336"/>
      <c r="F25" s="335" t="s">
        <v>134</v>
      </c>
      <c r="G25" s="336"/>
      <c r="H25" s="334"/>
      <c r="I25" s="334"/>
      <c r="J25" s="318"/>
      <c r="K25" s="318"/>
      <c r="L25" s="193"/>
      <c r="M25" s="258">
        <v>3</v>
      </c>
      <c r="Y25" s="274"/>
      <c r="Z25" s="274"/>
      <c r="AA25" s="274" t="s">
        <v>100</v>
      </c>
      <c r="AB25" s="274">
        <v>15</v>
      </c>
      <c r="AC25" s="274">
        <v>10</v>
      </c>
      <c r="AD25" s="274">
        <v>8</v>
      </c>
      <c r="AE25" s="274">
        <v>4</v>
      </c>
      <c r="AF25" s="274">
        <v>3</v>
      </c>
      <c r="AG25" s="274">
        <v>2</v>
      </c>
      <c r="AH25" s="274">
        <v>1</v>
      </c>
      <c r="AI25" s="274">
        <v>0</v>
      </c>
      <c r="AJ25" s="274">
        <v>0</v>
      </c>
      <c r="AK25" s="274">
        <v>0</v>
      </c>
    </row>
    <row r="26" spans="1:37" x14ac:dyDescent="0.25">
      <c r="A26" s="193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193"/>
      <c r="M26" s="259"/>
      <c r="Y26" s="274"/>
      <c r="Z26" s="274"/>
      <c r="AA26" s="274" t="s">
        <v>96</v>
      </c>
      <c r="AB26" s="274">
        <v>10</v>
      </c>
      <c r="AC26" s="274">
        <v>6</v>
      </c>
      <c r="AD26" s="274">
        <v>4</v>
      </c>
      <c r="AE26" s="274">
        <v>2</v>
      </c>
      <c r="AF26" s="274">
        <v>1</v>
      </c>
      <c r="AG26" s="274">
        <v>0</v>
      </c>
      <c r="AH26" s="274">
        <v>0</v>
      </c>
      <c r="AI26" s="274">
        <v>0</v>
      </c>
      <c r="AJ26" s="274">
        <v>0</v>
      </c>
      <c r="AK26" s="274">
        <v>0</v>
      </c>
    </row>
    <row r="27" spans="1:37" ht="18.75" customHeight="1" x14ac:dyDescent="0.25">
      <c r="A27" s="193"/>
      <c r="B27" s="337"/>
      <c r="C27" s="337"/>
      <c r="D27" s="338" t="str">
        <f>E13</f>
        <v>TENISZ MŰHELY</v>
      </c>
      <c r="E27" s="338"/>
      <c r="F27" s="338" t="str">
        <f>E15</f>
        <v>FORTUNA SE</v>
      </c>
      <c r="G27" s="338"/>
      <c r="H27" s="338" t="str">
        <f>E17</f>
        <v>VOLVEX TENISZ</v>
      </c>
      <c r="I27" s="338"/>
      <c r="J27" s="338" t="str">
        <f>E19</f>
        <v>SVSE II.</v>
      </c>
      <c r="K27" s="338"/>
      <c r="L27" s="193"/>
      <c r="M27" s="259"/>
      <c r="Y27" s="274"/>
      <c r="Z27" s="274"/>
      <c r="AA27" s="274" t="s">
        <v>97</v>
      </c>
      <c r="AB27" s="274">
        <v>3</v>
      </c>
      <c r="AC27" s="274">
        <v>2</v>
      </c>
      <c r="AD27" s="274">
        <v>1</v>
      </c>
      <c r="AE27" s="274">
        <v>0</v>
      </c>
      <c r="AF27" s="274">
        <v>0</v>
      </c>
      <c r="AG27" s="274">
        <v>0</v>
      </c>
      <c r="AH27" s="274">
        <v>0</v>
      </c>
      <c r="AI27" s="274">
        <v>0</v>
      </c>
      <c r="AJ27" s="274">
        <v>0</v>
      </c>
      <c r="AK27" s="274">
        <v>0</v>
      </c>
    </row>
    <row r="28" spans="1:37" ht="18.75" customHeight="1" x14ac:dyDescent="0.25">
      <c r="A28" s="255" t="s">
        <v>65</v>
      </c>
      <c r="B28" s="333" t="str">
        <f>E13</f>
        <v>TENISZ MŰHELY</v>
      </c>
      <c r="C28" s="333"/>
      <c r="D28" s="334"/>
      <c r="E28" s="334"/>
      <c r="F28" s="335" t="s">
        <v>136</v>
      </c>
      <c r="G28" s="336"/>
      <c r="H28" s="335" t="s">
        <v>135</v>
      </c>
      <c r="I28" s="336"/>
      <c r="J28" s="339" t="s">
        <v>135</v>
      </c>
      <c r="K28" s="338"/>
      <c r="L28" s="193"/>
      <c r="M28" s="258">
        <v>1</v>
      </c>
    </row>
    <row r="29" spans="1:37" ht="18.75" customHeight="1" x14ac:dyDescent="0.25">
      <c r="A29" s="255" t="s">
        <v>66</v>
      </c>
      <c r="B29" s="333" t="str">
        <f>E15</f>
        <v>FORTUNA SE</v>
      </c>
      <c r="C29" s="333"/>
      <c r="D29" s="335" t="s">
        <v>137</v>
      </c>
      <c r="E29" s="336"/>
      <c r="F29" s="334"/>
      <c r="G29" s="334"/>
      <c r="H29" s="335" t="s">
        <v>137</v>
      </c>
      <c r="I29" s="336"/>
      <c r="J29" s="335" t="s">
        <v>143</v>
      </c>
      <c r="K29" s="336"/>
      <c r="L29" s="193"/>
      <c r="M29" s="258">
        <v>4</v>
      </c>
    </row>
    <row r="30" spans="1:37" ht="18.75" customHeight="1" x14ac:dyDescent="0.25">
      <c r="A30" s="255" t="s">
        <v>67</v>
      </c>
      <c r="B30" s="333" t="str">
        <f>E17</f>
        <v>VOLVEX TENISZ</v>
      </c>
      <c r="C30" s="333"/>
      <c r="D30" s="335" t="s">
        <v>134</v>
      </c>
      <c r="E30" s="336"/>
      <c r="F30" s="335" t="s">
        <v>136</v>
      </c>
      <c r="G30" s="336"/>
      <c r="H30" s="334"/>
      <c r="I30" s="334"/>
      <c r="J30" s="335" t="s">
        <v>135</v>
      </c>
      <c r="K30" s="336"/>
      <c r="L30" s="193"/>
      <c r="M30" s="258">
        <v>2</v>
      </c>
    </row>
    <row r="31" spans="1:37" ht="18.75" customHeight="1" x14ac:dyDescent="0.25">
      <c r="A31" s="255" t="s">
        <v>71</v>
      </c>
      <c r="B31" s="333" t="str">
        <f>E19</f>
        <v>SVSE II.</v>
      </c>
      <c r="C31" s="333"/>
      <c r="D31" s="335" t="s">
        <v>134</v>
      </c>
      <c r="E31" s="336"/>
      <c r="F31" s="335" t="s">
        <v>144</v>
      </c>
      <c r="G31" s="336"/>
      <c r="H31" s="339" t="s">
        <v>134</v>
      </c>
      <c r="I31" s="338"/>
      <c r="J31" s="334"/>
      <c r="K31" s="334"/>
      <c r="L31" s="193"/>
      <c r="M31" s="258">
        <v>3</v>
      </c>
    </row>
    <row r="32" spans="1:37" ht="18.75" customHeight="1" x14ac:dyDescent="0.25">
      <c r="A32" s="260"/>
      <c r="B32" s="319"/>
      <c r="C32" s="319"/>
      <c r="D32" s="320"/>
      <c r="E32" s="320"/>
      <c r="F32" s="320"/>
      <c r="G32" s="320"/>
      <c r="H32" s="320"/>
      <c r="I32" s="320"/>
      <c r="J32" s="318"/>
      <c r="K32" s="318"/>
      <c r="L32" s="193"/>
      <c r="M32" s="261"/>
    </row>
    <row r="33" spans="1:19" x14ac:dyDescent="0.25">
      <c r="A33" s="193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193"/>
      <c r="M33" s="193"/>
    </row>
    <row r="34" spans="1:19" x14ac:dyDescent="0.25">
      <c r="A34" s="193" t="s">
        <v>52</v>
      </c>
      <c r="B34" s="318"/>
      <c r="C34" s="341" t="str">
        <f>IF(M23=1,B23,IF(M24=1,B24,IF(M25=1,B25,"")))</f>
        <v xml:space="preserve">BUD. HONVÉD </v>
      </c>
      <c r="D34" s="341"/>
      <c r="E34" s="321" t="s">
        <v>69</v>
      </c>
      <c r="F34" s="340" t="str">
        <f>IF(M28=1,B28,IF(M29=1,B29,IF(M30=1,B30,IF(M31=1,B31,""))))</f>
        <v>TENISZ MŰHELY</v>
      </c>
      <c r="G34" s="340"/>
      <c r="H34" s="318"/>
      <c r="I34" s="323" t="s">
        <v>145</v>
      </c>
      <c r="J34" s="318"/>
      <c r="K34" s="318"/>
      <c r="L34" s="193"/>
      <c r="M34" s="193"/>
    </row>
    <row r="35" spans="1:19" x14ac:dyDescent="0.25">
      <c r="A35" s="193"/>
      <c r="B35" s="318"/>
      <c r="C35" s="318"/>
      <c r="D35" s="318"/>
      <c r="E35" s="318"/>
      <c r="F35" s="321"/>
      <c r="G35" s="321"/>
      <c r="H35" s="318"/>
      <c r="I35" s="326"/>
      <c r="J35" s="318"/>
      <c r="K35" s="318"/>
      <c r="L35" s="193"/>
      <c r="M35" s="193"/>
    </row>
    <row r="36" spans="1:19" x14ac:dyDescent="0.25">
      <c r="A36" s="193" t="s">
        <v>68</v>
      </c>
      <c r="B36" s="318"/>
      <c r="C36" s="340" t="str">
        <f>IF(M23=2,B23,IF(M24=2,B24,IF(M25=2,B25,"")))</f>
        <v>SVSE I.</v>
      </c>
      <c r="D36" s="340"/>
      <c r="E36" s="321" t="s">
        <v>69</v>
      </c>
      <c r="F36" s="341" t="str">
        <f>IF(M28=2,B28,IF(M29=2,B29,IF(M30=2,B30,IF(M31=2,B31,""))))</f>
        <v>VOLVEX TENISZ</v>
      </c>
      <c r="G36" s="341"/>
      <c r="H36" s="318"/>
      <c r="I36" s="323" t="s">
        <v>136</v>
      </c>
      <c r="J36" s="318"/>
      <c r="K36" s="318"/>
      <c r="L36" s="193"/>
      <c r="M36" s="193"/>
    </row>
    <row r="37" spans="1:19" x14ac:dyDescent="0.25">
      <c r="A37" s="193"/>
      <c r="B37" s="318"/>
      <c r="C37" s="322"/>
      <c r="D37" s="322"/>
      <c r="E37" s="321"/>
      <c r="F37" s="322"/>
      <c r="G37" s="322"/>
      <c r="H37" s="318"/>
      <c r="I37" s="326"/>
      <c r="J37" s="318"/>
      <c r="K37" s="318"/>
      <c r="L37" s="193"/>
      <c r="M37" s="193"/>
    </row>
    <row r="38" spans="1:19" x14ac:dyDescent="0.25">
      <c r="A38" s="193" t="s">
        <v>70</v>
      </c>
      <c r="B38" s="318"/>
      <c r="C38" s="341" t="str">
        <f>IF(M23=3,B23,IF(M24=3,B24,IF(M25=3,B25,"")))</f>
        <v>BBTC SE</v>
      </c>
      <c r="D38" s="341"/>
      <c r="E38" s="321" t="s">
        <v>69</v>
      </c>
      <c r="F38" s="340" t="str">
        <f>IF(M28=3,B28,IF(M29=3,B29,IF(M30=3,B30,IF(M31=3,B31,""))))</f>
        <v>SVSE II.</v>
      </c>
      <c r="G38" s="340"/>
      <c r="H38" s="318"/>
      <c r="I38" s="323" t="s">
        <v>135</v>
      </c>
      <c r="J38" s="318"/>
      <c r="K38" s="318"/>
      <c r="L38" s="193"/>
      <c r="M38" s="193"/>
    </row>
    <row r="39" spans="1:19" x14ac:dyDescent="0.25">
      <c r="A39" s="193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9" x14ac:dyDescent="0.25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2"/>
      <c r="M40" s="193"/>
      <c r="O40" s="211"/>
      <c r="P40" s="211"/>
      <c r="Q40" s="211"/>
      <c r="R40" s="211"/>
      <c r="S40" s="211"/>
    </row>
    <row r="41" spans="1:19" x14ac:dyDescent="0.25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1"/>
      <c r="P41" s="221"/>
      <c r="Q41" s="221"/>
      <c r="R41" s="222"/>
      <c r="S41" s="211"/>
    </row>
    <row r="42" spans="1:19" x14ac:dyDescent="0.25">
      <c r="A42" s="196" t="s">
        <v>39</v>
      </c>
      <c r="B42" s="197"/>
      <c r="C42" s="198"/>
      <c r="D42" s="229">
        <v>1</v>
      </c>
      <c r="E42" s="342" t="str">
        <f>IF(D42&gt;$R$44,,UPPER(VLOOKUP(D42,'L14 csapat ELO'!$A$7:$Q$134,2)))</f>
        <v>SVSE I.</v>
      </c>
      <c r="F42" s="342"/>
      <c r="G42" s="240" t="s">
        <v>3</v>
      </c>
      <c r="H42" s="197"/>
      <c r="I42" s="230"/>
      <c r="J42" s="241"/>
      <c r="K42" s="194" t="s">
        <v>41</v>
      </c>
      <c r="L42" s="247"/>
      <c r="M42" s="231"/>
      <c r="O42" s="211"/>
      <c r="P42" s="223"/>
      <c r="Q42" s="223"/>
      <c r="R42" s="224"/>
      <c r="S42" s="211"/>
    </row>
    <row r="43" spans="1:19" x14ac:dyDescent="0.25">
      <c r="A43" s="199" t="s">
        <v>48</v>
      </c>
      <c r="B43" s="117"/>
      <c r="C43" s="200"/>
      <c r="D43" s="232">
        <v>2</v>
      </c>
      <c r="E43" s="343" t="str">
        <f>IF(D43&gt;$R$44,,UPPER(VLOOKUP(D43,'L14 csapat ELO'!$A$7:$Q$134,2)))</f>
        <v>TENISZ MŰHELY</v>
      </c>
      <c r="F43" s="343"/>
      <c r="G43" s="242" t="s">
        <v>4</v>
      </c>
      <c r="H43" s="233"/>
      <c r="I43" s="234"/>
      <c r="J43" s="82"/>
      <c r="K43" s="244"/>
      <c r="L43" s="192"/>
      <c r="M43" s="239"/>
      <c r="O43" s="211"/>
      <c r="P43" s="224"/>
      <c r="Q43" s="225"/>
      <c r="R43" s="224"/>
      <c r="S43" s="211"/>
    </row>
    <row r="44" spans="1:19" x14ac:dyDescent="0.25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4" t="s">
        <v>42</v>
      </c>
      <c r="L44" s="247"/>
      <c r="M44" s="231"/>
      <c r="O44" s="211"/>
      <c r="P44" s="223"/>
      <c r="Q44" s="223"/>
      <c r="R44" s="226">
        <f>MIN(4,'L14 csapat ELO'!Q2)</f>
        <v>4</v>
      </c>
      <c r="S44" s="211"/>
    </row>
    <row r="45" spans="1:19" x14ac:dyDescent="0.25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1"/>
      <c r="P45" s="224"/>
      <c r="Q45" s="225"/>
      <c r="R45" s="224"/>
      <c r="S45" s="211"/>
    </row>
    <row r="46" spans="1:19" x14ac:dyDescent="0.25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199"/>
      <c r="L46" s="192"/>
      <c r="M46" s="239"/>
      <c r="O46" s="211"/>
      <c r="P46" s="224"/>
      <c r="Q46" s="225"/>
      <c r="R46" s="224"/>
      <c r="S46" s="211"/>
    </row>
    <row r="47" spans="1:19" x14ac:dyDescent="0.25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4" t="s">
        <v>31</v>
      </c>
      <c r="L47" s="247"/>
      <c r="M47" s="231"/>
      <c r="O47" s="211"/>
      <c r="P47" s="223"/>
      <c r="Q47" s="223"/>
      <c r="R47" s="224"/>
      <c r="S47" s="211"/>
    </row>
    <row r="48" spans="1:19" x14ac:dyDescent="0.25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1"/>
      <c r="P48" s="224"/>
      <c r="Q48" s="225"/>
      <c r="R48" s="224"/>
      <c r="S48" s="211"/>
    </row>
    <row r="49" spans="1:19" x14ac:dyDescent="0.25">
      <c r="A49" s="123"/>
      <c r="B49" s="120"/>
      <c r="C49" s="131"/>
      <c r="D49" s="238"/>
      <c r="E49" s="114"/>
      <c r="F49" s="192"/>
      <c r="G49" s="243" t="s">
        <v>10</v>
      </c>
      <c r="H49" s="117"/>
      <c r="I49" s="195"/>
      <c r="J49" s="115"/>
      <c r="K49" s="199" t="str">
        <f>L4</f>
        <v>Rákóczi Andrea</v>
      </c>
      <c r="L49" s="192"/>
      <c r="M49" s="239"/>
      <c r="O49" s="211"/>
      <c r="P49" s="224"/>
      <c r="Q49" s="225"/>
      <c r="R49" s="226"/>
      <c r="S49" s="211"/>
    </row>
    <row r="50" spans="1:19" x14ac:dyDescent="0.25">
      <c r="O50" s="211"/>
      <c r="P50" s="211"/>
      <c r="Q50" s="211"/>
      <c r="R50" s="211"/>
      <c r="S50" s="211"/>
    </row>
    <row r="51" spans="1:19" x14ac:dyDescent="0.25">
      <c r="O51" s="211"/>
      <c r="P51" s="211"/>
      <c r="Q51" s="211"/>
      <c r="R51" s="211"/>
      <c r="S51" s="211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21" priority="2" stopIfTrue="1">
      <formula>$O$1="CU"</formula>
    </cfRule>
  </conditionalFormatting>
  <conditionalFormatting sqref="E7 E9 E11 E13 E15 E17 E19">
    <cfRule type="cellIs" dxfId="2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8233-C2D2-4805-8580-8003DF6054C3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T11" sqref="T11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39" customWidth="1"/>
    <col min="5" max="5" width="12.109375" style="301" customWidth="1"/>
    <col min="6" max="6" width="6.109375" style="88" hidden="1" customWidth="1"/>
    <col min="7" max="7" width="29.8867187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5" t="str">
        <f>Altalanos!$C$8</f>
        <v>L16 csapat</v>
      </c>
      <c r="D2" s="99"/>
      <c r="E2" s="159" t="s">
        <v>32</v>
      </c>
      <c r="F2" s="89"/>
      <c r="G2" s="89"/>
      <c r="H2" s="293"/>
      <c r="I2" s="293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6" t="s">
        <v>45</v>
      </c>
      <c r="B3" s="291"/>
      <c r="C3" s="291"/>
      <c r="D3" s="291"/>
      <c r="E3" s="291"/>
      <c r="F3" s="291"/>
      <c r="G3" s="291"/>
      <c r="H3" s="291"/>
      <c r="I3" s="292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303" t="s">
        <v>28</v>
      </c>
      <c r="I4" s="298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4"/>
      <c r="J5" s="106"/>
      <c r="K5" s="81"/>
      <c r="L5" s="81"/>
      <c r="M5" s="81"/>
      <c r="N5" s="106"/>
      <c r="O5" s="87"/>
      <c r="P5" s="87"/>
      <c r="Q5" s="307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107</v>
      </c>
      <c r="H6" s="294" t="s">
        <v>35</v>
      </c>
      <c r="I6" s="295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129</v>
      </c>
      <c r="C7" s="90"/>
      <c r="D7" s="91"/>
      <c r="E7" s="162"/>
      <c r="F7" s="287"/>
      <c r="G7" s="288"/>
      <c r="H7" s="91"/>
      <c r="I7" s="91"/>
      <c r="J7" s="144"/>
      <c r="K7" s="142"/>
      <c r="L7" s="146"/>
      <c r="M7" s="142"/>
      <c r="N7" s="137"/>
      <c r="O7" s="312">
        <v>8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125</v>
      </c>
      <c r="C8" s="90"/>
      <c r="D8" s="91"/>
      <c r="E8" s="162"/>
      <c r="F8" s="289"/>
      <c r="G8" s="290"/>
      <c r="H8" s="91"/>
      <c r="I8" s="91"/>
      <c r="J8" s="144"/>
      <c r="K8" s="142"/>
      <c r="L8" s="146"/>
      <c r="M8" s="142"/>
      <c r="N8" s="137"/>
      <c r="O8" s="91">
        <v>36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124</v>
      </c>
      <c r="C9" s="90"/>
      <c r="D9" s="91"/>
      <c r="E9" s="162"/>
      <c r="F9" s="289"/>
      <c r="G9" s="290"/>
      <c r="H9" s="91"/>
      <c r="I9" s="91"/>
      <c r="J9" s="144"/>
      <c r="K9" s="142"/>
      <c r="L9" s="146"/>
      <c r="M9" s="142"/>
      <c r="N9" s="137"/>
      <c r="O9" s="91">
        <v>56</v>
      </c>
      <c r="P9" s="300"/>
      <c r="Q9" s="167"/>
    </row>
    <row r="10" spans="1:17" s="11" customFormat="1" ht="18.899999999999999" customHeight="1" x14ac:dyDescent="0.25">
      <c r="A10" s="147">
        <v>4</v>
      </c>
      <c r="B10" s="90" t="s">
        <v>130</v>
      </c>
      <c r="C10" s="90"/>
      <c r="D10" s="91"/>
      <c r="E10" s="162"/>
      <c r="F10" s="289"/>
      <c r="G10" s="290"/>
      <c r="H10" s="91"/>
      <c r="I10" s="91"/>
      <c r="J10" s="144"/>
      <c r="K10" s="142"/>
      <c r="L10" s="146"/>
      <c r="M10" s="142"/>
      <c r="N10" s="137"/>
      <c r="O10" s="91">
        <v>62</v>
      </c>
      <c r="P10" s="299"/>
      <c r="Q10" s="296"/>
    </row>
    <row r="11" spans="1:17" s="11" customFormat="1" ht="18.899999999999999" customHeight="1" x14ac:dyDescent="0.25">
      <c r="A11" s="147">
        <v>5</v>
      </c>
      <c r="B11" s="90" t="s">
        <v>131</v>
      </c>
      <c r="C11" s="90"/>
      <c r="D11" s="91"/>
      <c r="E11" s="162"/>
      <c r="F11" s="289"/>
      <c r="G11" s="290"/>
      <c r="H11" s="91"/>
      <c r="I11" s="91"/>
      <c r="J11" s="144"/>
      <c r="K11" s="142"/>
      <c r="L11" s="146"/>
      <c r="M11" s="142"/>
      <c r="N11" s="137"/>
      <c r="O11" s="91">
        <v>106</v>
      </c>
      <c r="P11" s="299"/>
      <c r="Q11" s="296"/>
    </row>
    <row r="12" spans="1:17" s="11" customFormat="1" ht="18.899999999999999" customHeight="1" x14ac:dyDescent="0.25">
      <c r="A12" s="147">
        <v>6</v>
      </c>
      <c r="B12" s="90"/>
      <c r="C12" s="90"/>
      <c r="D12" s="91"/>
      <c r="E12" s="162"/>
      <c r="F12" s="289"/>
      <c r="G12" s="290"/>
      <c r="H12" s="91"/>
      <c r="I12" s="91"/>
      <c r="J12" s="144"/>
      <c r="K12" s="142"/>
      <c r="L12" s="146"/>
      <c r="M12" s="142"/>
      <c r="N12" s="137"/>
      <c r="O12" s="91"/>
      <c r="P12" s="299"/>
      <c r="Q12" s="296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9"/>
      <c r="G13" s="290"/>
      <c r="H13" s="91"/>
      <c r="I13" s="91"/>
      <c r="J13" s="144"/>
      <c r="K13" s="142"/>
      <c r="L13" s="146"/>
      <c r="M13" s="142"/>
      <c r="N13" s="137"/>
      <c r="O13" s="91"/>
      <c r="P13" s="299"/>
      <c r="Q13" s="296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9"/>
      <c r="G14" s="290"/>
      <c r="H14" s="91"/>
      <c r="I14" s="91"/>
      <c r="J14" s="144"/>
      <c r="K14" s="142"/>
      <c r="L14" s="146"/>
      <c r="M14" s="142"/>
      <c r="N14" s="137"/>
      <c r="O14" s="91"/>
      <c r="P14" s="299"/>
      <c r="Q14" s="296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1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3"/>
      <c r="F28" s="305"/>
      <c r="G28" s="306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4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302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7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7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7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7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7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7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7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7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7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7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7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7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7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7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7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7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7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7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7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7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7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7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7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7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7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7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7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7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7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7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7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7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7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7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7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7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7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7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7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7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7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7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7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7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7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7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7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7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7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7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7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7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7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7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7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7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7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7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7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7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7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7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7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7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7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7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7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7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7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7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7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7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7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7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7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7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7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7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7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7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7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7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7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7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7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7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7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7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7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7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7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7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7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7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7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7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7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7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7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7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7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7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7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7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7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7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7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7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7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7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7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7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7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7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7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7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7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7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7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E238-3581-4527-B708-D1CEA6BC0232}">
  <sheetPr codeName="Munka25">
    <tabColor indexed="11"/>
  </sheetPr>
  <dimension ref="A1:AK43"/>
  <sheetViews>
    <sheetView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29" t="str">
        <f>Altalanos!$A$6</f>
        <v>OB</v>
      </c>
      <c r="B1" s="329"/>
      <c r="C1" s="329"/>
      <c r="D1" s="329"/>
      <c r="E1" s="329"/>
      <c r="F1" s="329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80" t="e">
        <f>IF(Y5=1,CONCATENATE(VLOOKUP(Y3,AA16:AH27,2)),CONCATENATE(VLOOKUP(Y3,AA2:AK13,2)))</f>
        <v>#N/A</v>
      </c>
      <c r="AC1" s="280" t="e">
        <f>IF(Y5=1,CONCATENATE(VLOOKUP(Y3,AA16:AK27,3)),CONCATENATE(VLOOKUP(Y3,AA2:AK13,3)))</f>
        <v>#N/A</v>
      </c>
      <c r="AD1" s="280" t="e">
        <f>IF(Y5=1,CONCATENATE(VLOOKUP(Y3,AA16:AK27,4)),CONCATENATE(VLOOKUP(Y3,AA2:AK13,4)))</f>
        <v>#N/A</v>
      </c>
      <c r="AE1" s="280" t="e">
        <f>IF(Y5=1,CONCATENATE(VLOOKUP(Y3,AA16:AK27,5)),CONCATENATE(VLOOKUP(Y3,AA2:AK13,5)))</f>
        <v>#N/A</v>
      </c>
      <c r="AF1" s="280" t="e">
        <f>IF(Y5=1,CONCATENATE(VLOOKUP(Y3,AA16:AK27,6)),CONCATENATE(VLOOKUP(Y3,AA2:AK13,6)))</f>
        <v>#N/A</v>
      </c>
      <c r="AG1" s="280" t="e">
        <f>IF(Y5=1,CONCATENATE(VLOOKUP(Y3,AA16:AK27,7)),CONCATENATE(VLOOKUP(Y3,AA2:AK13,7)))</f>
        <v>#N/A</v>
      </c>
      <c r="AH1" s="280" t="e">
        <f>IF(Y5=1,CONCATENATE(VLOOKUP(Y3,AA16:AK27,8)),CONCATENATE(VLOOKUP(Y3,AA2:AK13,8)))</f>
        <v>#N/A</v>
      </c>
      <c r="AI1" s="280" t="e">
        <f>IF(Y5=1,CONCATENATE(VLOOKUP(Y3,AA16:AK27,9)),CONCATENATE(VLOOKUP(Y3,AA2:AK13,9)))</f>
        <v>#N/A</v>
      </c>
      <c r="AJ1" s="280" t="e">
        <f>IF(Y5=1,CONCATENATE(VLOOKUP(Y3,AA16:AK27,10)),CONCATENATE(VLOOKUP(Y3,AA2:AK13,10)))</f>
        <v>#N/A</v>
      </c>
      <c r="AK1" s="280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16" t="str">
        <f>Altalanos!$C$8</f>
        <v>L16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5"/>
      <c r="Z2" s="274"/>
      <c r="AA2" s="274" t="s">
        <v>58</v>
      </c>
      <c r="AB2" s="278">
        <v>150</v>
      </c>
      <c r="AC2" s="278">
        <v>120</v>
      </c>
      <c r="AD2" s="278">
        <v>100</v>
      </c>
      <c r="AE2" s="278">
        <v>80</v>
      </c>
      <c r="AF2" s="278">
        <v>70</v>
      </c>
      <c r="AG2" s="278">
        <v>60</v>
      </c>
      <c r="AH2" s="278">
        <v>55</v>
      </c>
      <c r="AI2" s="278">
        <v>50</v>
      </c>
      <c r="AJ2" s="278">
        <v>45</v>
      </c>
      <c r="AK2" s="278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14"/>
      <c r="R3" s="216"/>
      <c r="S3" s="211"/>
      <c r="Y3" s="274">
        <f>IF(H4="OB","A",IF(H4="IX","W",H4))</f>
        <v>0</v>
      </c>
      <c r="Z3" s="274"/>
      <c r="AA3" s="274" t="s">
        <v>88</v>
      </c>
      <c r="AB3" s="278">
        <v>120</v>
      </c>
      <c r="AC3" s="278">
        <v>90</v>
      </c>
      <c r="AD3" s="278">
        <v>65</v>
      </c>
      <c r="AE3" s="278">
        <v>55</v>
      </c>
      <c r="AF3" s="278">
        <v>50</v>
      </c>
      <c r="AG3" s="278">
        <v>45</v>
      </c>
      <c r="AH3" s="278">
        <v>40</v>
      </c>
      <c r="AI3" s="278">
        <v>35</v>
      </c>
      <c r="AJ3" s="278">
        <v>25</v>
      </c>
      <c r="AK3" s="278">
        <v>20</v>
      </c>
    </row>
    <row r="4" spans="1:37" ht="13.8" thickBot="1" x14ac:dyDescent="0.3">
      <c r="A4" s="330" t="str">
        <f>Altalanos!$A$10</f>
        <v>2024.08.27.-09.01</v>
      </c>
      <c r="B4" s="330"/>
      <c r="C4" s="330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7"/>
      <c r="O4" s="218"/>
      <c r="P4" s="263" t="s">
        <v>72</v>
      </c>
      <c r="Q4" s="264" t="s">
        <v>81</v>
      </c>
      <c r="R4" s="264" t="s">
        <v>77</v>
      </c>
      <c r="S4" s="262"/>
      <c r="Y4" s="274"/>
      <c r="Z4" s="274"/>
      <c r="AA4" s="274" t="s">
        <v>89</v>
      </c>
      <c r="AB4" s="278">
        <v>90</v>
      </c>
      <c r="AC4" s="278">
        <v>60</v>
      </c>
      <c r="AD4" s="278">
        <v>45</v>
      </c>
      <c r="AE4" s="278">
        <v>34</v>
      </c>
      <c r="AF4" s="278">
        <v>27</v>
      </c>
      <c r="AG4" s="278">
        <v>22</v>
      </c>
      <c r="AH4" s="278">
        <v>18</v>
      </c>
      <c r="AI4" s="278">
        <v>15</v>
      </c>
      <c r="AJ4" s="278">
        <v>12</v>
      </c>
      <c r="AK4" s="278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1"/>
      <c r="O5" s="211"/>
      <c r="P5" s="265" t="s">
        <v>79</v>
      </c>
      <c r="Q5" s="266" t="s">
        <v>75</v>
      </c>
      <c r="R5" s="266" t="s">
        <v>82</v>
      </c>
      <c r="S5" s="262"/>
      <c r="Y5" s="274">
        <f>IF(OR(Altalanos!$A$8="F1",Altalanos!$A$8="F2",Altalanos!$A$8="N1",Altalanos!$A$8="N2"),1,2)</f>
        <v>2</v>
      </c>
      <c r="Z5" s="274"/>
      <c r="AA5" s="274" t="s">
        <v>90</v>
      </c>
      <c r="AB5" s="278">
        <v>60</v>
      </c>
      <c r="AC5" s="278">
        <v>40</v>
      </c>
      <c r="AD5" s="278">
        <v>30</v>
      </c>
      <c r="AE5" s="278">
        <v>20</v>
      </c>
      <c r="AF5" s="278">
        <v>18</v>
      </c>
      <c r="AG5" s="278">
        <v>15</v>
      </c>
      <c r="AH5" s="278">
        <v>12</v>
      </c>
      <c r="AI5" s="278">
        <v>10</v>
      </c>
      <c r="AJ5" s="278">
        <v>8</v>
      </c>
      <c r="AK5" s="278">
        <v>6</v>
      </c>
    </row>
    <row r="6" spans="1:37" x14ac:dyDescent="0.25">
      <c r="A6" s="193"/>
      <c r="B6" s="193"/>
      <c r="C6" s="248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67" t="s">
        <v>80</v>
      </c>
      <c r="Q6" s="268" t="s">
        <v>83</v>
      </c>
      <c r="R6" s="268" t="s">
        <v>78</v>
      </c>
      <c r="S6" s="262"/>
      <c r="Y6" s="274"/>
      <c r="Z6" s="274"/>
      <c r="AA6" s="274" t="s">
        <v>91</v>
      </c>
      <c r="AB6" s="278">
        <v>40</v>
      </c>
      <c r="AC6" s="278">
        <v>25</v>
      </c>
      <c r="AD6" s="278">
        <v>18</v>
      </c>
      <c r="AE6" s="278">
        <v>13</v>
      </c>
      <c r="AF6" s="278">
        <v>10</v>
      </c>
      <c r="AG6" s="278">
        <v>8</v>
      </c>
      <c r="AH6" s="278">
        <v>6</v>
      </c>
      <c r="AI6" s="278">
        <v>5</v>
      </c>
      <c r="AJ6" s="278">
        <v>4</v>
      </c>
      <c r="AK6" s="278">
        <v>3</v>
      </c>
    </row>
    <row r="7" spans="1:37" x14ac:dyDescent="0.25">
      <c r="A7" s="219" t="s">
        <v>58</v>
      </c>
      <c r="B7" s="250">
        <v>2</v>
      </c>
      <c r="C7" s="252">
        <f>IF($B7="","",VLOOKUP($B7,'L16 csapat ELO'!$A$7:$O$22,5))</f>
        <v>0</v>
      </c>
      <c r="D7" s="252">
        <f>IF($B7="","",VLOOKUP($B7,'L16 csapat ELO'!$A$7:$O$22,15))</f>
        <v>36</v>
      </c>
      <c r="E7" s="344" t="str">
        <f>UPPER(IF($B7="","",VLOOKUP($B7,'L16 csapat ELO'!$A$7:$O$22,2)))</f>
        <v>SVSE I.</v>
      </c>
      <c r="F7" s="344"/>
      <c r="G7" s="344">
        <f>IF($B7="","",VLOOKUP($B7,'L16 csapat ELO'!$A$7:$O$22,3))</f>
        <v>0</v>
      </c>
      <c r="H7" s="344"/>
      <c r="I7" s="253">
        <f>IF($B7="","",VLOOKUP($B7,'L16 csapat ELO'!$A$7:$O$22,4))</f>
        <v>0</v>
      </c>
      <c r="J7" s="193"/>
      <c r="K7" s="324" t="s">
        <v>140</v>
      </c>
      <c r="L7" s="276"/>
      <c r="M7" s="281"/>
      <c r="N7" s="211"/>
      <c r="O7" s="211"/>
      <c r="P7" s="263" t="s">
        <v>86</v>
      </c>
      <c r="Q7" s="264" t="s">
        <v>74</v>
      </c>
      <c r="R7" s="264" t="s">
        <v>84</v>
      </c>
      <c r="S7" s="211"/>
      <c r="Y7" s="274"/>
      <c r="Z7" s="274"/>
      <c r="AA7" s="274" t="s">
        <v>92</v>
      </c>
      <c r="AB7" s="278">
        <v>25</v>
      </c>
      <c r="AC7" s="278">
        <v>15</v>
      </c>
      <c r="AD7" s="278">
        <v>13</v>
      </c>
      <c r="AE7" s="278">
        <v>8</v>
      </c>
      <c r="AF7" s="278">
        <v>6</v>
      </c>
      <c r="AG7" s="278">
        <v>4</v>
      </c>
      <c r="AH7" s="278">
        <v>3</v>
      </c>
      <c r="AI7" s="278">
        <v>2</v>
      </c>
      <c r="AJ7" s="278">
        <v>1</v>
      </c>
      <c r="AK7" s="278">
        <v>0</v>
      </c>
    </row>
    <row r="8" spans="1:37" x14ac:dyDescent="0.25">
      <c r="A8" s="219"/>
      <c r="B8" s="251"/>
      <c r="C8" s="254"/>
      <c r="D8" s="254"/>
      <c r="E8" s="254"/>
      <c r="F8" s="254"/>
      <c r="G8" s="254"/>
      <c r="H8" s="254"/>
      <c r="I8" s="254"/>
      <c r="J8" s="193"/>
      <c r="K8" s="256"/>
      <c r="L8" s="219"/>
      <c r="M8" s="282"/>
      <c r="N8" s="211"/>
      <c r="O8" s="211"/>
      <c r="P8" s="265" t="s">
        <v>87</v>
      </c>
      <c r="Q8" s="266" t="s">
        <v>76</v>
      </c>
      <c r="R8" s="266" t="s">
        <v>85</v>
      </c>
      <c r="S8" s="211"/>
      <c r="Y8" s="274"/>
      <c r="Z8" s="274"/>
      <c r="AA8" s="274" t="s">
        <v>93</v>
      </c>
      <c r="AB8" s="278">
        <v>15</v>
      </c>
      <c r="AC8" s="278">
        <v>10</v>
      </c>
      <c r="AD8" s="278">
        <v>7</v>
      </c>
      <c r="AE8" s="278">
        <v>5</v>
      </c>
      <c r="AF8" s="278">
        <v>4</v>
      </c>
      <c r="AG8" s="278">
        <v>3</v>
      </c>
      <c r="AH8" s="278">
        <v>2</v>
      </c>
      <c r="AI8" s="278">
        <v>1</v>
      </c>
      <c r="AJ8" s="278">
        <v>0</v>
      </c>
      <c r="AK8" s="278">
        <v>0</v>
      </c>
    </row>
    <row r="9" spans="1:37" x14ac:dyDescent="0.25">
      <c r="A9" s="219" t="s">
        <v>59</v>
      </c>
      <c r="B9" s="250">
        <v>1</v>
      </c>
      <c r="C9" s="252">
        <f>IF($B9="","",VLOOKUP($B9,'L16 csapat ELO'!$A$7:$O$22,5))</f>
        <v>0</v>
      </c>
      <c r="D9" s="252">
        <f>IF($B9="","",VLOOKUP($B9,'L16 csapat ELO'!$A$7:$O$22,15))</f>
        <v>8</v>
      </c>
      <c r="E9" s="344" t="str">
        <f>UPPER(IF($B9="","",VLOOKUP($B9,'L16 csapat ELO'!$A$7:$O$22,2)))</f>
        <v>TENISZ MŰHELY</v>
      </c>
      <c r="F9" s="344"/>
      <c r="G9" s="344">
        <f>IF($B9="","",VLOOKUP($B9,'L16 csapat ELO'!$A$7:$O$22,3))</f>
        <v>0</v>
      </c>
      <c r="H9" s="344"/>
      <c r="I9" s="253">
        <f>IF($B9="","",VLOOKUP($B9,'L16 csapat ELO'!$A$7:$O$22,4))</f>
        <v>0</v>
      </c>
      <c r="J9" s="193"/>
      <c r="K9" s="324" t="s">
        <v>141</v>
      </c>
      <c r="L9" s="276"/>
      <c r="M9" s="281"/>
      <c r="N9" s="211"/>
      <c r="O9" s="211"/>
      <c r="P9" s="211"/>
      <c r="Q9" s="211"/>
      <c r="R9" s="211"/>
      <c r="S9" s="211"/>
      <c r="Y9" s="274"/>
      <c r="Z9" s="274"/>
      <c r="AA9" s="274" t="s">
        <v>94</v>
      </c>
      <c r="AB9" s="278">
        <v>10</v>
      </c>
      <c r="AC9" s="278">
        <v>6</v>
      </c>
      <c r="AD9" s="278">
        <v>4</v>
      </c>
      <c r="AE9" s="278">
        <v>2</v>
      </c>
      <c r="AF9" s="278">
        <v>1</v>
      </c>
      <c r="AG9" s="278">
        <v>0</v>
      </c>
      <c r="AH9" s="278">
        <v>0</v>
      </c>
      <c r="AI9" s="278">
        <v>0</v>
      </c>
      <c r="AJ9" s="278">
        <v>0</v>
      </c>
      <c r="AK9" s="278">
        <v>0</v>
      </c>
    </row>
    <row r="10" spans="1:37" x14ac:dyDescent="0.25">
      <c r="A10" s="219"/>
      <c r="B10" s="251"/>
      <c r="C10" s="254"/>
      <c r="D10" s="254"/>
      <c r="E10" s="254"/>
      <c r="F10" s="254"/>
      <c r="G10" s="254"/>
      <c r="H10" s="254"/>
      <c r="I10" s="254"/>
      <c r="J10" s="193"/>
      <c r="K10" s="256"/>
      <c r="L10" s="219"/>
      <c r="M10" s="282"/>
      <c r="N10" s="211"/>
      <c r="O10" s="211"/>
      <c r="P10" s="211"/>
      <c r="Q10" s="211"/>
      <c r="R10" s="211"/>
      <c r="S10" s="211"/>
      <c r="Y10" s="274"/>
      <c r="Z10" s="274"/>
      <c r="AA10" s="274" t="s">
        <v>95</v>
      </c>
      <c r="AB10" s="278">
        <v>6</v>
      </c>
      <c r="AC10" s="278">
        <v>3</v>
      </c>
      <c r="AD10" s="278">
        <v>2</v>
      </c>
      <c r="AE10" s="278">
        <v>1</v>
      </c>
      <c r="AF10" s="278">
        <v>0</v>
      </c>
      <c r="AG10" s="278">
        <v>0</v>
      </c>
      <c r="AH10" s="278">
        <v>0</v>
      </c>
      <c r="AI10" s="278">
        <v>0</v>
      </c>
      <c r="AJ10" s="278">
        <v>0</v>
      </c>
      <c r="AK10" s="278">
        <v>0</v>
      </c>
    </row>
    <row r="11" spans="1:37" x14ac:dyDescent="0.25">
      <c r="A11" s="219" t="s">
        <v>60</v>
      </c>
      <c r="B11" s="250">
        <v>5</v>
      </c>
      <c r="C11" s="252">
        <f>IF($B11="","",VLOOKUP($B11,'L16 csapat ELO'!$A$7:$O$22,5))</f>
        <v>0</v>
      </c>
      <c r="D11" s="252">
        <f>IF($B11="","",VLOOKUP($B11,'L16 csapat ELO'!$A$7:$O$22,15))</f>
        <v>106</v>
      </c>
      <c r="E11" s="344" t="str">
        <f>UPPER(IF($B11="","",VLOOKUP($B11,'L16 csapat ELO'!$A$7:$O$22,2)))</f>
        <v>ZTE</v>
      </c>
      <c r="F11" s="344"/>
      <c r="G11" s="344">
        <f>IF($B11="","",VLOOKUP($B11,'L16 csapat ELO'!$A$7:$O$22,3))</f>
        <v>0</v>
      </c>
      <c r="H11" s="344"/>
      <c r="I11" s="253">
        <f>IF($B11="","",VLOOKUP($B11,'L16 csapat ELO'!$A$7:$O$22,4))</f>
        <v>0</v>
      </c>
      <c r="J11" s="193"/>
      <c r="K11" s="324" t="s">
        <v>92</v>
      </c>
      <c r="L11" s="276"/>
      <c r="M11" s="281"/>
      <c r="N11" s="211"/>
      <c r="O11" s="211"/>
      <c r="P11" s="211"/>
      <c r="Q11" s="211"/>
      <c r="R11" s="211"/>
      <c r="S11" s="211"/>
      <c r="Y11" s="274"/>
      <c r="Z11" s="274"/>
      <c r="AA11" s="274" t="s">
        <v>100</v>
      </c>
      <c r="AB11" s="278">
        <v>3</v>
      </c>
      <c r="AC11" s="278">
        <v>2</v>
      </c>
      <c r="AD11" s="278">
        <v>1</v>
      </c>
      <c r="AE11" s="278">
        <v>0</v>
      </c>
      <c r="AF11" s="278">
        <v>0</v>
      </c>
      <c r="AG11" s="278">
        <v>0</v>
      </c>
      <c r="AH11" s="278">
        <v>0</v>
      </c>
      <c r="AI11" s="278">
        <v>0</v>
      </c>
      <c r="AJ11" s="278">
        <v>0</v>
      </c>
      <c r="AK11" s="278">
        <v>0</v>
      </c>
    </row>
    <row r="12" spans="1:37" x14ac:dyDescent="0.25">
      <c r="A12" s="219"/>
      <c r="B12" s="251"/>
      <c r="C12" s="254"/>
      <c r="D12" s="254"/>
      <c r="E12" s="254"/>
      <c r="F12" s="254"/>
      <c r="G12" s="254"/>
      <c r="H12" s="254"/>
      <c r="I12" s="254"/>
      <c r="J12" s="193"/>
      <c r="K12" s="325"/>
      <c r="L12" s="248"/>
      <c r="M12" s="283"/>
      <c r="Y12" s="274"/>
      <c r="Z12" s="274"/>
      <c r="AA12" s="274" t="s">
        <v>96</v>
      </c>
      <c r="AB12" s="279">
        <v>0</v>
      </c>
      <c r="AC12" s="279">
        <v>0</v>
      </c>
      <c r="AD12" s="279">
        <v>0</v>
      </c>
      <c r="AE12" s="279">
        <v>0</v>
      </c>
      <c r="AF12" s="279">
        <v>0</v>
      </c>
      <c r="AG12" s="279">
        <v>0</v>
      </c>
      <c r="AH12" s="279">
        <v>0</v>
      </c>
      <c r="AI12" s="279">
        <v>0</v>
      </c>
      <c r="AJ12" s="279">
        <v>0</v>
      </c>
      <c r="AK12" s="279">
        <v>0</v>
      </c>
    </row>
    <row r="13" spans="1:37" x14ac:dyDescent="0.25">
      <c r="A13" s="219" t="s">
        <v>65</v>
      </c>
      <c r="B13" s="250">
        <v>4</v>
      </c>
      <c r="C13" s="252">
        <f>IF($B13="","",VLOOKUP($B13,'L16 csapat ELO'!$A$7:$O$22,5))</f>
        <v>0</v>
      </c>
      <c r="D13" s="252">
        <f>IF($B13="","",VLOOKUP($B13,'L16 csapat ELO'!$A$7:$O$22,15))</f>
        <v>62</v>
      </c>
      <c r="E13" s="344" t="str">
        <f>UPPER(IF($B13="","",VLOOKUP($B13,'L16 csapat ELO'!$A$7:$O$22,2)))</f>
        <v>TSZSK GYULA</v>
      </c>
      <c r="F13" s="344"/>
      <c r="G13" s="344">
        <f>IF($B13="","",VLOOKUP($B13,'L16 csapat ELO'!$A$7:$O$22,3))</f>
        <v>0</v>
      </c>
      <c r="H13" s="344"/>
      <c r="I13" s="253">
        <f>IF($B13="","",VLOOKUP($B13,'L16 csapat ELO'!$A$7:$O$22,4))</f>
        <v>0</v>
      </c>
      <c r="J13" s="193"/>
      <c r="K13" s="324" t="s">
        <v>142</v>
      </c>
      <c r="L13" s="276"/>
      <c r="M13" s="281"/>
      <c r="Y13" s="274"/>
      <c r="Z13" s="274"/>
      <c r="AA13" s="274" t="s">
        <v>97</v>
      </c>
      <c r="AB13" s="279">
        <v>0</v>
      </c>
      <c r="AC13" s="279">
        <v>0</v>
      </c>
      <c r="AD13" s="279">
        <v>0</v>
      </c>
      <c r="AE13" s="279">
        <v>0</v>
      </c>
      <c r="AF13" s="279">
        <v>0</v>
      </c>
      <c r="AG13" s="279">
        <v>0</v>
      </c>
      <c r="AH13" s="279">
        <v>0</v>
      </c>
      <c r="AI13" s="279">
        <v>0</v>
      </c>
      <c r="AJ13" s="279">
        <v>0</v>
      </c>
      <c r="AK13" s="279">
        <v>0</v>
      </c>
    </row>
    <row r="14" spans="1:37" x14ac:dyDescent="0.25">
      <c r="A14" s="219"/>
      <c r="B14" s="251"/>
      <c r="C14" s="254"/>
      <c r="D14" s="254"/>
      <c r="E14" s="254"/>
      <c r="F14" s="254"/>
      <c r="G14" s="254"/>
      <c r="H14" s="254"/>
      <c r="I14" s="254"/>
      <c r="J14" s="193"/>
      <c r="K14" s="256"/>
      <c r="L14" s="219"/>
      <c r="M14" s="283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</row>
    <row r="15" spans="1:37" x14ac:dyDescent="0.25">
      <c r="A15" s="219" t="s">
        <v>66</v>
      </c>
      <c r="B15" s="250">
        <v>3</v>
      </c>
      <c r="C15" s="252">
        <f>IF($B15="","",VLOOKUP($B15,'L16 csapat ELO'!$A$7:$O$22,5))</f>
        <v>0</v>
      </c>
      <c r="D15" s="252">
        <f>IF($B15="","",VLOOKUP($B15,'L16 csapat ELO'!$A$7:$O$22,15))</f>
        <v>56</v>
      </c>
      <c r="E15" s="344" t="str">
        <f>UPPER(IF($B15="","",VLOOKUP($B15,'L16 csapat ELO'!$A$7:$O$22,2)))</f>
        <v>MTK</v>
      </c>
      <c r="F15" s="344"/>
      <c r="G15" s="344">
        <f>IF($B15="","",VLOOKUP($B15,'L16 csapat ELO'!$A$7:$O$22,3))</f>
        <v>0</v>
      </c>
      <c r="H15" s="344"/>
      <c r="I15" s="253">
        <f>IF($B15="","",VLOOKUP($B15,'L16 csapat ELO'!$A$7:$O$22,4))</f>
        <v>0</v>
      </c>
      <c r="J15" s="193"/>
      <c r="K15" s="324" t="s">
        <v>91</v>
      </c>
      <c r="L15" s="276"/>
      <c r="M15" s="281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</row>
    <row r="16" spans="1:37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74"/>
      <c r="Z16" s="274"/>
      <c r="AA16" s="274" t="s">
        <v>58</v>
      </c>
      <c r="AB16" s="274">
        <v>300</v>
      </c>
      <c r="AC16" s="274">
        <v>250</v>
      </c>
      <c r="AD16" s="274">
        <v>220</v>
      </c>
      <c r="AE16" s="274">
        <v>180</v>
      </c>
      <c r="AF16" s="274">
        <v>160</v>
      </c>
      <c r="AG16" s="274">
        <v>150</v>
      </c>
      <c r="AH16" s="274">
        <v>140</v>
      </c>
      <c r="AI16" s="274">
        <v>130</v>
      </c>
      <c r="AJ16" s="274">
        <v>120</v>
      </c>
      <c r="AK16" s="274">
        <v>110</v>
      </c>
    </row>
    <row r="17" spans="1:37" x14ac:dyDescent="0.2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74"/>
      <c r="Z17" s="274"/>
      <c r="AA17" s="274" t="s">
        <v>88</v>
      </c>
      <c r="AB17" s="274">
        <v>250</v>
      </c>
      <c r="AC17" s="274">
        <v>200</v>
      </c>
      <c r="AD17" s="274">
        <v>160</v>
      </c>
      <c r="AE17" s="274">
        <v>140</v>
      </c>
      <c r="AF17" s="274">
        <v>120</v>
      </c>
      <c r="AG17" s="274">
        <v>110</v>
      </c>
      <c r="AH17" s="274">
        <v>100</v>
      </c>
      <c r="AI17" s="274">
        <v>90</v>
      </c>
      <c r="AJ17" s="274">
        <v>80</v>
      </c>
      <c r="AK17" s="274">
        <v>70</v>
      </c>
    </row>
    <row r="18" spans="1:37" ht="18.75" customHeight="1" x14ac:dyDescent="0.25">
      <c r="A18" s="193"/>
      <c r="B18" s="331"/>
      <c r="C18" s="331"/>
      <c r="D18" s="332" t="str">
        <f>E7</f>
        <v>SVSE I.</v>
      </c>
      <c r="E18" s="332"/>
      <c r="F18" s="332" t="str">
        <f>E9</f>
        <v>TENISZ MŰHELY</v>
      </c>
      <c r="G18" s="332"/>
      <c r="H18" s="332" t="str">
        <f>E11</f>
        <v>ZTE</v>
      </c>
      <c r="I18" s="332"/>
      <c r="J18" s="332" t="str">
        <f>E13</f>
        <v>TSZSK GYULA</v>
      </c>
      <c r="K18" s="332"/>
      <c r="L18" s="332" t="str">
        <f>E15</f>
        <v>MTK</v>
      </c>
      <c r="M18" s="332"/>
      <c r="Y18" s="274"/>
      <c r="Z18" s="274"/>
      <c r="AA18" s="274" t="s">
        <v>89</v>
      </c>
      <c r="AB18" s="274">
        <v>200</v>
      </c>
      <c r="AC18" s="274">
        <v>150</v>
      </c>
      <c r="AD18" s="274">
        <v>130</v>
      </c>
      <c r="AE18" s="274">
        <v>110</v>
      </c>
      <c r="AF18" s="274">
        <v>95</v>
      </c>
      <c r="AG18" s="274">
        <v>80</v>
      </c>
      <c r="AH18" s="274">
        <v>70</v>
      </c>
      <c r="AI18" s="274">
        <v>60</v>
      </c>
      <c r="AJ18" s="274">
        <v>55</v>
      </c>
      <c r="AK18" s="274">
        <v>50</v>
      </c>
    </row>
    <row r="19" spans="1:37" ht="18.75" customHeight="1" x14ac:dyDescent="0.25">
      <c r="A19" s="255" t="s">
        <v>58</v>
      </c>
      <c r="B19" s="345" t="str">
        <f>E7</f>
        <v>SVSE I.</v>
      </c>
      <c r="C19" s="345"/>
      <c r="D19" s="334"/>
      <c r="E19" s="334"/>
      <c r="F19" s="335" t="s">
        <v>133</v>
      </c>
      <c r="G19" s="336"/>
      <c r="H19" s="335" t="s">
        <v>132</v>
      </c>
      <c r="I19" s="336"/>
      <c r="J19" s="339" t="s">
        <v>133</v>
      </c>
      <c r="K19" s="338"/>
      <c r="L19" s="339" t="s">
        <v>138</v>
      </c>
      <c r="M19" s="338"/>
      <c r="Y19" s="274"/>
      <c r="Z19" s="274"/>
      <c r="AA19" s="274" t="s">
        <v>90</v>
      </c>
      <c r="AB19" s="274">
        <v>150</v>
      </c>
      <c r="AC19" s="274">
        <v>120</v>
      </c>
      <c r="AD19" s="274">
        <v>100</v>
      </c>
      <c r="AE19" s="274">
        <v>80</v>
      </c>
      <c r="AF19" s="274">
        <v>70</v>
      </c>
      <c r="AG19" s="274">
        <v>60</v>
      </c>
      <c r="AH19" s="274">
        <v>55</v>
      </c>
      <c r="AI19" s="274">
        <v>50</v>
      </c>
      <c r="AJ19" s="274">
        <v>45</v>
      </c>
      <c r="AK19" s="274">
        <v>40</v>
      </c>
    </row>
    <row r="20" spans="1:37" ht="18.75" customHeight="1" x14ac:dyDescent="0.25">
      <c r="A20" s="255" t="s">
        <v>59</v>
      </c>
      <c r="B20" s="345" t="str">
        <f>E9</f>
        <v>TENISZ MŰHELY</v>
      </c>
      <c r="C20" s="345"/>
      <c r="D20" s="335" t="s">
        <v>132</v>
      </c>
      <c r="E20" s="336"/>
      <c r="F20" s="334"/>
      <c r="G20" s="334"/>
      <c r="H20" s="335" t="s">
        <v>132</v>
      </c>
      <c r="I20" s="336"/>
      <c r="J20" s="335" t="s">
        <v>132</v>
      </c>
      <c r="K20" s="336"/>
      <c r="L20" s="339" t="s">
        <v>132</v>
      </c>
      <c r="M20" s="338"/>
      <c r="Y20" s="274"/>
      <c r="Z20" s="274"/>
      <c r="AA20" s="274" t="s">
        <v>91</v>
      </c>
      <c r="AB20" s="274">
        <v>120</v>
      </c>
      <c r="AC20" s="274">
        <v>90</v>
      </c>
      <c r="AD20" s="274">
        <v>65</v>
      </c>
      <c r="AE20" s="274">
        <v>55</v>
      </c>
      <c r="AF20" s="274">
        <v>50</v>
      </c>
      <c r="AG20" s="274">
        <v>45</v>
      </c>
      <c r="AH20" s="274">
        <v>40</v>
      </c>
      <c r="AI20" s="274">
        <v>35</v>
      </c>
      <c r="AJ20" s="274">
        <v>25</v>
      </c>
      <c r="AK20" s="274">
        <v>20</v>
      </c>
    </row>
    <row r="21" spans="1:37" ht="18.75" customHeight="1" x14ac:dyDescent="0.25">
      <c r="A21" s="255" t="s">
        <v>60</v>
      </c>
      <c r="B21" s="345" t="str">
        <f>E11</f>
        <v>ZTE</v>
      </c>
      <c r="C21" s="345"/>
      <c r="D21" s="335" t="s">
        <v>133</v>
      </c>
      <c r="E21" s="336"/>
      <c r="F21" s="335" t="s">
        <v>133</v>
      </c>
      <c r="G21" s="336"/>
      <c r="H21" s="334"/>
      <c r="I21" s="334"/>
      <c r="J21" s="335" t="s">
        <v>139</v>
      </c>
      <c r="K21" s="336"/>
      <c r="L21" s="336"/>
      <c r="M21" s="336"/>
      <c r="Y21" s="274"/>
      <c r="Z21" s="274"/>
      <c r="AA21" s="274" t="s">
        <v>92</v>
      </c>
      <c r="AB21" s="274">
        <v>90</v>
      </c>
      <c r="AC21" s="274">
        <v>60</v>
      </c>
      <c r="AD21" s="274">
        <v>45</v>
      </c>
      <c r="AE21" s="274">
        <v>34</v>
      </c>
      <c r="AF21" s="274">
        <v>27</v>
      </c>
      <c r="AG21" s="274">
        <v>22</v>
      </c>
      <c r="AH21" s="274">
        <v>18</v>
      </c>
      <c r="AI21" s="274">
        <v>15</v>
      </c>
      <c r="AJ21" s="274">
        <v>12</v>
      </c>
      <c r="AK21" s="274">
        <v>9</v>
      </c>
    </row>
    <row r="22" spans="1:37" ht="18.75" customHeight="1" x14ac:dyDescent="0.25">
      <c r="A22" s="255" t="s">
        <v>65</v>
      </c>
      <c r="B22" s="345" t="str">
        <f>E13</f>
        <v>TSZSK GYULA</v>
      </c>
      <c r="C22" s="345"/>
      <c r="D22" s="335" t="s">
        <v>132</v>
      </c>
      <c r="E22" s="336"/>
      <c r="F22" s="335" t="s">
        <v>133</v>
      </c>
      <c r="G22" s="336"/>
      <c r="H22" s="339" t="s">
        <v>138</v>
      </c>
      <c r="I22" s="338"/>
      <c r="J22" s="334"/>
      <c r="K22" s="334"/>
      <c r="L22" s="335" t="s">
        <v>138</v>
      </c>
      <c r="M22" s="336"/>
      <c r="Y22" s="274"/>
      <c r="Z22" s="274"/>
      <c r="AA22" s="274" t="s">
        <v>93</v>
      </c>
      <c r="AB22" s="274">
        <v>60</v>
      </c>
      <c r="AC22" s="274">
        <v>40</v>
      </c>
      <c r="AD22" s="274">
        <v>30</v>
      </c>
      <c r="AE22" s="274">
        <v>20</v>
      </c>
      <c r="AF22" s="274">
        <v>18</v>
      </c>
      <c r="AG22" s="274">
        <v>15</v>
      </c>
      <c r="AH22" s="274">
        <v>12</v>
      </c>
      <c r="AI22" s="274">
        <v>10</v>
      </c>
      <c r="AJ22" s="274">
        <v>8</v>
      </c>
      <c r="AK22" s="274">
        <v>6</v>
      </c>
    </row>
    <row r="23" spans="1:37" ht="18.75" customHeight="1" x14ac:dyDescent="0.25">
      <c r="A23" s="255" t="s">
        <v>66</v>
      </c>
      <c r="B23" s="345" t="str">
        <f>E15</f>
        <v>MTK</v>
      </c>
      <c r="C23" s="345"/>
      <c r="D23" s="335" t="s">
        <v>139</v>
      </c>
      <c r="E23" s="336"/>
      <c r="F23" s="335" t="s">
        <v>133</v>
      </c>
      <c r="G23" s="336"/>
      <c r="H23" s="338"/>
      <c r="I23" s="338"/>
      <c r="J23" s="339" t="s">
        <v>139</v>
      </c>
      <c r="K23" s="338"/>
      <c r="L23" s="334"/>
      <c r="M23" s="334"/>
      <c r="Y23" s="274"/>
      <c r="Z23" s="274"/>
      <c r="AA23" s="274" t="s">
        <v>94</v>
      </c>
      <c r="AB23" s="274">
        <v>40</v>
      </c>
      <c r="AC23" s="274">
        <v>25</v>
      </c>
      <c r="AD23" s="274">
        <v>18</v>
      </c>
      <c r="AE23" s="274">
        <v>13</v>
      </c>
      <c r="AF23" s="274">
        <v>8</v>
      </c>
      <c r="AG23" s="274">
        <v>7</v>
      </c>
      <c r="AH23" s="274">
        <v>6</v>
      </c>
      <c r="AI23" s="274">
        <v>5</v>
      </c>
      <c r="AJ23" s="274">
        <v>4</v>
      </c>
      <c r="AK23" s="274">
        <v>3</v>
      </c>
    </row>
    <row r="24" spans="1:37" x14ac:dyDescent="0.25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74"/>
      <c r="Z24" s="274"/>
      <c r="AA24" s="274" t="s">
        <v>95</v>
      </c>
      <c r="AB24" s="274">
        <v>25</v>
      </c>
      <c r="AC24" s="274">
        <v>15</v>
      </c>
      <c r="AD24" s="274">
        <v>13</v>
      </c>
      <c r="AE24" s="274">
        <v>7</v>
      </c>
      <c r="AF24" s="274">
        <v>6</v>
      </c>
      <c r="AG24" s="274">
        <v>5</v>
      </c>
      <c r="AH24" s="274">
        <v>4</v>
      </c>
      <c r="AI24" s="274">
        <v>3</v>
      </c>
      <c r="AJ24" s="274">
        <v>2</v>
      </c>
      <c r="AK24" s="274">
        <v>1</v>
      </c>
    </row>
    <row r="25" spans="1:37" x14ac:dyDescent="0.25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74"/>
      <c r="Z25" s="274"/>
      <c r="AA25" s="274" t="s">
        <v>100</v>
      </c>
      <c r="AB25" s="274">
        <v>15</v>
      </c>
      <c r="AC25" s="274">
        <v>10</v>
      </c>
      <c r="AD25" s="274">
        <v>8</v>
      </c>
      <c r="AE25" s="274">
        <v>4</v>
      </c>
      <c r="AF25" s="274">
        <v>3</v>
      </c>
      <c r="AG25" s="274">
        <v>2</v>
      </c>
      <c r="AH25" s="274">
        <v>1</v>
      </c>
      <c r="AI25" s="274">
        <v>0</v>
      </c>
      <c r="AJ25" s="274">
        <v>0</v>
      </c>
      <c r="AK25" s="274">
        <v>0</v>
      </c>
    </row>
    <row r="26" spans="1:37" x14ac:dyDescent="0.25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74"/>
      <c r="Z26" s="274"/>
      <c r="AA26" s="274" t="s">
        <v>96</v>
      </c>
      <c r="AB26" s="274">
        <v>10</v>
      </c>
      <c r="AC26" s="274">
        <v>6</v>
      </c>
      <c r="AD26" s="274">
        <v>4</v>
      </c>
      <c r="AE26" s="274">
        <v>2</v>
      </c>
      <c r="AF26" s="274">
        <v>1</v>
      </c>
      <c r="AG26" s="274">
        <v>0</v>
      </c>
      <c r="AH26" s="274">
        <v>0</v>
      </c>
      <c r="AI26" s="274">
        <v>0</v>
      </c>
      <c r="AJ26" s="274">
        <v>0</v>
      </c>
      <c r="AK26" s="274">
        <v>0</v>
      </c>
    </row>
    <row r="27" spans="1:37" x14ac:dyDescent="0.25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74"/>
      <c r="Z27" s="274"/>
      <c r="AA27" s="274" t="s">
        <v>97</v>
      </c>
      <c r="AB27" s="274">
        <v>3</v>
      </c>
      <c r="AC27" s="274">
        <v>2</v>
      </c>
      <c r="AD27" s="274">
        <v>1</v>
      </c>
      <c r="AE27" s="274">
        <v>0</v>
      </c>
      <c r="AF27" s="274">
        <v>0</v>
      </c>
      <c r="AG27" s="274">
        <v>0</v>
      </c>
      <c r="AH27" s="274">
        <v>0</v>
      </c>
      <c r="AI27" s="274">
        <v>0</v>
      </c>
      <c r="AJ27" s="274">
        <v>0</v>
      </c>
      <c r="AK27" s="274">
        <v>0</v>
      </c>
    </row>
    <row r="28" spans="1:37" x14ac:dyDescent="0.2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5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5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5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11"/>
      <c r="P32" s="211"/>
      <c r="Q32" s="211"/>
      <c r="R32" s="211"/>
      <c r="S32" s="211"/>
    </row>
    <row r="33" spans="1:19" x14ac:dyDescent="0.25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1"/>
      <c r="P33" s="221"/>
      <c r="Q33" s="221"/>
      <c r="R33" s="222"/>
      <c r="S33" s="211"/>
    </row>
    <row r="34" spans="1:19" x14ac:dyDescent="0.25">
      <c r="A34" s="196" t="s">
        <v>39</v>
      </c>
      <c r="B34" s="197"/>
      <c r="C34" s="198"/>
      <c r="D34" s="229"/>
      <c r="E34" s="342"/>
      <c r="F34" s="342"/>
      <c r="G34" s="240" t="s">
        <v>3</v>
      </c>
      <c r="H34" s="197"/>
      <c r="I34" s="230"/>
      <c r="J34" s="241"/>
      <c r="K34" s="194" t="s">
        <v>41</v>
      </c>
      <c r="L34" s="247"/>
      <c r="M34" s="231"/>
      <c r="O34" s="211"/>
      <c r="P34" s="223"/>
      <c r="Q34" s="223"/>
      <c r="R34" s="224"/>
      <c r="S34" s="211"/>
    </row>
    <row r="35" spans="1:19" x14ac:dyDescent="0.25">
      <c r="A35" s="199" t="s">
        <v>48</v>
      </c>
      <c r="B35" s="117"/>
      <c r="C35" s="200"/>
      <c r="D35" s="232"/>
      <c r="E35" s="343"/>
      <c r="F35" s="343"/>
      <c r="G35" s="242" t="s">
        <v>4</v>
      </c>
      <c r="H35" s="233"/>
      <c r="I35" s="234"/>
      <c r="J35" s="82"/>
      <c r="K35" s="244"/>
      <c r="L35" s="192"/>
      <c r="M35" s="239"/>
      <c r="O35" s="211"/>
      <c r="P35" s="224"/>
      <c r="Q35" s="225"/>
      <c r="R35" s="224"/>
      <c r="S35" s="211"/>
    </row>
    <row r="36" spans="1:19" x14ac:dyDescent="0.25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4" t="s">
        <v>42</v>
      </c>
      <c r="L36" s="247"/>
      <c r="M36" s="231"/>
      <c r="O36" s="211"/>
      <c r="P36" s="223"/>
      <c r="Q36" s="223"/>
      <c r="R36" s="224"/>
      <c r="S36" s="211"/>
    </row>
    <row r="37" spans="1:19" x14ac:dyDescent="0.25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1"/>
      <c r="P37" s="224"/>
      <c r="Q37" s="225"/>
      <c r="R37" s="224"/>
      <c r="S37" s="211"/>
    </row>
    <row r="38" spans="1:19" x14ac:dyDescent="0.25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199"/>
      <c r="L38" s="192"/>
      <c r="M38" s="239"/>
      <c r="O38" s="211"/>
      <c r="P38" s="224"/>
      <c r="Q38" s="225"/>
      <c r="R38" s="224"/>
      <c r="S38" s="211"/>
    </row>
    <row r="39" spans="1:19" x14ac:dyDescent="0.25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4" t="s">
        <v>31</v>
      </c>
      <c r="L39" s="247"/>
      <c r="M39" s="231"/>
      <c r="O39" s="211"/>
      <c r="P39" s="223"/>
      <c r="Q39" s="223"/>
      <c r="R39" s="224"/>
      <c r="S39" s="211"/>
    </row>
    <row r="40" spans="1:19" x14ac:dyDescent="0.25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1"/>
      <c r="P40" s="224"/>
      <c r="Q40" s="225"/>
      <c r="R40" s="224"/>
      <c r="S40" s="211"/>
    </row>
    <row r="41" spans="1:19" x14ac:dyDescent="0.25">
      <c r="A41" s="123"/>
      <c r="B41" s="120"/>
      <c r="C41" s="131"/>
      <c r="D41" s="238"/>
      <c r="E41" s="114"/>
      <c r="F41" s="192"/>
      <c r="G41" s="243" t="s">
        <v>10</v>
      </c>
      <c r="H41" s="117"/>
      <c r="I41" s="195"/>
      <c r="J41" s="115"/>
      <c r="K41" s="199" t="str">
        <f>L4</f>
        <v>Rákóczi Andrea</v>
      </c>
      <c r="L41" s="192"/>
      <c r="M41" s="239"/>
      <c r="O41" s="211"/>
      <c r="P41" s="224"/>
      <c r="Q41" s="225"/>
      <c r="R41" s="226"/>
      <c r="S41" s="211"/>
    </row>
    <row r="42" spans="1:19" x14ac:dyDescent="0.25">
      <c r="O42" s="211"/>
      <c r="P42" s="211"/>
      <c r="Q42" s="211"/>
      <c r="R42" s="211"/>
      <c r="S42" s="211"/>
    </row>
    <row r="43" spans="1:19" x14ac:dyDescent="0.25">
      <c r="O43" s="211"/>
      <c r="P43" s="211"/>
      <c r="Q43" s="211"/>
      <c r="R43" s="211"/>
      <c r="S43" s="211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L14 csapat ELO</vt:lpstr>
      <vt:lpstr>L14 Csapat</vt:lpstr>
      <vt:lpstr>L16 csapat ELO</vt:lpstr>
      <vt:lpstr>L16 Csapat</vt:lpstr>
      <vt:lpstr>'L14 csapat ELO'!Nyomtatási_cím</vt:lpstr>
      <vt:lpstr>'L16 csapat ELO'!Nyomtatási_cím</vt:lpstr>
      <vt:lpstr>Birók!Nyomtatási_terület</vt:lpstr>
      <vt:lpstr>'L14 Csapat'!Nyomtatási_terület</vt:lpstr>
      <vt:lpstr>'L14 csapat ELO'!Nyomtatási_terület</vt:lpstr>
      <vt:lpstr>'L16 Csapat'!Nyomtatási_terület</vt:lpstr>
      <vt:lpstr>'L16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2024-09-01T16:12:40Z</dcterms:modified>
  <cp:category>Forms</cp:category>
</cp:coreProperties>
</file>