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4\Csapat\JÓ\"/>
    </mc:Choice>
  </mc:AlternateContent>
  <xr:revisionPtr revIDLastSave="0" documentId="8_{2AE253F3-DA6D-43C6-AAE6-F1E063826FF9}" xr6:coauthVersionLast="47" xr6:coauthVersionMax="47" xr10:uidLastSave="{00000000-0000-0000-0000-000000000000}"/>
  <bookViews>
    <workbookView xWindow="-108" yWindow="-108" windowWidth="23256" windowHeight="13176" tabRatio="884" firstSheet="1" activeTab="3" xr2:uid="{72670821-EF35-4398-BE69-9BC904CA604D}"/>
  </bookViews>
  <sheets>
    <sheet name="Altalanos" sheetId="1" r:id="rId1"/>
    <sheet name="Birók" sheetId="2" r:id="rId2"/>
    <sheet name="L12 csapat ELO" sheetId="9" r:id="rId3"/>
    <sheet name="L12 csapat" sheetId="197" r:id="rId4"/>
    <sheet name="L18 csapat ELO" sheetId="303" r:id="rId5"/>
    <sheet name="L18 csapat" sheetId="308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'L12 csapat ELO'!$1:$6</definedName>
    <definedName name="_xlnm.Print_Titles" localSheetId="4">'L18 csapat ELO'!$1:$6</definedName>
    <definedName name="_xlnm.Print_Area" localSheetId="1">Birók!$A$1:$N$29</definedName>
    <definedName name="_xlnm.Print_Area" localSheetId="3">'L12 csapat'!$A$1:$M$52</definedName>
    <definedName name="_xlnm.Print_Area" localSheetId="2">'L12 csapat ELO'!$A$1:$Q$134</definedName>
    <definedName name="_xlnm.Print_Area" localSheetId="5">'L18 csapat'!$A$1:$M$49</definedName>
    <definedName name="_xlnm.Print_Area" localSheetId="4">'L18 csapat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08" l="1"/>
  <c r="C2" i="303"/>
  <c r="R44" i="308"/>
  <c r="E42" i="308" s="1"/>
  <c r="E43" i="308"/>
  <c r="F36" i="308"/>
  <c r="F34" i="308"/>
  <c r="I19" i="308"/>
  <c r="G19" i="308"/>
  <c r="E19" i="308"/>
  <c r="B31" i="308" s="1"/>
  <c r="D19" i="308"/>
  <c r="C19" i="308"/>
  <c r="I17" i="308"/>
  <c r="G17" i="308"/>
  <c r="E17" i="308"/>
  <c r="B30" i="308" s="1"/>
  <c r="D17" i="308"/>
  <c r="C17" i="308"/>
  <c r="I15" i="308"/>
  <c r="G15" i="308"/>
  <c r="E15" i="308"/>
  <c r="F27" i="308" s="1"/>
  <c r="B29" i="308"/>
  <c r="F38" i="308" s="1"/>
  <c r="D15" i="308"/>
  <c r="C15" i="308"/>
  <c r="I13" i="308"/>
  <c r="G13" i="308"/>
  <c r="E13" i="308"/>
  <c r="B28" i="308" s="1"/>
  <c r="D13" i="308"/>
  <c r="C13" i="308"/>
  <c r="I11" i="308"/>
  <c r="G11" i="308"/>
  <c r="E11" i="308"/>
  <c r="B25" i="308"/>
  <c r="C36" i="308" s="1"/>
  <c r="D11" i="308"/>
  <c r="C11" i="308"/>
  <c r="I9" i="308"/>
  <c r="G9" i="308"/>
  <c r="E9" i="308"/>
  <c r="B24" i="308" s="1"/>
  <c r="C38" i="308" s="1"/>
  <c r="D9" i="308"/>
  <c r="C9" i="308"/>
  <c r="I7" i="308"/>
  <c r="G7" i="308"/>
  <c r="E7" i="308"/>
  <c r="B23" i="308"/>
  <c r="C34" i="308" s="1"/>
  <c r="D7" i="308"/>
  <c r="C7" i="308"/>
  <c r="Y5" i="308"/>
  <c r="L4" i="308"/>
  <c r="K49" i="308" s="1"/>
  <c r="E4" i="308"/>
  <c r="A4" i="308"/>
  <c r="Y3" i="308"/>
  <c r="AJ1" i="308" s="1"/>
  <c r="A1" i="308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/>
  <c r="L128" i="303"/>
  <c r="K128" i="303"/>
  <c r="J128" i="303"/>
  <c r="P127" i="303"/>
  <c r="M127" i="303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/>
  <c r="L112" i="303"/>
  <c r="K112" i="303"/>
  <c r="J112" i="303"/>
  <c r="P111" i="303"/>
  <c r="M111" i="303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C2" i="9"/>
  <c r="I21" i="197"/>
  <c r="G21" i="197"/>
  <c r="E21" i="197"/>
  <c r="J30" i="197"/>
  <c r="D21" i="197"/>
  <c r="C21" i="197"/>
  <c r="R47" i="197"/>
  <c r="E46" i="197" s="1"/>
  <c r="E47" i="197"/>
  <c r="I19" i="197"/>
  <c r="G19" i="197"/>
  <c r="E19" i="197"/>
  <c r="B33" i="197" s="1"/>
  <c r="F39" i="197" s="1"/>
  <c r="D19" i="197"/>
  <c r="C19" i="197"/>
  <c r="I17" i="197"/>
  <c r="G17" i="197"/>
  <c r="E17" i="197"/>
  <c r="F30" i="197"/>
  <c r="D17" i="197"/>
  <c r="C17" i="197"/>
  <c r="I15" i="197"/>
  <c r="G15" i="197"/>
  <c r="E15" i="197"/>
  <c r="D30" i="197" s="1"/>
  <c r="D15" i="197"/>
  <c r="C15" i="197"/>
  <c r="I13" i="197"/>
  <c r="G13" i="197"/>
  <c r="E13" i="197"/>
  <c r="J24" i="197"/>
  <c r="D13" i="197"/>
  <c r="C13" i="197"/>
  <c r="I11" i="197"/>
  <c r="G11" i="197"/>
  <c r="E11" i="197"/>
  <c r="H24" i="197" s="1"/>
  <c r="D11" i="197"/>
  <c r="C11" i="197"/>
  <c r="I9" i="197"/>
  <c r="G9" i="197"/>
  <c r="E9" i="197"/>
  <c r="F24" i="197"/>
  <c r="D9" i="197"/>
  <c r="C9" i="197"/>
  <c r="I7" i="197"/>
  <c r="G7" i="197"/>
  <c r="E7" i="197"/>
  <c r="B25" i="197" s="1"/>
  <c r="C37" i="197" s="1"/>
  <c r="D7" i="197"/>
  <c r="C7" i="197"/>
  <c r="Y5" i="197"/>
  <c r="L4" i="197"/>
  <c r="K53" i="197"/>
  <c r="E4" i="197"/>
  <c r="A4" i="197"/>
  <c r="Y3" i="197"/>
  <c r="AB1" i="197" s="1"/>
  <c r="E2" i="197"/>
  <c r="A1" i="197"/>
  <c r="C5" i="9"/>
  <c r="D5" i="9"/>
  <c r="H5" i="9"/>
  <c r="P22" i="2"/>
  <c r="P23" i="2"/>
  <c r="P24" i="2"/>
  <c r="P25" i="2"/>
  <c r="P26" i="2"/>
  <c r="P27" i="2"/>
  <c r="P28" i="2"/>
  <c r="P29" i="2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/>
  <c r="J143" i="9"/>
  <c r="K143" i="9"/>
  <c r="L143" i="9"/>
  <c r="P143" i="9"/>
  <c r="M143" i="9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/>
  <c r="J41" i="9"/>
  <c r="K41" i="9"/>
  <c r="L41" i="9"/>
  <c r="P41" i="9"/>
  <c r="M41" i="9"/>
  <c r="J42" i="9"/>
  <c r="K42" i="9"/>
  <c r="L42" i="9"/>
  <c r="P42" i="9"/>
  <c r="M42" i="9" s="1"/>
  <c r="J43" i="9"/>
  <c r="K43" i="9"/>
  <c r="L43" i="9"/>
  <c r="P43" i="9"/>
  <c r="M43" i="9"/>
  <c r="J44" i="9"/>
  <c r="K44" i="9"/>
  <c r="L44" i="9"/>
  <c r="P44" i="9"/>
  <c r="M44" i="9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/>
  <c r="J48" i="9"/>
  <c r="K48" i="9"/>
  <c r="L48" i="9"/>
  <c r="P48" i="9"/>
  <c r="M48" i="9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/>
  <c r="J56" i="9"/>
  <c r="K56" i="9"/>
  <c r="L56" i="9"/>
  <c r="P56" i="9"/>
  <c r="M56" i="9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/>
  <c r="J64" i="9"/>
  <c r="K64" i="9"/>
  <c r="L64" i="9"/>
  <c r="P64" i="9"/>
  <c r="M64" i="9"/>
  <c r="J65" i="9"/>
  <c r="K65" i="9"/>
  <c r="L65" i="9"/>
  <c r="P65" i="9"/>
  <c r="M65" i="9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/>
  <c r="J80" i="9"/>
  <c r="K80" i="9"/>
  <c r="L80" i="9"/>
  <c r="P80" i="9"/>
  <c r="M80" i="9"/>
  <c r="J81" i="9"/>
  <c r="K81" i="9"/>
  <c r="L81" i="9"/>
  <c r="P81" i="9"/>
  <c r="M81" i="9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/>
  <c r="J133" i="9"/>
  <c r="K133" i="9"/>
  <c r="L133" i="9"/>
  <c r="P133" i="9"/>
  <c r="M133" i="9"/>
  <c r="J134" i="9"/>
  <c r="K134" i="9"/>
  <c r="L134" i="9"/>
  <c r="P134" i="9"/>
  <c r="M134" i="9" s="1"/>
  <c r="A1" i="9"/>
  <c r="C41" i="197"/>
  <c r="AB1" i="308"/>
  <c r="AC1" i="308"/>
  <c r="AC1" i="197"/>
  <c r="AK1" i="197"/>
  <c r="AH1" i="308"/>
  <c r="AI1" i="308"/>
  <c r="AK1" i="308"/>
  <c r="AG1" i="308"/>
  <c r="AF1" i="308"/>
  <c r="AE1" i="308"/>
  <c r="AD1" i="308"/>
  <c r="D22" i="308"/>
  <c r="D27" i="308"/>
  <c r="H27" i="308"/>
  <c r="B34" i="197"/>
  <c r="F37" i="197" s="1"/>
  <c r="B32" i="197"/>
  <c r="H22" i="308"/>
  <c r="B26" i="197"/>
  <c r="C39" i="197" s="1"/>
  <c r="B28" i="197"/>
  <c r="H30" i="197" l="1"/>
  <c r="AJ1" i="197"/>
  <c r="AH1" i="197"/>
  <c r="D24" i="197"/>
  <c r="J27" i="308"/>
  <c r="B31" i="197"/>
  <c r="F41" i="197" s="1"/>
  <c r="AG1" i="197"/>
  <c r="AF1" i="197"/>
  <c r="AD1" i="197"/>
  <c r="B27" i="197"/>
  <c r="C43" i="197" s="1"/>
  <c r="F22" i="308"/>
  <c r="AI1" i="197"/>
  <c r="AE1" i="19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F32E7F84-EB00-4AE5-BE82-D36E60BEE81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6A91742A-83AC-4F7B-A4E7-D3A167ED150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E26E3A1-2298-43A5-B699-76C19BD377DF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FC5C28A-217C-4142-8485-B6E1D048DA7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<sst xmlns="http://schemas.openxmlformats.org/spreadsheetml/2006/main" count="370" uniqueCount="157">
  <si>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</si>
  <si>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</si>
  <si>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</si>
  <si>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</si>
  <si>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</si>
  <si>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</si>
  <si>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</si>
  <si>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</si>
  <si>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</si>
  <si>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</si>
  <si>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</si>
  <si>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</si>
  <si>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</si>
  <si>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</si>
  <si>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</si>
  <si>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</si>
  <si>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</si>
  <si>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</si>
  <si>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</si>
  <si>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</si>
  <si>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</si>
  <si>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</si>
  <si>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</si>
  <si>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</si>
  <si>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</si>
  <si>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</si>
  <si>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</si>
  <si>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</si>
  <si>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</si>
  <si>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</si>
  <si>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</si>
  <si>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</si>
  <si>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</si>
  <si>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</si>
  <si>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</si>
  <si>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</si>
  <si>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</si>
  <si>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</si>
  <si>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</si>
  <si>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</si>
  <si>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</si>
  <si>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</si>
  <si>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</si>
  <si>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</si>
  <si>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</si>
  <si>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</si>
  <si>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</si>
  <si>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</si>
  <si>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</si>
  <si>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</si>
  <si>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</si>
  <si>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</si>
  <si>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</si>
  <si>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</si>
  <si>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</si>
  <si>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</si>
  <si>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</si>
  <si>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</si>
  <si>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</si>
  <si>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</si>
  <si>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</si>
  <si>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</si>
  <si>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</si>
  <si>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</si>
  <si>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</si>
  <si>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</si>
  <si>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</si>
  <si>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</si>
  <si>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</si>
  <si>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</si>
  <si>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</si>
  <si>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</si>
  <si>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</si>
  <si>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</si>
  <si>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</si>
  <si>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</si>
  <si>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</si>
  <si>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</si>
  <si>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</si>
  <si>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</si>
  <si>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</si>
  <si>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</si>
  <si>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</si>
  <si>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</si>
  <si>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</si>
  <si>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</si>
  <si>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</si>
  <si>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</si>
  <si>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</si>
  <si>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</si>
  <si>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</si>
  <si>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</si>
  <si>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</si>
  <si>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</si>
  <si>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</si>
  <si>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</si>
  <si>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</si>
  <si>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</si>
  <si>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</si>
  <si>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</si>
  <si>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</si>
  <si>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</si>
  <si>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</si>
  <si>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</si>
  <si>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</si>
  <si>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</si>
  <si>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</si>
  <si>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</si>
  <si>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</si>
  <si>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</si>
  <si>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</si>
  <si>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</si>
  <si>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</si>
  <si>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OB</t>
  </si>
  <si>
    <t>L12 csapat</t>
  </si>
  <si>
    <t>L14  csapat</t>
  </si>
  <si>
    <t>L16 csapat</t>
  </si>
  <si>
    <t>L18 csapat</t>
  </si>
  <si>
    <t>2024.08.27.-09.01</t>
  </si>
  <si>
    <t>Balatonboglár</t>
  </si>
  <si>
    <t>Rákóczi Andrea</t>
  </si>
  <si>
    <t>BBTC SE</t>
  </si>
  <si>
    <t>Por Krisztina</t>
  </si>
  <si>
    <t>Volvex Tenisz</t>
  </si>
  <si>
    <t>PVTC</t>
  </si>
  <si>
    <t>MESE Lila</t>
  </si>
  <si>
    <t>PG Tenisz</t>
  </si>
  <si>
    <t>MTK</t>
  </si>
  <si>
    <t>Rába ETO SE</t>
  </si>
  <si>
    <t>Vasas SC</t>
  </si>
  <si>
    <t>Bud. Honvéd</t>
  </si>
  <si>
    <t>NEXT TA</t>
  </si>
  <si>
    <t>SVSE</t>
  </si>
  <si>
    <t>Pasarét TK</t>
  </si>
  <si>
    <t>2/0</t>
  </si>
  <si>
    <t>0/2</t>
  </si>
  <si>
    <t>4/0</t>
  </si>
  <si>
    <t>0/4</t>
  </si>
  <si>
    <t>2/2 5/5 ( 35/32)</t>
  </si>
  <si>
    <t>2/2 5/5 (32/35)</t>
  </si>
  <si>
    <t>0/3</t>
  </si>
  <si>
    <t>3/0</t>
  </si>
  <si>
    <t>3/1</t>
  </si>
  <si>
    <t>1/3</t>
  </si>
  <si>
    <t>2/1</t>
  </si>
  <si>
    <t>1/2</t>
  </si>
  <si>
    <t>VI.</t>
  </si>
  <si>
    <t>V.</t>
  </si>
  <si>
    <t>IV.</t>
  </si>
  <si>
    <t>III.</t>
  </si>
  <si>
    <t>VII.</t>
  </si>
  <si>
    <t>I.</t>
  </si>
  <si>
    <t>II.</t>
  </si>
  <si>
    <t>VII:</t>
  </si>
  <si>
    <t>VIII.</t>
  </si>
  <si>
    <t>jn</t>
  </si>
  <si>
    <t>2/2 (34/31)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</si>
</sst>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67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54" fillId="6" borderId="0" xfId="0" applyFont="1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59" fillId="6" borderId="0" xfId="0" applyFont="1" applyFill="1" applyAlignment="1">
      <alignment horizontal="center"/>
    </xf>
    <xf numFmtId="0" fontId="59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0" fillId="11" borderId="0" xfId="0" applyFont="1" applyFill="1" applyAlignment="1">
      <alignment horizontal="center" vertical="center"/>
    </xf>
    <xf numFmtId="0" fontId="61" fillId="6" borderId="7" xfId="0" applyFont="1" applyFill="1" applyBorder="1" applyAlignment="1">
      <alignment horizontal="center"/>
    </xf>
    <xf numFmtId="0" fontId="61" fillId="6" borderId="0" xfId="0" applyFont="1" applyFill="1" applyBorder="1" applyAlignment="1">
      <alignment horizontal="center"/>
    </xf>
    <xf numFmtId="0" fontId="61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4" fillId="7" borderId="0" xfId="0" applyFont="1" applyFill="1" applyAlignment="1">
      <alignment horizontal="center"/>
    </xf>
    <xf numFmtId="0" fontId="65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49" fontId="0" fillId="6" borderId="0" xfId="0" applyNumberFormat="1" applyFill="1" applyBorder="1" applyAlignment="1">
      <alignment horizontal="right" vertical="center" shrinkToFit="1"/>
    </xf>
    <xf numFmtId="49" fontId="0" fillId="6" borderId="0" xfId="0" applyNumberFormat="1" applyFill="1" applyBorder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 applyBorder="1" applyAlignment="1">
      <alignment horizontal="center"/>
    </xf>
    <xf numFmtId="49" fontId="54" fillId="6" borderId="7" xfId="0" applyNumberFormat="1" applyFont="1" applyFill="1" applyBorder="1"/>
    <xf numFmtId="49" fontId="54" fillId="6" borderId="0" xfId="0" applyNumberFormat="1" applyFont="1" applyFill="1"/>
    <xf numFmtId="49" fontId="63" fillId="6" borderId="7" xfId="0" applyNumberFormat="1" applyFont="1" applyFill="1" applyBorder="1"/>
    <xf numFmtId="0" fontId="54" fillId="7" borderId="7" xfId="0" applyFont="1" applyFill="1" applyBorder="1" applyAlignment="1">
      <alignment horizontal="center"/>
    </xf>
    <xf numFmtId="0" fontId="54" fillId="6" borderId="0" xfId="0" applyFont="1" applyFill="1"/>
    <xf numFmtId="14" fontId="26" fillId="2" borderId="26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63" fillId="6" borderId="7" xfId="0" applyNumberFormat="1" applyFon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49" fontId="2" fillId="6" borderId="7" xfId="0" applyNumberFormat="1" applyFont="1" applyFill="1" applyBorder="1" applyAlignment="1">
      <alignment horizontal="center"/>
    </xf>
    <xf numFmtId="49" fontId="0" fillId="0" borderId="5" xfId="0" applyNumberFormat="1" applyBorder="1" applyAlignment="1">
      <alignment horizontal="right" vertical="center" shrinkToFit="1"/>
    </xf>
    <xf numFmtId="49" fontId="0" fillId="0" borderId="23" xfId="0" applyNumberFormat="1" applyBorder="1" applyAlignment="1">
      <alignment horizontal="right" vertical="center" shrinkToFit="1"/>
    </xf>
    <xf numFmtId="49" fontId="0" fillId="0" borderId="38" xfId="0" applyNumberFormat="1" applyBorder="1" applyAlignment="1">
      <alignment horizontal="right" vertical="center" shrinkToFit="1"/>
    </xf>
    <xf numFmtId="49" fontId="0" fillId="2" borderId="5" xfId="0" applyNumberFormat="1" applyFill="1" applyBorder="1" applyAlignment="1">
      <alignment vertical="center"/>
    </xf>
    <xf numFmtId="49" fontId="0" fillId="0" borderId="23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</cellXfs>
  <cellStyles count="3">
    <cellStyle name="Hivatkozás" xfId="1" builtinId="8"/>
    <cellStyle name="Normál" xfId="0" builtinId="0"/>
    <cellStyle name="Pénznem" xfId="2" builtinId="4"/>
  </cellStyles>
  <dxfs count="58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55" name="Picture 13">
          <a:extLst>
            <a:ext uri="{FF2B5EF4-FFF2-40B4-BE49-F238E27FC236}">
              <a16:creationId xmlns:a16="http://schemas.microsoft.com/office/drawing/2014/main" id="{1F35BBC3-7275-D682-2148-2D3BBA80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110" name="Picture 23">
          <a:extLst>
            <a:ext uri="{FF2B5EF4-FFF2-40B4-BE49-F238E27FC236}">
              <a16:creationId xmlns:a16="http://schemas.microsoft.com/office/drawing/2014/main" id="{F06EB1AD-824B-3BEB-7620-9D2AAE6E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FC6CF7C1-CA57-6E1B-E187-B4C8D290E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98" name="Picture 21">
          <a:extLst>
            <a:ext uri="{FF2B5EF4-FFF2-40B4-BE49-F238E27FC236}">
              <a16:creationId xmlns:a16="http://schemas.microsoft.com/office/drawing/2014/main" id="{45C40A58-5EDF-9D1A-E13D-14BFDD21D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245F72F1-CB2D-6E81-3081-3207929A0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85" name="Picture 1">
          <a:extLst>
            <a:ext uri="{FF2B5EF4-FFF2-40B4-BE49-F238E27FC236}">
              <a16:creationId xmlns:a16="http://schemas.microsoft.com/office/drawing/2014/main" id="{29055922-54AC-565A-9069-D130EB6C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56" name="Picture 21">
          <a:extLst>
            <a:ext uri="{FF2B5EF4-FFF2-40B4-BE49-F238E27FC236}">
              <a16:creationId xmlns:a16="http://schemas.microsoft.com/office/drawing/2014/main" id="{E1DF233B-439B-0F5E-12E6-FA10F3FE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DF41C19C-B814-8288-F413-3230CC78A5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441" name="Picture 1">
          <a:extLst>
            <a:ext uri="{FF2B5EF4-FFF2-40B4-BE49-F238E27FC236}">
              <a16:creationId xmlns:a16="http://schemas.microsoft.com/office/drawing/2014/main" id="{0B120A66-2326-0254-68A1-54E5FD9B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0194-E9E1-4581-ABEB-31D1A29615AD}">
  <sheetPr codeName="Sheet1"/>
  <dimension ref="A1:G18"/>
  <sheetViews>
    <sheetView showGridLines="0" showZeros="0" workbookViewId="0">
      <selection activeCell="E12" sqref="E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77"/>
      <c r="F5" s="21"/>
      <c r="G5" s="22"/>
    </row>
    <row r="6" spans="1:7" s="2" customFormat="1" ht="24.6" x14ac:dyDescent="0.25">
      <c r="A6" s="315" t="s">
        <v>113</v>
      </c>
      <c r="B6" s="278"/>
      <c r="C6" s="23"/>
      <c r="D6" s="24"/>
      <c r="E6" s="25"/>
      <c r="F6" s="5"/>
      <c r="G6" s="5"/>
    </row>
    <row r="7" spans="1:7" s="18" customFormat="1" ht="15" customHeight="1" x14ac:dyDescent="0.25">
      <c r="A7" s="266" t="s">
        <v>96</v>
      </c>
      <c r="B7" s="266" t="s">
        <v>97</v>
      </c>
      <c r="C7" s="266" t="s">
        <v>98</v>
      </c>
      <c r="D7" s="266" t="s">
        <v>99</v>
      </c>
      <c r="E7" s="266" t="s">
        <v>100</v>
      </c>
      <c r="F7" s="21"/>
      <c r="G7" s="22"/>
    </row>
    <row r="8" spans="1:7" s="2" customFormat="1" ht="16.5" customHeight="1" x14ac:dyDescent="0.25">
      <c r="A8" s="174" t="s">
        <v>114</v>
      </c>
      <c r="B8" s="174" t="s">
        <v>115</v>
      </c>
      <c r="C8" s="174" t="s">
        <v>116</v>
      </c>
      <c r="D8" s="174" t="s">
        <v>117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118</v>
      </c>
      <c r="B10" s="28"/>
      <c r="C10" s="29" t="s">
        <v>119</v>
      </c>
      <c r="D10" s="155" t="s">
        <v>57</v>
      </c>
      <c r="E10" s="270" t="s">
        <v>120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92</v>
      </c>
      <c r="E11" s="168" t="s">
        <v>93</v>
      </c>
      <c r="F11" s="31"/>
      <c r="G11" s="31"/>
    </row>
    <row r="12" spans="1:7" s="2" customFormat="1" x14ac:dyDescent="0.25">
      <c r="A12" s="126"/>
      <c r="B12" s="5"/>
      <c r="C12" s="175"/>
      <c r="D12" s="175" t="s">
        <v>121</v>
      </c>
      <c r="E12" s="175" t="s">
        <v>122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65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DE6B-1DFB-4AA3-9C63-70E1F7DCB55D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2024.08.27.-09.01</v>
      </c>
      <c r="B5" s="53" t="str">
        <f>Altalanos!$C$10</f>
        <v>Balatonboglár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26" t="s">
        <v>23</v>
      </c>
      <c r="B6" s="326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A345-98E5-4589-A694-58904A8D56DF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T12" sqref="T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9" customWidth="1"/>
    <col min="5" max="5" width="10.5546875" style="294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L12 csapat</v>
      </c>
      <c r="D2" s="99"/>
      <c r="E2" s="159" t="s">
        <v>32</v>
      </c>
      <c r="F2" s="89"/>
      <c r="G2" s="89"/>
      <c r="H2" s="286"/>
      <c r="I2" s="286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9" t="s">
        <v>45</v>
      </c>
      <c r="B3" s="284"/>
      <c r="C3" s="284"/>
      <c r="D3" s="284"/>
      <c r="E3" s="284"/>
      <c r="F3" s="284"/>
      <c r="G3" s="284"/>
      <c r="H3" s="284"/>
      <c r="I3" s="285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6" t="s">
        <v>28</v>
      </c>
      <c r="I4" s="29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7"/>
      <c r="J5" s="106"/>
      <c r="K5" s="81"/>
      <c r="L5" s="81"/>
      <c r="M5" s="81"/>
      <c r="N5" s="106"/>
      <c r="O5" s="87"/>
      <c r="P5" s="87"/>
      <c r="Q5" s="305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7" t="s">
        <v>35</v>
      </c>
      <c r="I6" s="28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123</v>
      </c>
      <c r="C7" s="90"/>
      <c r="D7" s="91"/>
      <c r="E7" s="162"/>
      <c r="F7" s="280"/>
      <c r="G7" s="281"/>
      <c r="H7" s="91"/>
      <c r="I7" s="91"/>
      <c r="J7" s="144"/>
      <c r="K7" s="142"/>
      <c r="L7" s="146"/>
      <c r="M7" s="142"/>
      <c r="N7" s="137"/>
      <c r="O7" s="310">
        <v>11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124</v>
      </c>
      <c r="C8" s="90"/>
      <c r="D8" s="91"/>
      <c r="E8" s="162"/>
      <c r="F8" s="282"/>
      <c r="G8" s="283"/>
      <c r="H8" s="91"/>
      <c r="I8" s="91"/>
      <c r="J8" s="144"/>
      <c r="K8" s="142"/>
      <c r="L8" s="146"/>
      <c r="M8" s="142"/>
      <c r="N8" s="137"/>
      <c r="O8" s="91">
        <v>32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125</v>
      </c>
      <c r="C9" s="90"/>
      <c r="D9" s="91"/>
      <c r="E9" s="162"/>
      <c r="F9" s="282"/>
      <c r="G9" s="283"/>
      <c r="H9" s="91"/>
      <c r="I9" s="91"/>
      <c r="J9" s="144"/>
      <c r="K9" s="142"/>
      <c r="L9" s="146"/>
      <c r="M9" s="142"/>
      <c r="N9" s="137"/>
      <c r="O9" s="91">
        <v>63</v>
      </c>
      <c r="P9" s="293"/>
      <c r="Q9" s="167"/>
    </row>
    <row r="10" spans="1:17" s="11" customFormat="1" ht="18.899999999999999" customHeight="1" x14ac:dyDescent="0.25">
      <c r="A10" s="147">
        <v>4</v>
      </c>
      <c r="B10" s="90" t="s">
        <v>133</v>
      </c>
      <c r="C10" s="90"/>
      <c r="D10" s="91"/>
      <c r="E10" s="162"/>
      <c r="F10" s="282"/>
      <c r="G10" s="283"/>
      <c r="H10" s="91"/>
      <c r="I10" s="91"/>
      <c r="J10" s="144"/>
      <c r="K10" s="142"/>
      <c r="L10" s="146"/>
      <c r="M10" s="142"/>
      <c r="N10" s="137"/>
      <c r="O10" s="91">
        <v>69</v>
      </c>
      <c r="P10" s="292"/>
      <c r="Q10" s="289"/>
    </row>
    <row r="11" spans="1:17" s="11" customFormat="1" ht="18.899999999999999" customHeight="1" x14ac:dyDescent="0.25">
      <c r="A11" s="147">
        <v>5</v>
      </c>
      <c r="B11" s="90" t="s">
        <v>126</v>
      </c>
      <c r="C11" s="90"/>
      <c r="D11" s="91"/>
      <c r="E11" s="162"/>
      <c r="F11" s="282"/>
      <c r="G11" s="283"/>
      <c r="H11" s="91"/>
      <c r="I11" s="91"/>
      <c r="J11" s="144"/>
      <c r="K11" s="142"/>
      <c r="L11" s="146"/>
      <c r="M11" s="142"/>
      <c r="N11" s="137"/>
      <c r="O11" s="91">
        <v>71</v>
      </c>
      <c r="P11" s="292"/>
      <c r="Q11" s="289"/>
    </row>
    <row r="12" spans="1:17" s="11" customFormat="1" ht="18.899999999999999" customHeight="1" x14ac:dyDescent="0.25">
      <c r="A12" s="147">
        <v>6</v>
      </c>
      <c r="B12" s="90" t="s">
        <v>127</v>
      </c>
      <c r="C12" s="90"/>
      <c r="D12" s="91"/>
      <c r="E12" s="162"/>
      <c r="F12" s="282"/>
      <c r="G12" s="283"/>
      <c r="H12" s="91"/>
      <c r="I12" s="91"/>
      <c r="J12" s="144"/>
      <c r="K12" s="142"/>
      <c r="L12" s="146"/>
      <c r="M12" s="142"/>
      <c r="N12" s="137"/>
      <c r="O12" s="91">
        <v>73</v>
      </c>
      <c r="P12" s="292"/>
      <c r="Q12" s="289"/>
    </row>
    <row r="13" spans="1:17" s="11" customFormat="1" ht="18.899999999999999" customHeight="1" x14ac:dyDescent="0.25">
      <c r="A13" s="147">
        <v>7</v>
      </c>
      <c r="B13" s="90" t="s">
        <v>121</v>
      </c>
      <c r="C13" s="90"/>
      <c r="D13" s="91"/>
      <c r="E13" s="162"/>
      <c r="F13" s="282"/>
      <c r="G13" s="283"/>
      <c r="H13" s="91"/>
      <c r="I13" s="91"/>
      <c r="J13" s="144"/>
      <c r="K13" s="142"/>
      <c r="L13" s="146"/>
      <c r="M13" s="142"/>
      <c r="N13" s="137"/>
      <c r="O13" s="91">
        <v>121</v>
      </c>
      <c r="P13" s="292"/>
      <c r="Q13" s="289"/>
    </row>
    <row r="14" spans="1:17" s="11" customFormat="1" ht="18.899999999999999" customHeight="1" x14ac:dyDescent="0.25">
      <c r="A14" s="147">
        <v>8</v>
      </c>
      <c r="B14" s="90" t="s">
        <v>128</v>
      </c>
      <c r="C14" s="90"/>
      <c r="D14" s="91"/>
      <c r="E14" s="162"/>
      <c r="F14" s="282"/>
      <c r="G14" s="283"/>
      <c r="H14" s="91"/>
      <c r="I14" s="91"/>
      <c r="J14" s="144"/>
      <c r="K14" s="142"/>
      <c r="L14" s="146"/>
      <c r="M14" s="142"/>
      <c r="N14" s="137"/>
      <c r="O14" s="91">
        <v>128</v>
      </c>
      <c r="P14" s="292"/>
      <c r="Q14" s="289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298"/>
      <c r="G28" s="299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5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0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0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0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0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0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0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0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0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0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0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0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0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0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0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0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0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0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0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0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0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0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0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0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0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0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0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0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0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0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0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0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0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0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0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0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0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0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0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0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0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0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0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0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0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0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0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0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0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0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0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0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0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0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0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0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0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0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0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0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0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0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0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0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0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0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0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0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0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0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0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0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0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0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0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0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0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0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0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0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0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0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0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0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0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0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0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0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0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0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0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0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0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0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0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0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0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0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0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0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0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0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0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0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0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0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0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0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0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0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0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0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0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0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0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0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0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0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0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0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3 E15:E156">
    <cfRule type="expression" dxfId="57" priority="32" stopIfTrue="1">
      <formula>AND(ROUNDDOWN(($A$4-E7)/365.25,0)&lt;=13,G7&lt;&gt;"OK")</formula>
    </cfRule>
    <cfRule type="expression" dxfId="56" priority="33" stopIfTrue="1">
      <formula>AND(ROUNDDOWN(($A$4-E7)/365.25,0)&lt;=14,G7&lt;&gt;"OK")</formula>
    </cfRule>
    <cfRule type="expression" dxfId="55" priority="34" stopIfTrue="1">
      <formula>AND(ROUNDDOWN(($A$4-E7)/365.25,0)&lt;=17,G7&lt;&gt;"OK")</formula>
    </cfRule>
  </conditionalFormatting>
  <conditionalFormatting sqref="J7:J13 J15:J156">
    <cfRule type="cellIs" dxfId="54" priority="35" stopIfTrue="1" operator="equal">
      <formula>"Z"</formula>
    </cfRule>
  </conditionalFormatting>
  <conditionalFormatting sqref="A7:D13 A15:D156 A14">
    <cfRule type="expression" dxfId="53" priority="36" stopIfTrue="1">
      <formula>$Q7&gt;=1</formula>
    </cfRule>
  </conditionalFormatting>
  <conditionalFormatting sqref="E7:E13">
    <cfRule type="expression" dxfId="52" priority="29" stopIfTrue="1">
      <formula>AND(ROUNDDOWN(($A$4-E7)/365.25,0)&lt;=13,G7&lt;&gt;"OK")</formula>
    </cfRule>
    <cfRule type="expression" dxfId="51" priority="30" stopIfTrue="1">
      <formula>AND(ROUNDDOWN(($A$4-E7)/365.25,0)&lt;=14,G7&lt;&gt;"OK")</formula>
    </cfRule>
    <cfRule type="expression" dxfId="50" priority="31" stopIfTrue="1">
      <formula>AND(ROUNDDOWN(($A$4-E7)/365.25,0)&lt;=17,G7&lt;&gt;"OK")</formula>
    </cfRule>
  </conditionalFormatting>
  <conditionalFormatting sqref="J7:J13">
    <cfRule type="cellIs" dxfId="49" priority="28" stopIfTrue="1" operator="equal">
      <formula>"Z"</formula>
    </cfRule>
  </conditionalFormatting>
  <conditionalFormatting sqref="B7:D13">
    <cfRule type="expression" dxfId="48" priority="27" stopIfTrue="1">
      <formula>$Q7&gt;=1</formula>
    </cfRule>
  </conditionalFormatting>
  <conditionalFormatting sqref="E7:E13">
    <cfRule type="expression" dxfId="47" priority="24" stopIfTrue="1">
      <formula>AND(ROUNDDOWN(($A$4-E7)/365.25,0)&lt;=13,G7&lt;&gt;"OK")</formula>
    </cfRule>
    <cfRule type="expression" dxfId="46" priority="25" stopIfTrue="1">
      <formula>AND(ROUNDDOWN(($A$4-E7)/365.25,0)&lt;=14,G7&lt;&gt;"OK")</formula>
    </cfRule>
    <cfRule type="expression" dxfId="45" priority="26" stopIfTrue="1">
      <formula>AND(ROUNDDOWN(($A$4-E7)/365.25,0)&lt;=17,G7&lt;&gt;"OK")</formula>
    </cfRule>
  </conditionalFormatting>
  <conditionalFormatting sqref="B7:D13">
    <cfRule type="expression" dxfId="44" priority="23" stopIfTrue="1">
      <formula>$Q7&gt;=1</formula>
    </cfRule>
  </conditionalFormatting>
  <conditionalFormatting sqref="E29:E37 E7:E13 E15:E27">
    <cfRule type="expression" dxfId="43" priority="20" stopIfTrue="1">
      <formula>AND(ROUNDDOWN(($A$4-E7)/365.25,0)&lt;=13,G7&lt;&gt;"OK")</formula>
    </cfRule>
    <cfRule type="expression" dxfId="42" priority="21" stopIfTrue="1">
      <formula>AND(ROUNDDOWN(($A$4-E7)/365.25,0)&lt;=14,G7&lt;&gt;"OK")</formula>
    </cfRule>
    <cfRule type="expression" dxfId="41" priority="22" stopIfTrue="1">
      <formula>AND(ROUNDDOWN(($A$4-E7)/365.25,0)&lt;=17,G7&lt;&gt;"OK")</formula>
    </cfRule>
  </conditionalFormatting>
  <conditionalFormatting sqref="B7:D13 B15:D37">
    <cfRule type="expression" dxfId="40" priority="19" stopIfTrue="1">
      <formula>$Q7&gt;=1</formula>
    </cfRule>
  </conditionalFormatting>
  <conditionalFormatting sqref="E14">
    <cfRule type="expression" dxfId="39" priority="14" stopIfTrue="1">
      <formula>AND(ROUNDDOWN(($A$4-E14)/365.25,0)&lt;=13,G14&lt;&gt;"OK")</formula>
    </cfRule>
    <cfRule type="expression" dxfId="38" priority="15" stopIfTrue="1">
      <formula>AND(ROUNDDOWN(($A$4-E14)/365.25,0)&lt;=14,G14&lt;&gt;"OK")</formula>
    </cfRule>
    <cfRule type="expression" dxfId="37" priority="16" stopIfTrue="1">
      <formula>AND(ROUNDDOWN(($A$4-E14)/365.25,0)&lt;=17,G14&lt;&gt;"OK")</formula>
    </cfRule>
  </conditionalFormatting>
  <conditionalFormatting sqref="J14">
    <cfRule type="cellIs" dxfId="36" priority="17" stopIfTrue="1" operator="equal">
      <formula>"Z"</formula>
    </cfRule>
  </conditionalFormatting>
  <conditionalFormatting sqref="B14:D14">
    <cfRule type="expression" dxfId="35" priority="18" stopIfTrue="1">
      <formula>$Q14&gt;=1</formula>
    </cfRule>
  </conditionalFormatting>
  <conditionalFormatting sqref="E14">
    <cfRule type="expression" dxfId="34" priority="11" stopIfTrue="1">
      <formula>AND(ROUNDDOWN(($A$4-E14)/365.25,0)&lt;=13,G14&lt;&gt;"OK")</formula>
    </cfRule>
    <cfRule type="expression" dxfId="33" priority="12" stopIfTrue="1">
      <formula>AND(ROUNDDOWN(($A$4-E14)/365.25,0)&lt;=14,G14&lt;&gt;"OK")</formula>
    </cfRule>
    <cfRule type="expression" dxfId="32" priority="13" stopIfTrue="1">
      <formula>AND(ROUNDDOWN(($A$4-E14)/365.25,0)&lt;=17,G14&lt;&gt;"OK")</formula>
    </cfRule>
  </conditionalFormatting>
  <conditionalFormatting sqref="J14">
    <cfRule type="cellIs" dxfId="31" priority="10" stopIfTrue="1" operator="equal">
      <formula>"Z"</formula>
    </cfRule>
  </conditionalFormatting>
  <conditionalFormatting sqref="B14:D14">
    <cfRule type="expression" dxfId="30" priority="9" stopIfTrue="1">
      <formula>$Q14&gt;=1</formula>
    </cfRule>
  </conditionalFormatting>
  <conditionalFormatting sqref="E14">
    <cfRule type="expression" dxfId="29" priority="6" stopIfTrue="1">
      <formula>AND(ROUNDDOWN(($A$4-E14)/365.25,0)&lt;=13,G14&lt;&gt;"OK")</formula>
    </cfRule>
    <cfRule type="expression" dxfId="28" priority="7" stopIfTrue="1">
      <formula>AND(ROUNDDOWN(($A$4-E14)/365.25,0)&lt;=14,G14&lt;&gt;"OK")</formula>
    </cfRule>
    <cfRule type="expression" dxfId="27" priority="8" stopIfTrue="1">
      <formula>AND(ROUNDDOWN(($A$4-E14)/365.25,0)&lt;=17,G14&lt;&gt;"OK")</formula>
    </cfRule>
  </conditionalFormatting>
  <conditionalFormatting sqref="B14:D14">
    <cfRule type="expression" dxfId="26" priority="5" stopIfTrue="1">
      <formula>$Q14&gt;=1</formula>
    </cfRule>
  </conditionalFormatting>
  <conditionalFormatting sqref="E14">
    <cfRule type="expression" dxfId="25" priority="2" stopIfTrue="1">
      <formula>AND(ROUNDDOWN(($A$4-E14)/365.25,0)&lt;=13,G14&lt;&gt;"OK")</formula>
    </cfRule>
    <cfRule type="expression" dxfId="24" priority="3" stopIfTrue="1">
      <formula>AND(ROUNDDOWN(($A$4-E14)/365.25,0)&lt;=14,G14&lt;&gt;"OK")</formula>
    </cfRule>
    <cfRule type="expression" dxfId="23" priority="4" stopIfTrue="1">
      <formula>AND(ROUNDDOWN(($A$4-E14)/365.25,0)&lt;=17,G14&lt;&gt;"OK")</formula>
    </cfRule>
  </conditionalFormatting>
  <conditionalFormatting sqref="B14:D14">
    <cfRule type="expression" dxfId="22" priority="1" stopIfTrue="1">
      <formula>$Q14&gt;=1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A8D8-5C23-4C4C-BB8B-30496779AEC2}">
  <sheetPr codeName="Munka56">
    <tabColor indexed="11"/>
  </sheetPr>
  <dimension ref="A1:AK54"/>
  <sheetViews>
    <sheetView tabSelected="1"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4" t="str">
        <f>Altalanos!$A$6</f>
        <v>OB</v>
      </c>
      <c r="B1" s="344"/>
      <c r="C1" s="344"/>
      <c r="D1" s="344"/>
      <c r="E1" s="344"/>
      <c r="F1" s="344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73" t="e">
        <f>IF(Y5=1,CONCATENATE(VLOOKUP(Y3,AA16:AH30,2)),CONCATENATE(VLOOKUP(Y3,AA2:AK13,2)))</f>
        <v>#N/A</v>
      </c>
      <c r="AC1" s="273" t="e">
        <f>IF(Y5=1,CONCATENATE(VLOOKUP(Y3,AA16:AK30,3)),CONCATENATE(VLOOKUP(Y3,AA2:AK13,3)))</f>
        <v>#N/A</v>
      </c>
      <c r="AD1" s="273" t="e">
        <f>IF(Y5=1,CONCATENATE(VLOOKUP(Y3,AA16:AK30,4)),CONCATENATE(VLOOKUP(Y3,AA2:AK13,4)))</f>
        <v>#N/A</v>
      </c>
      <c r="AE1" s="273" t="e">
        <f>IF(Y5=1,CONCATENATE(VLOOKUP(Y3,AA16:AK30,5)),CONCATENATE(VLOOKUP(Y3,AA2:AK13,5)))</f>
        <v>#N/A</v>
      </c>
      <c r="AF1" s="273" t="e">
        <f>IF(Y5=1,CONCATENATE(VLOOKUP(Y3,AA16:AK30,6)),CONCATENATE(VLOOKUP(Y3,AA2:AK13,6)))</f>
        <v>#N/A</v>
      </c>
      <c r="AG1" s="273" t="e">
        <f>IF(Y5=1,CONCATENATE(VLOOKUP(Y3,AA16:AK30,7)),CONCATENATE(VLOOKUP(Y3,AA2:AK13,7)))</f>
        <v>#N/A</v>
      </c>
      <c r="AH1" s="273" t="e">
        <f>IF(Y5=1,CONCATENATE(VLOOKUP(Y3,AA16:AK30,8)),CONCATENATE(VLOOKUP(Y3,AA2:AK13,8)))</f>
        <v>#N/A</v>
      </c>
      <c r="AI1" s="273" t="e">
        <f>IF(Y5=1,CONCATENATE(VLOOKUP(Y3,AA16:AK30,9)),CONCATENATE(VLOOKUP(Y3,AA2:AK13,9)))</f>
        <v>#N/A</v>
      </c>
      <c r="AJ1" s="273" t="e">
        <f>IF(Y5=1,CONCATENATE(VLOOKUP(Y3,AA16:AK30,10)),CONCATENATE(VLOOKUP(Y3,AA2:AK13,10)))</f>
        <v>#N/A</v>
      </c>
      <c r="AK1" s="273" t="e">
        <f>IF(Y5=1,CONCATENATE(VLOOKUP(Y3,AA16:AK30,11)),CONCATENATE(VLOOKUP(Y3,AA2:AK13,11)))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L12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68"/>
      <c r="Z2" s="267"/>
      <c r="AA2" s="267" t="s">
        <v>58</v>
      </c>
      <c r="AB2" s="271">
        <v>150</v>
      </c>
      <c r="AC2" s="271">
        <v>120</v>
      </c>
      <c r="AD2" s="271">
        <v>100</v>
      </c>
      <c r="AE2" s="271">
        <v>80</v>
      </c>
      <c r="AF2" s="271">
        <v>70</v>
      </c>
      <c r="AG2" s="271">
        <v>60</v>
      </c>
      <c r="AH2" s="271">
        <v>55</v>
      </c>
      <c r="AI2" s="271">
        <v>50</v>
      </c>
      <c r="AJ2" s="271">
        <v>45</v>
      </c>
      <c r="AK2" s="271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56" t="s">
        <v>72</v>
      </c>
      <c r="R3" s="257" t="s">
        <v>78</v>
      </c>
      <c r="S3" s="257" t="s">
        <v>73</v>
      </c>
      <c r="Y3" s="267">
        <f>IF(H4="OB","A",IF(H4="IX","W",H4))</f>
        <v>0</v>
      </c>
      <c r="Z3" s="267"/>
      <c r="AA3" s="267" t="s">
        <v>82</v>
      </c>
      <c r="AB3" s="271">
        <v>120</v>
      </c>
      <c r="AC3" s="271">
        <v>90</v>
      </c>
      <c r="AD3" s="271">
        <v>65</v>
      </c>
      <c r="AE3" s="271">
        <v>55</v>
      </c>
      <c r="AF3" s="271">
        <v>50</v>
      </c>
      <c r="AG3" s="271">
        <v>45</v>
      </c>
      <c r="AH3" s="271">
        <v>40</v>
      </c>
      <c r="AI3" s="271">
        <v>35</v>
      </c>
      <c r="AJ3" s="271">
        <v>25</v>
      </c>
      <c r="AK3" s="271">
        <v>20</v>
      </c>
    </row>
    <row r="4" spans="1:37" ht="13.8" thickBot="1" x14ac:dyDescent="0.3">
      <c r="A4" s="345" t="str">
        <f>Altalanos!$A$10</f>
        <v>2024.08.27.-09.01</v>
      </c>
      <c r="B4" s="345"/>
      <c r="C4" s="345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Q4" s="258" t="s">
        <v>79</v>
      </c>
      <c r="R4" s="259" t="s">
        <v>74</v>
      </c>
      <c r="S4" s="259" t="s">
        <v>75</v>
      </c>
      <c r="Y4" s="267"/>
      <c r="Z4" s="267"/>
      <c r="AA4" s="267" t="s">
        <v>83</v>
      </c>
      <c r="AB4" s="271">
        <v>90</v>
      </c>
      <c r="AC4" s="271">
        <v>60</v>
      </c>
      <c r="AD4" s="271">
        <v>45</v>
      </c>
      <c r="AE4" s="271">
        <v>34</v>
      </c>
      <c r="AF4" s="271">
        <v>27</v>
      </c>
      <c r="AG4" s="271">
        <v>22</v>
      </c>
      <c r="AH4" s="271">
        <v>18</v>
      </c>
      <c r="AI4" s="271">
        <v>15</v>
      </c>
      <c r="AJ4" s="271">
        <v>12</v>
      </c>
      <c r="AK4" s="271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0" t="s">
        <v>80</v>
      </c>
      <c r="R5" s="261" t="s">
        <v>76</v>
      </c>
      <c r="S5" s="261" t="s">
        <v>77</v>
      </c>
      <c r="Y5" s="267">
        <f>IF(OR(Altalanos!$A$8="F1",Altalanos!$A$8="F2",Altalanos!$A$8="N1",Altalanos!$A$8="N2"),1,2)</f>
        <v>2</v>
      </c>
      <c r="Z5" s="267"/>
      <c r="AA5" s="267" t="s">
        <v>84</v>
      </c>
      <c r="AB5" s="271">
        <v>60</v>
      </c>
      <c r="AC5" s="271">
        <v>40</v>
      </c>
      <c r="AD5" s="271">
        <v>30</v>
      </c>
      <c r="AE5" s="271">
        <v>20</v>
      </c>
      <c r="AF5" s="271">
        <v>18</v>
      </c>
      <c r="AG5" s="271">
        <v>15</v>
      </c>
      <c r="AH5" s="271">
        <v>12</v>
      </c>
      <c r="AI5" s="271">
        <v>10</v>
      </c>
      <c r="AJ5" s="271">
        <v>8</v>
      </c>
      <c r="AK5" s="271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67"/>
      <c r="Z6" s="267"/>
      <c r="AA6" s="267" t="s">
        <v>85</v>
      </c>
      <c r="AB6" s="271">
        <v>40</v>
      </c>
      <c r="AC6" s="271">
        <v>25</v>
      </c>
      <c r="AD6" s="271">
        <v>18</v>
      </c>
      <c r="AE6" s="271">
        <v>13</v>
      </c>
      <c r="AF6" s="271">
        <v>10</v>
      </c>
      <c r="AG6" s="271">
        <v>8</v>
      </c>
      <c r="AH6" s="271">
        <v>6</v>
      </c>
      <c r="AI6" s="271">
        <v>5</v>
      </c>
      <c r="AJ6" s="271">
        <v>4</v>
      </c>
      <c r="AK6" s="271">
        <v>3</v>
      </c>
    </row>
    <row r="7" spans="1:37" x14ac:dyDescent="0.25">
      <c r="A7" s="250" t="s">
        <v>58</v>
      </c>
      <c r="B7" s="262">
        <v>1</v>
      </c>
      <c r="C7" s="205">
        <f>IF($B7="","",VLOOKUP($B7,'L12 csapat ELO'!$A$7:$O$22,5))</f>
        <v>0</v>
      </c>
      <c r="D7" s="205">
        <f>IF($B7="","",VLOOKUP($B7,'L12 csapat ELO'!$A$7:$O$22,15))</f>
        <v>11</v>
      </c>
      <c r="E7" s="202" t="str">
        <f>UPPER(IF($B7="","",VLOOKUP($B7,'L12 csapat ELO'!$A$7:$O$22,2)))</f>
        <v>VOLVEX TENISZ</v>
      </c>
      <c r="F7" s="204"/>
      <c r="G7" s="202">
        <f>IF($B7="","",VLOOKUP($B7,'L12 csapat ELO'!$A$7:$O$22,3))</f>
        <v>0</v>
      </c>
      <c r="H7" s="204"/>
      <c r="I7" s="202">
        <f>IF($B7="","",VLOOKUP($B7,'L12 csapat ELO'!$A$7:$O$22,4))</f>
        <v>0</v>
      </c>
      <c r="J7" s="193"/>
      <c r="K7" s="324" t="s">
        <v>151</v>
      </c>
      <c r="L7" s="269"/>
      <c r="M7" s="274"/>
      <c r="N7" s="211"/>
      <c r="O7" s="211"/>
      <c r="P7" s="211"/>
      <c r="Q7" s="256" t="s">
        <v>72</v>
      </c>
      <c r="R7" s="306" t="s">
        <v>109</v>
      </c>
      <c r="S7" s="306" t="s">
        <v>110</v>
      </c>
      <c r="Y7" s="267"/>
      <c r="Z7" s="267"/>
      <c r="AA7" s="267" t="s">
        <v>86</v>
      </c>
      <c r="AB7" s="271">
        <v>25</v>
      </c>
      <c r="AC7" s="271">
        <v>15</v>
      </c>
      <c r="AD7" s="271">
        <v>13</v>
      </c>
      <c r="AE7" s="271">
        <v>8</v>
      </c>
      <c r="AF7" s="271">
        <v>6</v>
      </c>
      <c r="AG7" s="271">
        <v>4</v>
      </c>
      <c r="AH7" s="271">
        <v>3</v>
      </c>
      <c r="AI7" s="271">
        <v>2</v>
      </c>
      <c r="AJ7" s="271">
        <v>1</v>
      </c>
      <c r="AK7" s="271">
        <v>0</v>
      </c>
    </row>
    <row r="8" spans="1:37" x14ac:dyDescent="0.25">
      <c r="A8" s="218"/>
      <c r="B8" s="263"/>
      <c r="C8" s="219"/>
      <c r="D8" s="219"/>
      <c r="E8" s="219"/>
      <c r="F8" s="219"/>
      <c r="G8" s="219"/>
      <c r="H8" s="219"/>
      <c r="I8" s="219"/>
      <c r="J8" s="193"/>
      <c r="K8" s="250"/>
      <c r="L8" s="218"/>
      <c r="M8" s="275"/>
      <c r="N8" s="211"/>
      <c r="O8" s="211"/>
      <c r="P8" s="211"/>
      <c r="Q8" s="258" t="s">
        <v>79</v>
      </c>
      <c r="R8" s="307" t="s">
        <v>107</v>
      </c>
      <c r="S8" s="307" t="s">
        <v>111</v>
      </c>
      <c r="Y8" s="267"/>
      <c r="Z8" s="267"/>
      <c r="AA8" s="267" t="s">
        <v>87</v>
      </c>
      <c r="AB8" s="271">
        <v>15</v>
      </c>
      <c r="AC8" s="271">
        <v>10</v>
      </c>
      <c r="AD8" s="271">
        <v>7</v>
      </c>
      <c r="AE8" s="271">
        <v>5</v>
      </c>
      <c r="AF8" s="271">
        <v>4</v>
      </c>
      <c r="AG8" s="271">
        <v>3</v>
      </c>
      <c r="AH8" s="271">
        <v>2</v>
      </c>
      <c r="AI8" s="271">
        <v>1</v>
      </c>
      <c r="AJ8" s="271">
        <v>0</v>
      </c>
      <c r="AK8" s="271">
        <v>0</v>
      </c>
    </row>
    <row r="9" spans="1:37" x14ac:dyDescent="0.25">
      <c r="A9" s="218" t="s">
        <v>59</v>
      </c>
      <c r="B9" s="264">
        <v>5</v>
      </c>
      <c r="C9" s="205">
        <f>IF($B9="","",VLOOKUP($B9,'L12 csapat ELO'!$A$7:$O$22,5))</f>
        <v>0</v>
      </c>
      <c r="D9" s="205">
        <f>IF($B9="","",VLOOKUP($B9,'L12 csapat ELO'!$A$7:$O$22,15))</f>
        <v>71</v>
      </c>
      <c r="E9" s="201" t="str">
        <f>UPPER(IF($B9="","",VLOOKUP($B9,'L12 csapat ELO'!$A$7:$O$22,2)))</f>
        <v>PG TENISZ</v>
      </c>
      <c r="F9" s="206"/>
      <c r="G9" s="201">
        <f>IF($B9="","",VLOOKUP($B9,'L12 csapat ELO'!$A$7:$O$22,3))</f>
        <v>0</v>
      </c>
      <c r="H9" s="206"/>
      <c r="I9" s="201">
        <f>IF($B9="","",VLOOKUP($B9,'L12 csapat ELO'!$A$7:$O$22,4))</f>
        <v>0</v>
      </c>
      <c r="J9" s="193"/>
      <c r="K9" s="324" t="s">
        <v>149</v>
      </c>
      <c r="L9" s="269"/>
      <c r="M9" s="274"/>
      <c r="N9" s="211"/>
      <c r="O9" s="211"/>
      <c r="P9" s="211"/>
      <c r="Q9" s="260" t="s">
        <v>80</v>
      </c>
      <c r="R9" s="308" t="s">
        <v>104</v>
      </c>
      <c r="S9" s="308" t="s">
        <v>112</v>
      </c>
      <c r="Y9" s="267"/>
      <c r="Z9" s="267"/>
      <c r="AA9" s="267" t="s">
        <v>88</v>
      </c>
      <c r="AB9" s="271">
        <v>10</v>
      </c>
      <c r="AC9" s="271">
        <v>6</v>
      </c>
      <c r="AD9" s="271">
        <v>4</v>
      </c>
      <c r="AE9" s="271">
        <v>2</v>
      </c>
      <c r="AF9" s="271">
        <v>1</v>
      </c>
      <c r="AG9" s="271">
        <v>0</v>
      </c>
      <c r="AH9" s="271">
        <v>0</v>
      </c>
      <c r="AI9" s="271">
        <v>0</v>
      </c>
      <c r="AJ9" s="271">
        <v>0</v>
      </c>
      <c r="AK9" s="271">
        <v>0</v>
      </c>
    </row>
    <row r="10" spans="1:37" x14ac:dyDescent="0.25">
      <c r="A10" s="218"/>
      <c r="B10" s="263"/>
      <c r="C10" s="219"/>
      <c r="D10" s="219"/>
      <c r="E10" s="219"/>
      <c r="F10" s="219"/>
      <c r="G10" s="219"/>
      <c r="H10" s="219"/>
      <c r="I10" s="219"/>
      <c r="J10" s="193"/>
      <c r="K10" s="250"/>
      <c r="L10" s="218"/>
      <c r="M10" s="275"/>
      <c r="N10" s="211"/>
      <c r="O10" s="211"/>
      <c r="P10" s="211"/>
      <c r="Q10" s="211"/>
      <c r="R10" s="211"/>
      <c r="S10" s="211"/>
      <c r="Y10" s="267"/>
      <c r="Z10" s="267"/>
      <c r="AA10" s="267" t="s">
        <v>89</v>
      </c>
      <c r="AB10" s="271">
        <v>6</v>
      </c>
      <c r="AC10" s="271">
        <v>3</v>
      </c>
      <c r="AD10" s="271">
        <v>2</v>
      </c>
      <c r="AE10" s="271">
        <v>1</v>
      </c>
      <c r="AF10" s="271">
        <v>0</v>
      </c>
      <c r="AG10" s="271">
        <v>0</v>
      </c>
      <c r="AH10" s="271">
        <v>0</v>
      </c>
      <c r="AI10" s="271">
        <v>0</v>
      </c>
      <c r="AJ10" s="271">
        <v>0</v>
      </c>
      <c r="AK10" s="271">
        <v>0</v>
      </c>
    </row>
    <row r="11" spans="1:37" x14ac:dyDescent="0.25">
      <c r="A11" s="218" t="s">
        <v>60</v>
      </c>
      <c r="B11" s="264">
        <v>8</v>
      </c>
      <c r="C11" s="205">
        <f>IF($B11="","",VLOOKUP($B11,'L12 csapat ELO'!$A$7:$O$22,5))</f>
        <v>0</v>
      </c>
      <c r="D11" s="205">
        <f>IF($B11="","",VLOOKUP($B11,'L12 csapat ELO'!$A$7:$O$22,15))</f>
        <v>128</v>
      </c>
      <c r="E11" s="201" t="str">
        <f>UPPER(IF($B11="","",VLOOKUP($B11,'L12 csapat ELO'!$A$7:$O$22,2)))</f>
        <v>RÁBA ETO SE</v>
      </c>
      <c r="F11" s="206"/>
      <c r="G11" s="201">
        <f>IF($B11="","",VLOOKUP($B11,'L12 csapat ELO'!$A$7:$O$22,3))</f>
        <v>0</v>
      </c>
      <c r="H11" s="206"/>
      <c r="I11" s="201">
        <f>IF($B11="","",VLOOKUP($B11,'L12 csapat ELO'!$A$7:$O$22,4))</f>
        <v>0</v>
      </c>
      <c r="J11" s="193"/>
      <c r="K11" s="324" t="s">
        <v>153</v>
      </c>
      <c r="L11" s="269"/>
      <c r="M11" s="274"/>
      <c r="N11" s="211"/>
      <c r="O11" s="211"/>
      <c r="P11" s="211"/>
      <c r="Q11" s="211"/>
      <c r="R11" s="211"/>
      <c r="S11" s="211"/>
      <c r="Y11" s="267"/>
      <c r="Z11" s="267"/>
      <c r="AA11" s="267" t="s">
        <v>94</v>
      </c>
      <c r="AB11" s="271">
        <v>3</v>
      </c>
      <c r="AC11" s="271">
        <v>2</v>
      </c>
      <c r="AD11" s="271">
        <v>1</v>
      </c>
      <c r="AE11" s="271">
        <v>0</v>
      </c>
      <c r="AF11" s="271">
        <v>0</v>
      </c>
      <c r="AG11" s="271">
        <v>0</v>
      </c>
      <c r="AH11" s="271">
        <v>0</v>
      </c>
      <c r="AI11" s="271">
        <v>0</v>
      </c>
      <c r="AJ11" s="271">
        <v>0</v>
      </c>
      <c r="AK11" s="271">
        <v>0</v>
      </c>
    </row>
    <row r="12" spans="1:37" x14ac:dyDescent="0.25">
      <c r="A12" s="193"/>
      <c r="B12" s="250"/>
      <c r="C12" s="247"/>
      <c r="D12" s="193"/>
      <c r="E12" s="193"/>
      <c r="F12" s="193"/>
      <c r="G12" s="193"/>
      <c r="H12" s="193"/>
      <c r="I12" s="193"/>
      <c r="J12" s="193"/>
      <c r="K12" s="325"/>
      <c r="L12" s="247"/>
      <c r="M12" s="276"/>
      <c r="Y12" s="267"/>
      <c r="Z12" s="267"/>
      <c r="AA12" s="267" t="s">
        <v>90</v>
      </c>
      <c r="AB12" s="272">
        <v>0</v>
      </c>
      <c r="AC12" s="272">
        <v>0</v>
      </c>
      <c r="AD12" s="272">
        <v>0</v>
      </c>
      <c r="AE12" s="272">
        <v>0</v>
      </c>
      <c r="AF12" s="272">
        <v>0</v>
      </c>
      <c r="AG12" s="272">
        <v>0</v>
      </c>
      <c r="AH12" s="272">
        <v>0</v>
      </c>
      <c r="AI12" s="272">
        <v>0</v>
      </c>
      <c r="AJ12" s="272">
        <v>0</v>
      </c>
      <c r="AK12" s="272">
        <v>0</v>
      </c>
    </row>
    <row r="13" spans="1:37" x14ac:dyDescent="0.25">
      <c r="A13" s="301" t="s">
        <v>65</v>
      </c>
      <c r="B13" s="304">
        <v>3</v>
      </c>
      <c r="C13" s="205">
        <f>IF($B13="","",VLOOKUP($B13,'L12 csapat ELO'!$A$7:$O$22,5))</f>
        <v>0</v>
      </c>
      <c r="D13" s="205">
        <f>IF($B13="","",VLOOKUP($B13,'L12 csapat ELO'!$A$7:$O$22,15))</f>
        <v>63</v>
      </c>
      <c r="E13" s="201" t="str">
        <f>UPPER(IF($B13="","",VLOOKUP($B13,'L12 csapat ELO'!$A$7:$O$22,2)))</f>
        <v>MESE LILA</v>
      </c>
      <c r="F13" s="206"/>
      <c r="G13" s="201">
        <f>IF($B13="","",VLOOKUP($B13,'L12 csapat ELO'!$A$7:$O$22,3))</f>
        <v>0</v>
      </c>
      <c r="H13" s="206"/>
      <c r="I13" s="201">
        <f>IF($B13="","",VLOOKUP($B13,'L12 csapat ELO'!$A$7:$O$22,4))</f>
        <v>0</v>
      </c>
      <c r="J13" s="193"/>
      <c r="K13" s="324" t="s">
        <v>146</v>
      </c>
      <c r="L13" s="269"/>
      <c r="M13" s="274"/>
      <c r="Y13" s="267"/>
      <c r="Z13" s="267"/>
      <c r="AA13" s="267" t="s">
        <v>91</v>
      </c>
      <c r="AB13" s="272">
        <v>0</v>
      </c>
      <c r="AC13" s="272">
        <v>0</v>
      </c>
      <c r="AD13" s="272">
        <v>0</v>
      </c>
      <c r="AE13" s="272">
        <v>0</v>
      </c>
      <c r="AF13" s="272">
        <v>0</v>
      </c>
      <c r="AG13" s="272">
        <v>0</v>
      </c>
      <c r="AH13" s="272">
        <v>0</v>
      </c>
      <c r="AI13" s="272">
        <v>0</v>
      </c>
      <c r="AJ13" s="272">
        <v>0</v>
      </c>
      <c r="AK13" s="272">
        <v>0</v>
      </c>
    </row>
    <row r="14" spans="1:37" x14ac:dyDescent="0.25">
      <c r="A14" s="218"/>
      <c r="B14" s="263"/>
      <c r="C14" s="219"/>
      <c r="D14" s="219"/>
      <c r="E14" s="219"/>
      <c r="F14" s="219"/>
      <c r="G14" s="219"/>
      <c r="H14" s="219"/>
      <c r="I14" s="219"/>
      <c r="J14" s="193"/>
      <c r="K14" s="250"/>
      <c r="L14" s="218"/>
      <c r="M14" s="275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</row>
    <row r="15" spans="1:37" x14ac:dyDescent="0.25">
      <c r="A15" s="250" t="s">
        <v>66</v>
      </c>
      <c r="B15" s="303">
        <v>2</v>
      </c>
      <c r="C15" s="205">
        <f>IF($B15="","",VLOOKUP($B15,'L12 csapat ELO'!$A$7:$O$22,5))</f>
        <v>0</v>
      </c>
      <c r="D15" s="302">
        <f>IF($B15="","",VLOOKUP($B15,'L12 csapat ELO'!$A$7:$O$22,15))</f>
        <v>32</v>
      </c>
      <c r="E15" s="202" t="str">
        <f>UPPER(IF($B15="","",VLOOKUP($B15,'L12 csapat ELO'!$A$7:$O$22,2)))</f>
        <v>PVTC</v>
      </c>
      <c r="F15" s="204"/>
      <c r="G15" s="202">
        <f>IF($B15="","",VLOOKUP($B15,'L12 csapat ELO'!$A$7:$O$22,3))</f>
        <v>0</v>
      </c>
      <c r="H15" s="204"/>
      <c r="I15" s="202">
        <f>IF($B15="","",VLOOKUP($B15,'L12 csapat ELO'!$A$7:$O$22,4))</f>
        <v>0</v>
      </c>
      <c r="J15" s="193"/>
      <c r="K15" s="324" t="s">
        <v>147</v>
      </c>
      <c r="L15" s="269"/>
      <c r="M15" s="274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</row>
    <row r="16" spans="1:37" x14ac:dyDescent="0.25">
      <c r="A16" s="218"/>
      <c r="B16" s="263"/>
      <c r="C16" s="219"/>
      <c r="D16" s="219"/>
      <c r="E16" s="219"/>
      <c r="F16" s="219"/>
      <c r="G16" s="219"/>
      <c r="H16" s="219"/>
      <c r="I16" s="219"/>
      <c r="J16" s="193"/>
      <c r="K16" s="250"/>
      <c r="L16" s="218"/>
      <c r="M16" s="275"/>
      <c r="Y16" s="267"/>
      <c r="Z16" s="267"/>
      <c r="AA16" s="267" t="s">
        <v>58</v>
      </c>
      <c r="AB16" s="267">
        <v>300</v>
      </c>
      <c r="AC16" s="267">
        <v>250</v>
      </c>
      <c r="AD16" s="267">
        <v>220</v>
      </c>
      <c r="AE16" s="267">
        <v>180</v>
      </c>
      <c r="AF16" s="267">
        <v>160</v>
      </c>
      <c r="AG16" s="267">
        <v>150</v>
      </c>
      <c r="AH16" s="267">
        <v>140</v>
      </c>
      <c r="AI16" s="267">
        <v>130</v>
      </c>
      <c r="AJ16" s="267">
        <v>120</v>
      </c>
      <c r="AK16" s="267">
        <v>110</v>
      </c>
    </row>
    <row r="17" spans="1:37" x14ac:dyDescent="0.25">
      <c r="A17" s="218" t="s">
        <v>67</v>
      </c>
      <c r="B17" s="264">
        <v>7</v>
      </c>
      <c r="C17" s="205">
        <f>IF($B17="","",VLOOKUP($B17,'L12 csapat ELO'!$A$7:$O$22,5))</f>
        <v>0</v>
      </c>
      <c r="D17" s="205">
        <f>IF($B17="","",VLOOKUP($B17,'L12 csapat ELO'!$A$7:$O$22,15))</f>
        <v>121</v>
      </c>
      <c r="E17" s="201" t="str">
        <f>UPPER(IF($B17="","",VLOOKUP($B17,'L12 csapat ELO'!$A$7:$O$22,2)))</f>
        <v>BBTC SE</v>
      </c>
      <c r="F17" s="206"/>
      <c r="G17" s="201">
        <f>IF($B17="","",VLOOKUP($B17,'L12 csapat ELO'!$A$7:$O$22,3))</f>
        <v>0</v>
      </c>
      <c r="H17" s="206"/>
      <c r="I17" s="201">
        <f>IF($B17="","",VLOOKUP($B17,'L12 csapat ELO'!$A$7:$O$22,4))</f>
        <v>0</v>
      </c>
      <c r="J17" s="193"/>
      <c r="K17" s="324" t="s">
        <v>154</v>
      </c>
      <c r="L17" s="269"/>
      <c r="M17" s="274"/>
      <c r="Y17" s="267"/>
      <c r="Z17" s="267"/>
      <c r="AA17" s="267" t="s">
        <v>82</v>
      </c>
      <c r="AB17" s="267">
        <v>250</v>
      </c>
      <c r="AC17" s="267">
        <v>200</v>
      </c>
      <c r="AD17" s="267">
        <v>160</v>
      </c>
      <c r="AE17" s="267">
        <v>140</v>
      </c>
      <c r="AF17" s="267">
        <v>120</v>
      </c>
      <c r="AG17" s="267">
        <v>110</v>
      </c>
      <c r="AH17" s="267">
        <v>100</v>
      </c>
      <c r="AI17" s="267">
        <v>90</v>
      </c>
      <c r="AJ17" s="267">
        <v>80</v>
      </c>
      <c r="AK17" s="267">
        <v>70</v>
      </c>
    </row>
    <row r="18" spans="1:37" x14ac:dyDescent="0.25">
      <c r="A18" s="218"/>
      <c r="B18" s="263"/>
      <c r="C18" s="219"/>
      <c r="D18" s="219"/>
      <c r="E18" s="219"/>
      <c r="F18" s="219"/>
      <c r="G18" s="219"/>
      <c r="H18" s="219"/>
      <c r="I18" s="219"/>
      <c r="J18" s="193"/>
      <c r="K18" s="250"/>
      <c r="L18" s="218"/>
      <c r="M18" s="275"/>
      <c r="Y18" s="267"/>
      <c r="Z18" s="267"/>
      <c r="AA18" s="267" t="s">
        <v>83</v>
      </c>
      <c r="AB18" s="267">
        <v>200</v>
      </c>
      <c r="AC18" s="267">
        <v>150</v>
      </c>
      <c r="AD18" s="267">
        <v>130</v>
      </c>
      <c r="AE18" s="267">
        <v>110</v>
      </c>
      <c r="AF18" s="267">
        <v>95</v>
      </c>
      <c r="AG18" s="267">
        <v>80</v>
      </c>
      <c r="AH18" s="267">
        <v>70</v>
      </c>
      <c r="AI18" s="267">
        <v>60</v>
      </c>
      <c r="AJ18" s="267">
        <v>55</v>
      </c>
      <c r="AK18" s="267">
        <v>50</v>
      </c>
    </row>
    <row r="19" spans="1:37" x14ac:dyDescent="0.25">
      <c r="A19" s="301" t="s">
        <v>71</v>
      </c>
      <c r="B19" s="264">
        <v>4</v>
      </c>
      <c r="C19" s="205">
        <f>IF($B19="","",VLOOKUP($B19,'L12 csapat ELO'!$A$7:$O$22,5))</f>
        <v>0</v>
      </c>
      <c r="D19" s="205">
        <f>IF($B19="","",VLOOKUP($B19,'L12 csapat ELO'!$A$7:$O$22,15))</f>
        <v>69</v>
      </c>
      <c r="E19" s="201" t="str">
        <f>UPPER(IF($B19="","",VLOOKUP($B19,'L12 csapat ELO'!$A$7:$O$22,2)))</f>
        <v>PASARÉT TK</v>
      </c>
      <c r="F19" s="206"/>
      <c r="G19" s="201">
        <f>IF($B19="","",VLOOKUP($B19,'L12 csapat ELO'!$A$7:$O$22,3))</f>
        <v>0</v>
      </c>
      <c r="H19" s="206"/>
      <c r="I19" s="201">
        <f>IF($B19="","",VLOOKUP($B19,'L12 csapat ELO'!$A$7:$O$22,4))</f>
        <v>0</v>
      </c>
      <c r="J19" s="193"/>
      <c r="K19" s="324" t="s">
        <v>148</v>
      </c>
      <c r="L19" s="269"/>
      <c r="M19" s="274"/>
      <c r="Y19" s="267"/>
      <c r="Z19" s="267"/>
      <c r="AA19" s="267" t="s">
        <v>84</v>
      </c>
      <c r="AB19" s="267">
        <v>150</v>
      </c>
      <c r="AC19" s="267">
        <v>120</v>
      </c>
      <c r="AD19" s="267">
        <v>100</v>
      </c>
      <c r="AE19" s="267">
        <v>80</v>
      </c>
      <c r="AF19" s="267">
        <v>70</v>
      </c>
      <c r="AG19" s="267">
        <v>60</v>
      </c>
      <c r="AH19" s="267">
        <v>55</v>
      </c>
      <c r="AI19" s="267">
        <v>50</v>
      </c>
      <c r="AJ19" s="267">
        <v>45</v>
      </c>
      <c r="AK19" s="267">
        <v>40</v>
      </c>
    </row>
    <row r="20" spans="1:37" x14ac:dyDescent="0.25">
      <c r="A20" s="218"/>
      <c r="B20" s="263"/>
      <c r="C20" s="219"/>
      <c r="D20" s="219"/>
      <c r="E20" s="219"/>
      <c r="F20" s="219"/>
      <c r="G20" s="219"/>
      <c r="H20" s="219"/>
      <c r="I20" s="219"/>
      <c r="J20" s="193"/>
      <c r="K20" s="250"/>
      <c r="L20" s="218"/>
      <c r="M20" s="275"/>
      <c r="Y20" s="267"/>
      <c r="Z20" s="267"/>
      <c r="AA20" s="267" t="s">
        <v>83</v>
      </c>
      <c r="AB20" s="267">
        <v>200</v>
      </c>
      <c r="AC20" s="267">
        <v>150</v>
      </c>
      <c r="AD20" s="267">
        <v>130</v>
      </c>
      <c r="AE20" s="267">
        <v>110</v>
      </c>
      <c r="AF20" s="267">
        <v>95</v>
      </c>
      <c r="AG20" s="267">
        <v>80</v>
      </c>
      <c r="AH20" s="267">
        <v>70</v>
      </c>
      <c r="AI20" s="267">
        <v>60</v>
      </c>
      <c r="AJ20" s="267">
        <v>55</v>
      </c>
      <c r="AK20" s="267">
        <v>50</v>
      </c>
    </row>
    <row r="21" spans="1:37" x14ac:dyDescent="0.25">
      <c r="A21" s="301" t="s">
        <v>102</v>
      </c>
      <c r="B21" s="264">
        <v>6</v>
      </c>
      <c r="C21" s="205">
        <f>IF($B21="","",VLOOKUP($B21,'L12 csapat ELO'!$A$7:$O$22,5))</f>
        <v>0</v>
      </c>
      <c r="D21" s="205">
        <f>IF($B21="","",VLOOKUP($B21,'L12 csapat ELO'!$A$7:$O$22,15))</f>
        <v>73</v>
      </c>
      <c r="E21" s="201" t="str">
        <f>UPPER(IF($B21="","",VLOOKUP($B21,'L12 csapat ELO'!$A$7:$O$22,2)))</f>
        <v>MTK</v>
      </c>
      <c r="F21" s="206"/>
      <c r="G21" s="201">
        <f>IF($B21="","",VLOOKUP($B21,'L12 csapat ELO'!$A$7:$O$22,3))</f>
        <v>0</v>
      </c>
      <c r="H21" s="206"/>
      <c r="I21" s="201">
        <f>IF($B21="","",VLOOKUP($B21,'L12 csapat ELO'!$A$7:$O$22,4))</f>
        <v>0</v>
      </c>
      <c r="J21" s="193"/>
      <c r="K21" s="324" t="s">
        <v>152</v>
      </c>
      <c r="L21" s="269"/>
      <c r="M21" s="274"/>
      <c r="Y21" s="267"/>
      <c r="Z21" s="267"/>
      <c r="AA21" s="267" t="s">
        <v>84</v>
      </c>
      <c r="AB21" s="267">
        <v>150</v>
      </c>
      <c r="AC21" s="267">
        <v>120</v>
      </c>
      <c r="AD21" s="267">
        <v>100</v>
      </c>
      <c r="AE21" s="267">
        <v>80</v>
      </c>
      <c r="AF21" s="267">
        <v>70</v>
      </c>
      <c r="AG21" s="267">
        <v>60</v>
      </c>
      <c r="AH21" s="267">
        <v>55</v>
      </c>
      <c r="AI21" s="267">
        <v>50</v>
      </c>
      <c r="AJ21" s="267">
        <v>45</v>
      </c>
      <c r="AK21" s="267">
        <v>40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67"/>
      <c r="Z22" s="267"/>
      <c r="AA22" s="267" t="s">
        <v>85</v>
      </c>
      <c r="AB22" s="267">
        <v>120</v>
      </c>
      <c r="AC22" s="267">
        <v>90</v>
      </c>
      <c r="AD22" s="267">
        <v>65</v>
      </c>
      <c r="AE22" s="267">
        <v>55</v>
      </c>
      <c r="AF22" s="267">
        <v>50</v>
      </c>
      <c r="AG22" s="267">
        <v>45</v>
      </c>
      <c r="AH22" s="267">
        <v>40</v>
      </c>
      <c r="AI22" s="267">
        <v>35</v>
      </c>
      <c r="AJ22" s="267">
        <v>25</v>
      </c>
      <c r="AK22" s="267">
        <v>20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7"/>
      <c r="Z23" s="267"/>
      <c r="AA23" s="267" t="s">
        <v>86</v>
      </c>
      <c r="AB23" s="267">
        <v>90</v>
      </c>
      <c r="AC23" s="267">
        <v>60</v>
      </c>
      <c r="AD23" s="267">
        <v>45</v>
      </c>
      <c r="AE23" s="267">
        <v>34</v>
      </c>
      <c r="AF23" s="267">
        <v>27</v>
      </c>
      <c r="AG23" s="267">
        <v>22</v>
      </c>
      <c r="AH23" s="267">
        <v>18</v>
      </c>
      <c r="AI23" s="267">
        <v>15</v>
      </c>
      <c r="AJ23" s="267">
        <v>12</v>
      </c>
      <c r="AK23" s="267">
        <v>9</v>
      </c>
    </row>
    <row r="24" spans="1:37" ht="18.75" customHeight="1" x14ac:dyDescent="0.25">
      <c r="A24" s="193"/>
      <c r="B24" s="346"/>
      <c r="C24" s="346"/>
      <c r="D24" s="330" t="str">
        <f>E7</f>
        <v>VOLVEX TENISZ</v>
      </c>
      <c r="E24" s="330"/>
      <c r="F24" s="330" t="str">
        <f>E9</f>
        <v>PG TENISZ</v>
      </c>
      <c r="G24" s="330"/>
      <c r="H24" s="330" t="str">
        <f>E11</f>
        <v>RÁBA ETO SE</v>
      </c>
      <c r="I24" s="330"/>
      <c r="J24" s="330" t="str">
        <f>E13</f>
        <v>MESE LILA</v>
      </c>
      <c r="K24" s="330"/>
      <c r="L24" s="193"/>
      <c r="M24" s="251" t="s">
        <v>62</v>
      </c>
      <c r="Y24" s="267"/>
      <c r="Z24" s="267"/>
      <c r="AA24" s="267" t="s">
        <v>87</v>
      </c>
      <c r="AB24" s="267">
        <v>60</v>
      </c>
      <c r="AC24" s="267">
        <v>40</v>
      </c>
      <c r="AD24" s="267">
        <v>30</v>
      </c>
      <c r="AE24" s="267">
        <v>20</v>
      </c>
      <c r="AF24" s="267">
        <v>18</v>
      </c>
      <c r="AG24" s="267">
        <v>15</v>
      </c>
      <c r="AH24" s="267">
        <v>12</v>
      </c>
      <c r="AI24" s="267">
        <v>10</v>
      </c>
      <c r="AJ24" s="267">
        <v>8</v>
      </c>
      <c r="AK24" s="267">
        <v>6</v>
      </c>
    </row>
    <row r="25" spans="1:37" ht="18.75" customHeight="1" x14ac:dyDescent="0.25">
      <c r="A25" s="249" t="s">
        <v>58</v>
      </c>
      <c r="B25" s="338" t="str">
        <f>E7</f>
        <v>VOLVEX TENISZ</v>
      </c>
      <c r="C25" s="338"/>
      <c r="D25" s="332"/>
      <c r="E25" s="332"/>
      <c r="F25" s="327" t="s">
        <v>142</v>
      </c>
      <c r="G25" s="328"/>
      <c r="H25" s="327" t="s">
        <v>136</v>
      </c>
      <c r="I25" s="328"/>
      <c r="J25" s="331" t="s">
        <v>136</v>
      </c>
      <c r="K25" s="329"/>
      <c r="L25" s="193"/>
      <c r="M25" s="252">
        <v>1</v>
      </c>
      <c r="Y25" s="267"/>
      <c r="Z25" s="267"/>
      <c r="AA25" s="267" t="s">
        <v>88</v>
      </c>
      <c r="AB25" s="267">
        <v>40</v>
      </c>
      <c r="AC25" s="267">
        <v>25</v>
      </c>
      <c r="AD25" s="267">
        <v>18</v>
      </c>
      <c r="AE25" s="267">
        <v>13</v>
      </c>
      <c r="AF25" s="267">
        <v>8</v>
      </c>
      <c r="AG25" s="267">
        <v>7</v>
      </c>
      <c r="AH25" s="267">
        <v>6</v>
      </c>
      <c r="AI25" s="267">
        <v>5</v>
      </c>
      <c r="AJ25" s="267">
        <v>4</v>
      </c>
      <c r="AK25" s="267">
        <v>3</v>
      </c>
    </row>
    <row r="26" spans="1:37" ht="18.75" customHeight="1" x14ac:dyDescent="0.25">
      <c r="A26" s="249" t="s">
        <v>59</v>
      </c>
      <c r="B26" s="338" t="str">
        <f>E9</f>
        <v>PG TENISZ</v>
      </c>
      <c r="C26" s="338"/>
      <c r="D26" s="327" t="s">
        <v>143</v>
      </c>
      <c r="E26" s="328"/>
      <c r="F26" s="332"/>
      <c r="G26" s="332"/>
      <c r="H26" s="327" t="s">
        <v>136</v>
      </c>
      <c r="I26" s="328"/>
      <c r="J26" s="327" t="s">
        <v>142</v>
      </c>
      <c r="K26" s="328"/>
      <c r="L26" s="193"/>
      <c r="M26" s="252">
        <v>2</v>
      </c>
      <c r="Y26" s="267"/>
      <c r="Z26" s="267"/>
      <c r="AA26" s="267" t="s">
        <v>89</v>
      </c>
      <c r="AB26" s="267">
        <v>25</v>
      </c>
      <c r="AC26" s="267">
        <v>15</v>
      </c>
      <c r="AD26" s="267">
        <v>13</v>
      </c>
      <c r="AE26" s="267">
        <v>7</v>
      </c>
      <c r="AF26" s="267">
        <v>6</v>
      </c>
      <c r="AG26" s="267">
        <v>5</v>
      </c>
      <c r="AH26" s="267">
        <v>4</v>
      </c>
      <c r="AI26" s="267">
        <v>3</v>
      </c>
      <c r="AJ26" s="267">
        <v>2</v>
      </c>
      <c r="AK26" s="267">
        <v>1</v>
      </c>
    </row>
    <row r="27" spans="1:37" ht="18.75" customHeight="1" x14ac:dyDescent="0.25">
      <c r="A27" s="249" t="s">
        <v>60</v>
      </c>
      <c r="B27" s="338" t="str">
        <f>E11</f>
        <v>RÁBA ETO SE</v>
      </c>
      <c r="C27" s="338"/>
      <c r="D27" s="327" t="s">
        <v>137</v>
      </c>
      <c r="E27" s="328"/>
      <c r="F27" s="327" t="s">
        <v>137</v>
      </c>
      <c r="G27" s="328"/>
      <c r="H27" s="332"/>
      <c r="I27" s="332"/>
      <c r="J27" s="328" t="s">
        <v>137</v>
      </c>
      <c r="K27" s="328"/>
      <c r="L27" s="193"/>
      <c r="M27" s="252">
        <v>4</v>
      </c>
      <c r="Y27" s="267"/>
      <c r="Z27" s="267"/>
      <c r="AA27" s="267" t="s">
        <v>94</v>
      </c>
      <c r="AB27" s="267">
        <v>15</v>
      </c>
      <c r="AC27" s="267">
        <v>10</v>
      </c>
      <c r="AD27" s="267">
        <v>8</v>
      </c>
      <c r="AE27" s="267">
        <v>4</v>
      </c>
      <c r="AF27" s="267">
        <v>3</v>
      </c>
      <c r="AG27" s="267">
        <v>2</v>
      </c>
      <c r="AH27" s="267">
        <v>1</v>
      </c>
      <c r="AI27" s="267">
        <v>0</v>
      </c>
      <c r="AJ27" s="267">
        <v>0</v>
      </c>
      <c r="AK27" s="267">
        <v>0</v>
      </c>
    </row>
    <row r="28" spans="1:37" ht="18.75" customHeight="1" x14ac:dyDescent="0.25">
      <c r="A28" s="300" t="s">
        <v>65</v>
      </c>
      <c r="B28" s="338" t="str">
        <f>E13</f>
        <v>MESE LILA</v>
      </c>
      <c r="C28" s="338"/>
      <c r="D28" s="327" t="s">
        <v>137</v>
      </c>
      <c r="E28" s="328"/>
      <c r="F28" s="327" t="s">
        <v>143</v>
      </c>
      <c r="G28" s="328"/>
      <c r="H28" s="329" t="s">
        <v>136</v>
      </c>
      <c r="I28" s="329"/>
      <c r="J28" s="332"/>
      <c r="K28" s="332"/>
      <c r="L28" s="193"/>
      <c r="M28" s="252">
        <v>3</v>
      </c>
      <c r="Y28" s="267"/>
      <c r="Z28" s="267"/>
      <c r="AA28" s="267" t="s">
        <v>94</v>
      </c>
      <c r="AB28" s="267">
        <v>15</v>
      </c>
      <c r="AC28" s="267">
        <v>10</v>
      </c>
      <c r="AD28" s="267">
        <v>8</v>
      </c>
      <c r="AE28" s="267">
        <v>4</v>
      </c>
      <c r="AF28" s="267">
        <v>3</v>
      </c>
      <c r="AG28" s="267">
        <v>2</v>
      </c>
      <c r="AH28" s="267">
        <v>1</v>
      </c>
      <c r="AI28" s="267">
        <v>0</v>
      </c>
      <c r="AJ28" s="267">
        <v>0</v>
      </c>
      <c r="AK28" s="267">
        <v>0</v>
      </c>
    </row>
    <row r="29" spans="1:37" x14ac:dyDescent="0.25">
      <c r="A29" s="193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193"/>
      <c r="M29" s="253"/>
      <c r="Y29" s="267"/>
      <c r="Z29" s="267"/>
      <c r="AA29" s="267" t="s">
        <v>90</v>
      </c>
      <c r="AB29" s="267">
        <v>10</v>
      </c>
      <c r="AC29" s="267">
        <v>6</v>
      </c>
      <c r="AD29" s="267">
        <v>4</v>
      </c>
      <c r="AE29" s="267">
        <v>2</v>
      </c>
      <c r="AF29" s="267">
        <v>1</v>
      </c>
      <c r="AG29" s="267">
        <v>0</v>
      </c>
      <c r="AH29" s="267">
        <v>0</v>
      </c>
      <c r="AI29" s="267">
        <v>0</v>
      </c>
      <c r="AJ29" s="267">
        <v>0</v>
      </c>
      <c r="AK29" s="267">
        <v>0</v>
      </c>
    </row>
    <row r="30" spans="1:37" ht="18.75" customHeight="1" x14ac:dyDescent="0.25">
      <c r="A30" s="193"/>
      <c r="B30" s="341"/>
      <c r="C30" s="341"/>
      <c r="D30" s="329" t="str">
        <f>E15</f>
        <v>PVTC</v>
      </c>
      <c r="E30" s="329"/>
      <c r="F30" s="329" t="str">
        <f>E17</f>
        <v>BBTC SE</v>
      </c>
      <c r="G30" s="329"/>
      <c r="H30" s="342" t="str">
        <f>E19</f>
        <v>PASARÉT TK</v>
      </c>
      <c r="I30" s="343"/>
      <c r="J30" s="329" t="str">
        <f>E21</f>
        <v>MTK</v>
      </c>
      <c r="K30" s="329"/>
      <c r="L30" s="193"/>
      <c r="M30" s="253"/>
      <c r="Y30" s="267"/>
      <c r="Z30" s="267"/>
      <c r="AA30" s="267" t="s">
        <v>91</v>
      </c>
      <c r="AB30" s="267">
        <v>3</v>
      </c>
      <c r="AC30" s="267">
        <v>2</v>
      </c>
      <c r="AD30" s="267">
        <v>1</v>
      </c>
      <c r="AE30" s="267">
        <v>0</v>
      </c>
      <c r="AF30" s="267">
        <v>0</v>
      </c>
      <c r="AG30" s="267">
        <v>0</v>
      </c>
      <c r="AH30" s="267">
        <v>0</v>
      </c>
      <c r="AI30" s="267">
        <v>0</v>
      </c>
      <c r="AJ30" s="267">
        <v>0</v>
      </c>
      <c r="AK30" s="267">
        <v>0</v>
      </c>
    </row>
    <row r="31" spans="1:37" ht="18.75" customHeight="1" x14ac:dyDescent="0.25">
      <c r="A31" s="300" t="s">
        <v>66</v>
      </c>
      <c r="B31" s="339" t="str">
        <f>E15</f>
        <v>PVTC</v>
      </c>
      <c r="C31" s="340"/>
      <c r="D31" s="332"/>
      <c r="E31" s="332"/>
      <c r="F31" s="327" t="s">
        <v>136</v>
      </c>
      <c r="G31" s="328"/>
      <c r="H31" s="327" t="s">
        <v>143</v>
      </c>
      <c r="I31" s="328"/>
      <c r="J31" s="331" t="s">
        <v>138</v>
      </c>
      <c r="K31" s="329"/>
      <c r="L31" s="193"/>
      <c r="M31" s="252">
        <v>3</v>
      </c>
    </row>
    <row r="32" spans="1:37" ht="18.75" customHeight="1" x14ac:dyDescent="0.25">
      <c r="A32" s="300" t="s">
        <v>67</v>
      </c>
      <c r="B32" s="338" t="str">
        <f>E17</f>
        <v>BBTC SE</v>
      </c>
      <c r="C32" s="338"/>
      <c r="D32" s="327" t="s">
        <v>137</v>
      </c>
      <c r="E32" s="328"/>
      <c r="F32" s="332"/>
      <c r="G32" s="332"/>
      <c r="H32" s="327" t="s">
        <v>137</v>
      </c>
      <c r="I32" s="328"/>
      <c r="J32" s="327" t="s">
        <v>140</v>
      </c>
      <c r="K32" s="328"/>
      <c r="L32" s="193"/>
      <c r="M32" s="252">
        <v>4</v>
      </c>
    </row>
    <row r="33" spans="1:19" ht="18.75" customHeight="1" x14ac:dyDescent="0.25">
      <c r="A33" s="300" t="s">
        <v>71</v>
      </c>
      <c r="B33" s="338" t="str">
        <f>E19</f>
        <v>PASARÉT TK</v>
      </c>
      <c r="C33" s="338"/>
      <c r="D33" s="327" t="s">
        <v>142</v>
      </c>
      <c r="E33" s="328"/>
      <c r="F33" s="327" t="s">
        <v>136</v>
      </c>
      <c r="G33" s="328"/>
      <c r="H33" s="332"/>
      <c r="I33" s="332"/>
      <c r="J33" s="328" t="s">
        <v>143</v>
      </c>
      <c r="K33" s="328"/>
      <c r="L33" s="193"/>
      <c r="M33" s="252">
        <v>2</v>
      </c>
    </row>
    <row r="34" spans="1:19" ht="18.75" customHeight="1" x14ac:dyDescent="0.25">
      <c r="A34" s="300" t="s">
        <v>102</v>
      </c>
      <c r="B34" s="338" t="str">
        <f>E21</f>
        <v>MTK</v>
      </c>
      <c r="C34" s="338"/>
      <c r="D34" s="327" t="s">
        <v>139</v>
      </c>
      <c r="E34" s="328"/>
      <c r="F34" s="327" t="s">
        <v>141</v>
      </c>
      <c r="G34" s="328"/>
      <c r="H34" s="329" t="s">
        <v>142</v>
      </c>
      <c r="I34" s="329"/>
      <c r="J34" s="332"/>
      <c r="K34" s="332"/>
      <c r="L34" s="193"/>
      <c r="M34" s="252">
        <v>1</v>
      </c>
    </row>
    <row r="35" spans="1:19" ht="18.75" customHeight="1" x14ac:dyDescent="0.25">
      <c r="A35" s="254"/>
      <c r="B35" s="317"/>
      <c r="C35" s="317"/>
      <c r="D35" s="318"/>
      <c r="E35" s="318"/>
      <c r="F35" s="318"/>
      <c r="G35" s="318"/>
      <c r="H35" s="318"/>
      <c r="I35" s="318"/>
      <c r="J35" s="316"/>
      <c r="K35" s="316"/>
      <c r="L35" s="193"/>
      <c r="M35" s="255"/>
    </row>
    <row r="36" spans="1:19" x14ac:dyDescent="0.25">
      <c r="A36" s="193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193"/>
      <c r="M36" s="193"/>
    </row>
    <row r="37" spans="1:19" x14ac:dyDescent="0.25">
      <c r="A37" s="193" t="s">
        <v>52</v>
      </c>
      <c r="B37" s="316"/>
      <c r="C37" s="333" t="str">
        <f>IF(M25=1,B25,IF(M26=1,B26,IF(M27=1,B27,IF(M28=1,B28,""))))</f>
        <v>VOLVEX TENISZ</v>
      </c>
      <c r="D37" s="333"/>
      <c r="E37" s="319" t="s">
        <v>69</v>
      </c>
      <c r="F37" s="334" t="str">
        <f>IF(M31=1,B31,IF(M32=1,B32,IF(M33=1,B33,IF(M34=1,B34,""))))</f>
        <v>MTK</v>
      </c>
      <c r="G37" s="334"/>
      <c r="H37" s="316"/>
      <c r="I37" s="321" t="s">
        <v>136</v>
      </c>
      <c r="J37" s="316"/>
      <c r="K37" s="316"/>
      <c r="L37" s="193"/>
      <c r="M37" s="193"/>
    </row>
    <row r="38" spans="1:19" x14ac:dyDescent="0.25">
      <c r="A38" s="193"/>
      <c r="B38" s="316"/>
      <c r="C38" s="316"/>
      <c r="D38" s="316"/>
      <c r="E38" s="316"/>
      <c r="F38" s="319"/>
      <c r="G38" s="319"/>
      <c r="H38" s="316"/>
      <c r="I38" s="322"/>
      <c r="J38" s="316"/>
      <c r="K38" s="316"/>
      <c r="L38" s="193"/>
      <c r="M38" s="193"/>
    </row>
    <row r="39" spans="1:19" x14ac:dyDescent="0.25">
      <c r="A39" s="193" t="s">
        <v>68</v>
      </c>
      <c r="B39" s="316"/>
      <c r="C39" s="333" t="str">
        <f>IF(M25=2,B25,IF(M26=2,B26,IF(M27=2,B27,IF(M28=2,B28,""))))</f>
        <v>PG TENISZ</v>
      </c>
      <c r="D39" s="333"/>
      <c r="E39" s="319" t="s">
        <v>69</v>
      </c>
      <c r="F39" s="334" t="str">
        <f>IF(M31=2,B31,IF(M32=2,B32,IF(M33=2,B33,IF(M34=2,B34,""))))</f>
        <v>PASARÉT TK</v>
      </c>
      <c r="G39" s="334"/>
      <c r="H39" s="316"/>
      <c r="I39" s="321" t="s">
        <v>142</v>
      </c>
      <c r="J39" s="316"/>
      <c r="K39" s="316"/>
      <c r="L39" s="193"/>
      <c r="M39" s="193"/>
    </row>
    <row r="40" spans="1:19" x14ac:dyDescent="0.25">
      <c r="A40" s="193"/>
      <c r="B40" s="316"/>
      <c r="C40" s="320"/>
      <c r="D40" s="320"/>
      <c r="E40" s="319"/>
      <c r="F40" s="320"/>
      <c r="G40" s="320"/>
      <c r="H40" s="316"/>
      <c r="I40" s="322"/>
      <c r="J40" s="316"/>
      <c r="K40" s="316"/>
      <c r="L40" s="193"/>
      <c r="M40" s="193"/>
    </row>
    <row r="41" spans="1:19" x14ac:dyDescent="0.25">
      <c r="A41" s="193" t="s">
        <v>70</v>
      </c>
      <c r="B41" s="316"/>
      <c r="C41" s="334" t="str">
        <f>IF(M25=3,B25,IF(M26=3,B26,IF(M27=3,B27,IF(M28=3,B28,""))))</f>
        <v>MESE LILA</v>
      </c>
      <c r="D41" s="334"/>
      <c r="E41" s="319" t="s">
        <v>69</v>
      </c>
      <c r="F41" s="333" t="str">
        <f>IF(M31=3,B31,IF(M32=3,B32,IF(M33=3,B33,IF(M34=3,B34,""))))</f>
        <v>PVTC</v>
      </c>
      <c r="G41" s="333"/>
      <c r="H41" s="316"/>
      <c r="I41" s="321" t="s">
        <v>156</v>
      </c>
      <c r="J41" s="316"/>
      <c r="K41" s="316"/>
      <c r="L41" s="193"/>
      <c r="M41" s="193"/>
    </row>
    <row r="42" spans="1:19" x14ac:dyDescent="0.25">
      <c r="A42" s="193"/>
      <c r="B42" s="316"/>
      <c r="C42" s="316"/>
      <c r="D42" s="316"/>
      <c r="E42" s="316"/>
      <c r="F42" s="316"/>
      <c r="G42" s="316"/>
      <c r="H42" s="316"/>
      <c r="I42" s="322"/>
      <c r="J42" s="316"/>
      <c r="K42" s="316"/>
      <c r="L42" s="193"/>
      <c r="M42" s="193"/>
    </row>
    <row r="43" spans="1:19" x14ac:dyDescent="0.25">
      <c r="A43" s="219" t="s">
        <v>103</v>
      </c>
      <c r="B43" s="316"/>
      <c r="C43" s="333" t="str">
        <f>IF(M25=4,B25,IF(M26=4,B26,IF(M27=4,B27,IF(M28=4,B28,))))</f>
        <v>RÁBA ETO SE</v>
      </c>
      <c r="D43" s="333"/>
      <c r="E43" s="319" t="s">
        <v>69</v>
      </c>
      <c r="F43" s="337" t="s">
        <v>121</v>
      </c>
      <c r="G43" s="337"/>
      <c r="H43" s="316"/>
      <c r="I43" s="321" t="s">
        <v>155</v>
      </c>
      <c r="J43" s="316"/>
      <c r="K43" s="316"/>
      <c r="L43" s="193"/>
      <c r="M43" s="193"/>
      <c r="O43" s="211"/>
      <c r="P43" s="211"/>
      <c r="Q43" s="211"/>
      <c r="R43" s="211"/>
      <c r="S43" s="211"/>
    </row>
    <row r="44" spans="1:19" x14ac:dyDescent="0.2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2"/>
      <c r="M44" s="193"/>
      <c r="O44" s="211"/>
      <c r="P44" s="220"/>
      <c r="Q44" s="220"/>
      <c r="R44" s="221"/>
      <c r="S44" s="211"/>
    </row>
    <row r="45" spans="1:19" x14ac:dyDescent="0.25">
      <c r="A45" s="110" t="s">
        <v>38</v>
      </c>
      <c r="B45" s="111"/>
      <c r="C45" s="165"/>
      <c r="D45" s="226" t="s">
        <v>2</v>
      </c>
      <c r="E45" s="227" t="s">
        <v>40</v>
      </c>
      <c r="F45" s="245"/>
      <c r="G45" s="226" t="s">
        <v>2</v>
      </c>
      <c r="H45" s="227" t="s">
        <v>49</v>
      </c>
      <c r="I45" s="119"/>
      <c r="J45" s="227" t="s">
        <v>50</v>
      </c>
      <c r="K45" s="118" t="s">
        <v>51</v>
      </c>
      <c r="L45" s="31"/>
      <c r="M45" s="245"/>
      <c r="O45" s="211"/>
      <c r="P45" s="222"/>
      <c r="Q45" s="222"/>
      <c r="R45" s="223"/>
      <c r="S45" s="211"/>
    </row>
    <row r="46" spans="1:19" x14ac:dyDescent="0.25">
      <c r="A46" s="196" t="s">
        <v>39</v>
      </c>
      <c r="B46" s="197"/>
      <c r="C46" s="198"/>
      <c r="D46" s="228">
        <v>1</v>
      </c>
      <c r="E46" s="335" t="str">
        <f>IF(D46&gt;$R$47,,UPPER(VLOOKUP(D46,'L12 csapat ELO'!$A$7:$Q$134,2)))</f>
        <v>VOLVEX TENISZ</v>
      </c>
      <c r="F46" s="335"/>
      <c r="G46" s="239" t="s">
        <v>3</v>
      </c>
      <c r="H46" s="197"/>
      <c r="I46" s="229"/>
      <c r="J46" s="240"/>
      <c r="K46" s="194" t="s">
        <v>41</v>
      </c>
      <c r="L46" s="246"/>
      <c r="M46" s="230"/>
      <c r="O46" s="211"/>
      <c r="P46" s="223"/>
      <c r="Q46" s="224"/>
      <c r="R46" s="223"/>
      <c r="S46" s="211"/>
    </row>
    <row r="47" spans="1:19" x14ac:dyDescent="0.25">
      <c r="A47" s="199" t="s">
        <v>48</v>
      </c>
      <c r="B47" s="117"/>
      <c r="C47" s="200"/>
      <c r="D47" s="231">
        <v>2</v>
      </c>
      <c r="E47" s="336" t="str">
        <f>IF(D47&gt;$R$47,,UPPER(VLOOKUP(D47,'L12 csapat ELO'!$A$7:$Q$134,2)))</f>
        <v>PVTC</v>
      </c>
      <c r="F47" s="336"/>
      <c r="G47" s="241" t="s">
        <v>4</v>
      </c>
      <c r="H47" s="232"/>
      <c r="I47" s="233"/>
      <c r="J47" s="82"/>
      <c r="K47" s="243"/>
      <c r="L47" s="192"/>
      <c r="M47" s="238"/>
      <c r="O47" s="211"/>
      <c r="P47" s="222"/>
      <c r="Q47" s="222"/>
      <c r="R47" s="225">
        <f>MIN(4,'L12 csapat ELO'!Q2)</f>
        <v>4</v>
      </c>
      <c r="S47" s="211"/>
    </row>
    <row r="48" spans="1:19" x14ac:dyDescent="0.25">
      <c r="A48" s="132"/>
      <c r="B48" s="133"/>
      <c r="C48" s="134"/>
      <c r="D48" s="231"/>
      <c r="E48" s="235"/>
      <c r="F48" s="236"/>
      <c r="G48" s="241" t="s">
        <v>5</v>
      </c>
      <c r="H48" s="232"/>
      <c r="I48" s="233"/>
      <c r="J48" s="82"/>
      <c r="K48" s="194" t="s">
        <v>42</v>
      </c>
      <c r="L48" s="246"/>
      <c r="M48" s="230"/>
      <c r="O48" s="211"/>
      <c r="P48" s="223"/>
      <c r="Q48" s="224"/>
      <c r="R48" s="223"/>
      <c r="S48" s="211"/>
    </row>
    <row r="49" spans="1:19" x14ac:dyDescent="0.25">
      <c r="A49" s="112"/>
      <c r="B49" s="163"/>
      <c r="C49" s="113"/>
      <c r="D49" s="231"/>
      <c r="E49" s="235"/>
      <c r="F49" s="236"/>
      <c r="G49" s="241" t="s">
        <v>6</v>
      </c>
      <c r="H49" s="232"/>
      <c r="I49" s="233"/>
      <c r="J49" s="82"/>
      <c r="K49" s="244"/>
      <c r="L49" s="236"/>
      <c r="M49" s="234"/>
      <c r="O49" s="211"/>
      <c r="P49" s="223"/>
      <c r="Q49" s="224"/>
      <c r="R49" s="223"/>
      <c r="S49" s="211"/>
    </row>
    <row r="50" spans="1:19" x14ac:dyDescent="0.25">
      <c r="A50" s="121"/>
      <c r="B50" s="135"/>
      <c r="C50" s="164"/>
      <c r="D50" s="231"/>
      <c r="E50" s="235"/>
      <c r="F50" s="236"/>
      <c r="G50" s="241" t="s">
        <v>7</v>
      </c>
      <c r="H50" s="232"/>
      <c r="I50" s="233"/>
      <c r="J50" s="82"/>
      <c r="K50" s="199"/>
      <c r="L50" s="192"/>
      <c r="M50" s="238"/>
      <c r="O50" s="211"/>
      <c r="P50" s="222"/>
      <c r="Q50" s="222"/>
      <c r="R50" s="223"/>
      <c r="S50" s="211"/>
    </row>
    <row r="51" spans="1:19" x14ac:dyDescent="0.25">
      <c r="A51" s="122"/>
      <c r="B51" s="138"/>
      <c r="C51" s="113"/>
      <c r="D51" s="231"/>
      <c r="E51" s="235"/>
      <c r="F51" s="236"/>
      <c r="G51" s="241" t="s">
        <v>8</v>
      </c>
      <c r="H51" s="232"/>
      <c r="I51" s="233"/>
      <c r="J51" s="82"/>
      <c r="K51" s="194" t="s">
        <v>31</v>
      </c>
      <c r="L51" s="246"/>
      <c r="M51" s="230"/>
      <c r="O51" s="211"/>
      <c r="P51" s="223"/>
      <c r="Q51" s="224"/>
      <c r="R51" s="223"/>
      <c r="S51" s="211"/>
    </row>
    <row r="52" spans="1:19" x14ac:dyDescent="0.25">
      <c r="A52" s="122"/>
      <c r="B52" s="138"/>
      <c r="C52" s="130"/>
      <c r="D52" s="231"/>
      <c r="E52" s="235"/>
      <c r="F52" s="236"/>
      <c r="G52" s="241" t="s">
        <v>9</v>
      </c>
      <c r="H52" s="232"/>
      <c r="I52" s="233"/>
      <c r="J52" s="82"/>
      <c r="K52" s="244"/>
      <c r="L52" s="236"/>
      <c r="M52" s="234"/>
      <c r="O52" s="211"/>
      <c r="P52" s="223"/>
      <c r="Q52" s="224"/>
      <c r="R52" s="225"/>
      <c r="S52" s="211"/>
    </row>
    <row r="53" spans="1:19" x14ac:dyDescent="0.25">
      <c r="A53" s="123"/>
      <c r="B53" s="120"/>
      <c r="C53" s="131"/>
      <c r="D53" s="237"/>
      <c r="E53" s="114"/>
      <c r="F53" s="192"/>
      <c r="G53" s="242" t="s">
        <v>10</v>
      </c>
      <c r="H53" s="117"/>
      <c r="I53" s="195"/>
      <c r="J53" s="115"/>
      <c r="K53" s="199" t="str">
        <f>L4</f>
        <v>Rákóczi Andrea</v>
      </c>
      <c r="L53" s="192"/>
      <c r="M53" s="238"/>
      <c r="O53" s="211"/>
      <c r="P53" s="211"/>
      <c r="Q53" s="211"/>
      <c r="R53" s="211"/>
      <c r="S53" s="211"/>
    </row>
    <row r="54" spans="1:19" x14ac:dyDescent="0.25">
      <c r="O54" s="211"/>
      <c r="P54" s="211"/>
      <c r="Q54" s="211"/>
      <c r="R54" s="211"/>
      <c r="S54" s="211"/>
    </row>
  </sheetData>
  <mergeCells count="62">
    <mergeCell ref="A1:F1"/>
    <mergeCell ref="A4:C4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37:D37"/>
    <mergeCell ref="F37:G37"/>
    <mergeCell ref="C39:D39"/>
    <mergeCell ref="F39:G39"/>
    <mergeCell ref="C41:D41"/>
    <mergeCell ref="F41:G41"/>
    <mergeCell ref="E46:F46"/>
    <mergeCell ref="E47:F47"/>
    <mergeCell ref="C43:D43"/>
    <mergeCell ref="F43:G43"/>
    <mergeCell ref="F28:G28"/>
    <mergeCell ref="H28:I28"/>
    <mergeCell ref="J24:K24"/>
    <mergeCell ref="J25:K25"/>
    <mergeCell ref="J26:K26"/>
    <mergeCell ref="J27:K27"/>
    <mergeCell ref="J28:K28"/>
  </mergeCells>
  <conditionalFormatting sqref="R52 R47">
    <cfRule type="expression" dxfId="21" priority="2" stopIfTrue="1">
      <formula>$O$1="CU"</formula>
    </cfRule>
  </conditionalFormatting>
  <conditionalFormatting sqref="E7 E9 E11 E13 E15 E17 E19:E21">
    <cfRule type="cellIs" dxfId="2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692C-1960-4EED-A976-70D43C973586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S9" sqref="S9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39" customWidth="1"/>
    <col min="5" max="5" width="12.109375" style="294" customWidth="1"/>
    <col min="6" max="6" width="6.109375" style="88" hidden="1" customWidth="1"/>
    <col min="7" max="7" width="31.441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3" t="str">
        <f>Altalanos!$D$8</f>
        <v>L18 csapat</v>
      </c>
      <c r="D2" s="99"/>
      <c r="E2" s="159" t="s">
        <v>32</v>
      </c>
      <c r="F2" s="89"/>
      <c r="G2" s="89"/>
      <c r="H2" s="286"/>
      <c r="I2" s="286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79" t="s">
        <v>45</v>
      </c>
      <c r="B3" s="284"/>
      <c r="C3" s="284"/>
      <c r="D3" s="284"/>
      <c r="E3" s="284"/>
      <c r="F3" s="284"/>
      <c r="G3" s="284"/>
      <c r="H3" s="284"/>
      <c r="I3" s="285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6" t="s">
        <v>28</v>
      </c>
      <c r="I4" s="29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97"/>
      <c r="J5" s="106"/>
      <c r="K5" s="81"/>
      <c r="L5" s="81"/>
      <c r="M5" s="81"/>
      <c r="N5" s="106"/>
      <c r="O5" s="87"/>
      <c r="P5" s="87"/>
      <c r="Q5" s="305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87" t="s">
        <v>35</v>
      </c>
      <c r="I6" s="28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129</v>
      </c>
      <c r="C7" s="90"/>
      <c r="D7" s="91"/>
      <c r="E7" s="162"/>
      <c r="F7" s="280"/>
      <c r="G7" s="281"/>
      <c r="H7" s="91"/>
      <c r="I7" s="91"/>
      <c r="J7" s="144"/>
      <c r="K7" s="142"/>
      <c r="L7" s="146"/>
      <c r="M7" s="142"/>
      <c r="N7" s="137"/>
      <c r="O7" s="310">
        <v>19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130</v>
      </c>
      <c r="C8" s="90"/>
      <c r="D8" s="91"/>
      <c r="E8" s="162"/>
      <c r="F8" s="282"/>
      <c r="G8" s="283"/>
      <c r="H8" s="91"/>
      <c r="I8" s="91"/>
      <c r="J8" s="144"/>
      <c r="K8" s="142"/>
      <c r="L8" s="146"/>
      <c r="M8" s="142"/>
      <c r="N8" s="137"/>
      <c r="O8" s="91">
        <v>21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126</v>
      </c>
      <c r="C9" s="90"/>
      <c r="D9" s="91"/>
      <c r="E9" s="162"/>
      <c r="F9" s="282"/>
      <c r="G9" s="283"/>
      <c r="H9" s="91"/>
      <c r="I9" s="91"/>
      <c r="J9" s="144"/>
      <c r="K9" s="142"/>
      <c r="L9" s="146"/>
      <c r="M9" s="142"/>
      <c r="N9" s="137"/>
      <c r="O9" s="91">
        <v>40</v>
      </c>
      <c r="P9" s="293"/>
      <c r="Q9" s="167"/>
    </row>
    <row r="10" spans="1:17" s="11" customFormat="1" ht="18.899999999999999" customHeight="1" x14ac:dyDescent="0.25">
      <c r="A10" s="147">
        <v>4</v>
      </c>
      <c r="B10" s="90" t="s">
        <v>121</v>
      </c>
      <c r="C10" s="90"/>
      <c r="D10" s="91"/>
      <c r="E10" s="162"/>
      <c r="F10" s="282"/>
      <c r="G10" s="283"/>
      <c r="H10" s="91"/>
      <c r="I10" s="91"/>
      <c r="J10" s="144"/>
      <c r="K10" s="142"/>
      <c r="L10" s="146"/>
      <c r="M10" s="142"/>
      <c r="N10" s="137"/>
      <c r="O10" s="91">
        <v>74</v>
      </c>
      <c r="P10" s="292"/>
      <c r="Q10" s="289"/>
    </row>
    <row r="11" spans="1:17" s="11" customFormat="1" ht="18.899999999999999" customHeight="1" x14ac:dyDescent="0.25">
      <c r="A11" s="147">
        <v>5</v>
      </c>
      <c r="B11" s="90" t="s">
        <v>131</v>
      </c>
      <c r="C11" s="90"/>
      <c r="D11" s="91"/>
      <c r="E11" s="162"/>
      <c r="F11" s="282"/>
      <c r="G11" s="283"/>
      <c r="H11" s="91"/>
      <c r="I11" s="91"/>
      <c r="J11" s="144"/>
      <c r="K11" s="142"/>
      <c r="L11" s="146"/>
      <c r="M11" s="142"/>
      <c r="N11" s="137"/>
      <c r="O11" s="91">
        <v>106</v>
      </c>
      <c r="P11" s="292"/>
      <c r="Q11" s="289"/>
    </row>
    <row r="12" spans="1:17" s="11" customFormat="1" ht="18.899999999999999" customHeight="1" x14ac:dyDescent="0.25">
      <c r="A12" s="147">
        <v>6</v>
      </c>
      <c r="B12" s="90" t="s">
        <v>132</v>
      </c>
      <c r="C12" s="90"/>
      <c r="D12" s="91"/>
      <c r="E12" s="162"/>
      <c r="F12" s="282"/>
      <c r="G12" s="283"/>
      <c r="H12" s="91"/>
      <c r="I12" s="91"/>
      <c r="J12" s="144"/>
      <c r="K12" s="142"/>
      <c r="L12" s="146"/>
      <c r="M12" s="142"/>
      <c r="N12" s="137"/>
      <c r="O12" s="91">
        <v>111</v>
      </c>
      <c r="P12" s="292"/>
      <c r="Q12" s="289"/>
    </row>
    <row r="13" spans="1:17" s="11" customFormat="1" ht="18.899999999999999" customHeight="1" x14ac:dyDescent="0.25">
      <c r="A13" s="147">
        <v>7</v>
      </c>
      <c r="B13" s="90" t="s">
        <v>124</v>
      </c>
      <c r="C13" s="90"/>
      <c r="D13" s="91"/>
      <c r="E13" s="162"/>
      <c r="F13" s="282"/>
      <c r="G13" s="283"/>
      <c r="H13" s="91"/>
      <c r="I13" s="91"/>
      <c r="J13" s="144"/>
      <c r="K13" s="142"/>
      <c r="L13" s="146"/>
      <c r="M13" s="142"/>
      <c r="N13" s="137"/>
      <c r="O13" s="91">
        <v>121</v>
      </c>
      <c r="P13" s="292"/>
      <c r="Q13" s="289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2"/>
      <c r="G14" s="283"/>
      <c r="H14" s="91"/>
      <c r="I14" s="91"/>
      <c r="J14" s="144"/>
      <c r="K14" s="142"/>
      <c r="L14" s="146"/>
      <c r="M14" s="142"/>
      <c r="N14" s="137"/>
      <c r="O14" s="91"/>
      <c r="P14" s="292"/>
      <c r="Q14" s="289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09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1"/>
      <c r="F28" s="298"/>
      <c r="G28" s="299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2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5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0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0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0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0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0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0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0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0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0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0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0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0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0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0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0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0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0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0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0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0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0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0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0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0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0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0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0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0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0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0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0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0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0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0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0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0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0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0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0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0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0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0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0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0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0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0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0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0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0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0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0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0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0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0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0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0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0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0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0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0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0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0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0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0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0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0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0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0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0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0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0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0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0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0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0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0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0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0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0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0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0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0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0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0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0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0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0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0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0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0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0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0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0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0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0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0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0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0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0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0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0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0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0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0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0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0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0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0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0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0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0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0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0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0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0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0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0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0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0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2072-8910-44CA-A42C-9A95264F384E}">
  <sheetPr codeName="Munka38">
    <tabColor indexed="11"/>
  </sheetPr>
  <dimension ref="A1:AK51"/>
  <sheetViews>
    <sheetView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4" t="str">
        <f>Altalanos!$A$6</f>
        <v>OB</v>
      </c>
      <c r="B1" s="344"/>
      <c r="C1" s="344"/>
      <c r="D1" s="344"/>
      <c r="E1" s="344"/>
      <c r="F1" s="344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73" t="e">
        <f>IF(Y5=1,CONCATENATE(VLOOKUP(Y3,AA16:AH27,2)),CONCATENATE(VLOOKUP(Y3,AA2:AK13,2)))</f>
        <v>#N/A</v>
      </c>
      <c r="AC1" s="273" t="e">
        <f>IF(Y5=1,CONCATENATE(VLOOKUP(Y3,AA16:AK27,3)),CONCATENATE(VLOOKUP(Y3,AA2:AK13,3)))</f>
        <v>#N/A</v>
      </c>
      <c r="AD1" s="273" t="e">
        <f>IF(Y5=1,CONCATENATE(VLOOKUP(Y3,AA16:AK27,4)),CONCATENATE(VLOOKUP(Y3,AA2:AK13,4)))</f>
        <v>#N/A</v>
      </c>
      <c r="AE1" s="273" t="e">
        <f>IF(Y5=1,CONCATENATE(VLOOKUP(Y3,AA16:AK27,5)),CONCATENATE(VLOOKUP(Y3,AA2:AK13,5)))</f>
        <v>#N/A</v>
      </c>
      <c r="AF1" s="273" t="e">
        <f>IF(Y5=1,CONCATENATE(VLOOKUP(Y3,AA16:AK27,6)),CONCATENATE(VLOOKUP(Y3,AA2:AK13,6)))</f>
        <v>#N/A</v>
      </c>
      <c r="AG1" s="273" t="e">
        <f>IF(Y5=1,CONCATENATE(VLOOKUP(Y3,AA16:AK27,7)),CONCATENATE(VLOOKUP(Y3,AA2:AK13,7)))</f>
        <v>#N/A</v>
      </c>
      <c r="AH1" s="273" t="e">
        <f>IF(Y5=1,CONCATENATE(VLOOKUP(Y3,AA16:AK27,8)),CONCATENATE(VLOOKUP(Y3,AA2:AK13,8)))</f>
        <v>#N/A</v>
      </c>
      <c r="AI1" s="273" t="e">
        <f>IF(Y5=1,CONCATENATE(VLOOKUP(Y3,AA16:AK27,9)),CONCATENATE(VLOOKUP(Y3,AA2:AK13,9)))</f>
        <v>#N/A</v>
      </c>
      <c r="AJ1" s="273" t="e">
        <f>IF(Y5=1,CONCATENATE(VLOOKUP(Y3,AA16:AK27,10)),CONCATENATE(VLOOKUP(Y3,AA2:AK13,10)))</f>
        <v>#N/A</v>
      </c>
      <c r="AK1" s="273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14" t="str">
        <f>Altalanos!$D$8</f>
        <v>L18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68"/>
      <c r="Z2" s="267"/>
      <c r="AA2" s="267" t="s">
        <v>58</v>
      </c>
      <c r="AB2" s="271">
        <v>150</v>
      </c>
      <c r="AC2" s="271">
        <v>120</v>
      </c>
      <c r="AD2" s="271">
        <v>100</v>
      </c>
      <c r="AE2" s="271">
        <v>80</v>
      </c>
      <c r="AF2" s="271">
        <v>70</v>
      </c>
      <c r="AG2" s="271">
        <v>60</v>
      </c>
      <c r="AH2" s="271">
        <v>55</v>
      </c>
      <c r="AI2" s="271">
        <v>50</v>
      </c>
      <c r="AJ2" s="271">
        <v>45</v>
      </c>
      <c r="AK2" s="271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56" t="s">
        <v>72</v>
      </c>
      <c r="R3" s="257" t="s">
        <v>78</v>
      </c>
      <c r="S3" s="257" t="s">
        <v>73</v>
      </c>
      <c r="Y3" s="267">
        <f>IF(H4="OB","A",IF(H4="IX","W",H4))</f>
        <v>0</v>
      </c>
      <c r="Z3" s="267"/>
      <c r="AA3" s="267" t="s">
        <v>82</v>
      </c>
      <c r="AB3" s="271">
        <v>120</v>
      </c>
      <c r="AC3" s="271">
        <v>90</v>
      </c>
      <c r="AD3" s="271">
        <v>65</v>
      </c>
      <c r="AE3" s="271">
        <v>55</v>
      </c>
      <c r="AF3" s="271">
        <v>50</v>
      </c>
      <c r="AG3" s="271">
        <v>45</v>
      </c>
      <c r="AH3" s="271">
        <v>40</v>
      </c>
      <c r="AI3" s="271">
        <v>35</v>
      </c>
      <c r="AJ3" s="271">
        <v>25</v>
      </c>
      <c r="AK3" s="271">
        <v>20</v>
      </c>
    </row>
    <row r="4" spans="1:37" ht="13.8" thickBot="1" x14ac:dyDescent="0.3">
      <c r="A4" s="345" t="str">
        <f>Altalanos!$A$10</f>
        <v>2024.08.27.-09.01</v>
      </c>
      <c r="B4" s="345"/>
      <c r="C4" s="345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Q4" s="258" t="s">
        <v>79</v>
      </c>
      <c r="R4" s="259" t="s">
        <v>74</v>
      </c>
      <c r="S4" s="259" t="s">
        <v>75</v>
      </c>
      <c r="Y4" s="267"/>
      <c r="Z4" s="267"/>
      <c r="AA4" s="267" t="s">
        <v>83</v>
      </c>
      <c r="AB4" s="271">
        <v>90</v>
      </c>
      <c r="AC4" s="271">
        <v>60</v>
      </c>
      <c r="AD4" s="271">
        <v>45</v>
      </c>
      <c r="AE4" s="271">
        <v>34</v>
      </c>
      <c r="AF4" s="271">
        <v>27</v>
      </c>
      <c r="AG4" s="271">
        <v>22</v>
      </c>
      <c r="AH4" s="271">
        <v>18</v>
      </c>
      <c r="AI4" s="271">
        <v>15</v>
      </c>
      <c r="AJ4" s="271">
        <v>12</v>
      </c>
      <c r="AK4" s="271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0" t="s">
        <v>80</v>
      </c>
      <c r="R5" s="261" t="s">
        <v>76</v>
      </c>
      <c r="S5" s="261" t="s">
        <v>77</v>
      </c>
      <c r="Y5" s="267">
        <f>IF(OR(Altalanos!$A$8="F1",Altalanos!$A$8="F2",Altalanos!$A$8="N1",Altalanos!$A$8="N2"),1,2)</f>
        <v>2</v>
      </c>
      <c r="Z5" s="267"/>
      <c r="AA5" s="267" t="s">
        <v>84</v>
      </c>
      <c r="AB5" s="271">
        <v>60</v>
      </c>
      <c r="AC5" s="271">
        <v>40</v>
      </c>
      <c r="AD5" s="271">
        <v>30</v>
      </c>
      <c r="AE5" s="271">
        <v>20</v>
      </c>
      <c r="AF5" s="271">
        <v>18</v>
      </c>
      <c r="AG5" s="271">
        <v>15</v>
      </c>
      <c r="AH5" s="271">
        <v>12</v>
      </c>
      <c r="AI5" s="271">
        <v>10</v>
      </c>
      <c r="AJ5" s="271">
        <v>8</v>
      </c>
      <c r="AK5" s="271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67"/>
      <c r="Z6" s="267"/>
      <c r="AA6" s="267" t="s">
        <v>85</v>
      </c>
      <c r="AB6" s="271">
        <v>40</v>
      </c>
      <c r="AC6" s="271">
        <v>25</v>
      </c>
      <c r="AD6" s="271">
        <v>18</v>
      </c>
      <c r="AE6" s="271">
        <v>13</v>
      </c>
      <c r="AF6" s="271">
        <v>10</v>
      </c>
      <c r="AG6" s="271">
        <v>8</v>
      </c>
      <c r="AH6" s="271">
        <v>6</v>
      </c>
      <c r="AI6" s="271">
        <v>5</v>
      </c>
      <c r="AJ6" s="271">
        <v>4</v>
      </c>
      <c r="AK6" s="271">
        <v>3</v>
      </c>
    </row>
    <row r="7" spans="1:37" x14ac:dyDescent="0.25">
      <c r="A7" s="250" t="s">
        <v>58</v>
      </c>
      <c r="B7" s="262">
        <v>1</v>
      </c>
      <c r="C7" s="205">
        <f>IF($B7="","",VLOOKUP($B7,'L18 csapat ELO'!$A$7:$O$22,5))</f>
        <v>0</v>
      </c>
      <c r="D7" s="205">
        <f>IF($B7="","",VLOOKUP($B7,'L18 csapat ELO'!$A$7:$O$22,15))</f>
        <v>19</v>
      </c>
      <c r="E7" s="202" t="str">
        <f>UPPER(IF($B7="","",VLOOKUP($B7,'L18 csapat ELO'!$A$7:$O$22,2)))</f>
        <v>VASAS SC</v>
      </c>
      <c r="F7" s="204"/>
      <c r="G7" s="202">
        <f>IF($B7="","",VLOOKUP($B7,'L18 csapat ELO'!$A$7:$O$22,3))</f>
        <v>0</v>
      </c>
      <c r="H7" s="204"/>
      <c r="I7" s="202">
        <f>IF($B7="","",VLOOKUP($B7,'L18 csapat ELO'!$A$7:$O$22,4))</f>
        <v>0</v>
      </c>
      <c r="J7" s="193"/>
      <c r="K7" s="324" t="s">
        <v>151</v>
      </c>
      <c r="L7" s="269"/>
      <c r="M7" s="274"/>
      <c r="N7" s="211"/>
      <c r="O7" s="211"/>
      <c r="P7" s="211"/>
      <c r="Q7" s="256" t="s">
        <v>72</v>
      </c>
      <c r="R7" s="306" t="s">
        <v>104</v>
      </c>
      <c r="S7" s="306" t="s">
        <v>106</v>
      </c>
      <c r="Y7" s="267"/>
      <c r="Z7" s="267"/>
      <c r="AA7" s="267" t="s">
        <v>86</v>
      </c>
      <c r="AB7" s="271">
        <v>25</v>
      </c>
      <c r="AC7" s="271">
        <v>15</v>
      </c>
      <c r="AD7" s="271">
        <v>13</v>
      </c>
      <c r="AE7" s="271">
        <v>8</v>
      </c>
      <c r="AF7" s="271">
        <v>6</v>
      </c>
      <c r="AG7" s="271">
        <v>4</v>
      </c>
      <c r="AH7" s="271">
        <v>3</v>
      </c>
      <c r="AI7" s="271">
        <v>2</v>
      </c>
      <c r="AJ7" s="271">
        <v>1</v>
      </c>
      <c r="AK7" s="271">
        <v>0</v>
      </c>
    </row>
    <row r="8" spans="1:37" x14ac:dyDescent="0.25">
      <c r="A8" s="218"/>
      <c r="B8" s="263"/>
      <c r="C8" s="219"/>
      <c r="D8" s="219"/>
      <c r="E8" s="219"/>
      <c r="F8" s="219"/>
      <c r="G8" s="219"/>
      <c r="H8" s="219"/>
      <c r="I8" s="219"/>
      <c r="J8" s="193"/>
      <c r="K8" s="250"/>
      <c r="L8" s="218"/>
      <c r="M8" s="275"/>
      <c r="N8" s="211"/>
      <c r="O8" s="211"/>
      <c r="P8" s="211"/>
      <c r="Q8" s="258" t="s">
        <v>79</v>
      </c>
      <c r="R8" s="307" t="s">
        <v>105</v>
      </c>
      <c r="S8" s="307" t="s">
        <v>107</v>
      </c>
      <c r="Y8" s="267"/>
      <c r="Z8" s="267"/>
      <c r="AA8" s="267" t="s">
        <v>87</v>
      </c>
      <c r="AB8" s="271">
        <v>15</v>
      </c>
      <c r="AC8" s="271">
        <v>10</v>
      </c>
      <c r="AD8" s="271">
        <v>7</v>
      </c>
      <c r="AE8" s="271">
        <v>5</v>
      </c>
      <c r="AF8" s="271">
        <v>4</v>
      </c>
      <c r="AG8" s="271">
        <v>3</v>
      </c>
      <c r="AH8" s="271">
        <v>2</v>
      </c>
      <c r="AI8" s="271">
        <v>1</v>
      </c>
      <c r="AJ8" s="271">
        <v>0</v>
      </c>
      <c r="AK8" s="271">
        <v>0</v>
      </c>
    </row>
    <row r="9" spans="1:37" x14ac:dyDescent="0.25">
      <c r="A9" s="218" t="s">
        <v>59</v>
      </c>
      <c r="B9" s="264">
        <v>5</v>
      </c>
      <c r="C9" s="205">
        <f>IF($B9="","",VLOOKUP($B9,'L18 csapat ELO'!$A$7:$O$22,5))</f>
        <v>0</v>
      </c>
      <c r="D9" s="205">
        <f>IF($B9="","",VLOOKUP($B9,'L18 csapat ELO'!$A$7:$O$22,15))</f>
        <v>106</v>
      </c>
      <c r="E9" s="201" t="str">
        <f>UPPER(IF($B9="","",VLOOKUP($B9,'L18 csapat ELO'!$A$7:$O$22,2)))</f>
        <v>NEXT TA</v>
      </c>
      <c r="F9" s="206"/>
      <c r="G9" s="201">
        <f>IF($B9="","",VLOOKUP($B9,'L18 csapat ELO'!$A$7:$O$22,3))</f>
        <v>0</v>
      </c>
      <c r="H9" s="206"/>
      <c r="I9" s="201">
        <f>IF($B9="","",VLOOKUP($B9,'L18 csapat ELO'!$A$7:$O$22,4))</f>
        <v>0</v>
      </c>
      <c r="J9" s="193"/>
      <c r="K9" s="324" t="s">
        <v>146</v>
      </c>
      <c r="L9" s="269"/>
      <c r="M9" s="274"/>
      <c r="N9" s="211"/>
      <c r="O9" s="211"/>
      <c r="P9" s="211"/>
      <c r="Q9" s="260" t="s">
        <v>80</v>
      </c>
      <c r="R9" s="308" t="s">
        <v>81</v>
      </c>
      <c r="S9" s="308" t="s">
        <v>108</v>
      </c>
      <c r="Y9" s="267"/>
      <c r="Z9" s="267"/>
      <c r="AA9" s="267" t="s">
        <v>88</v>
      </c>
      <c r="AB9" s="271">
        <v>10</v>
      </c>
      <c r="AC9" s="271">
        <v>6</v>
      </c>
      <c r="AD9" s="271">
        <v>4</v>
      </c>
      <c r="AE9" s="271">
        <v>2</v>
      </c>
      <c r="AF9" s="271">
        <v>1</v>
      </c>
      <c r="AG9" s="271">
        <v>0</v>
      </c>
      <c r="AH9" s="271">
        <v>0</v>
      </c>
      <c r="AI9" s="271">
        <v>0</v>
      </c>
      <c r="AJ9" s="271">
        <v>0</v>
      </c>
      <c r="AK9" s="271">
        <v>0</v>
      </c>
    </row>
    <row r="10" spans="1:37" x14ac:dyDescent="0.25">
      <c r="A10" s="218"/>
      <c r="B10" s="263"/>
      <c r="C10" s="219"/>
      <c r="D10" s="219"/>
      <c r="E10" s="219"/>
      <c r="F10" s="219"/>
      <c r="G10" s="219"/>
      <c r="H10" s="219"/>
      <c r="I10" s="219"/>
      <c r="J10" s="193"/>
      <c r="K10" s="250"/>
      <c r="L10" s="218"/>
      <c r="M10" s="275"/>
      <c r="N10" s="211"/>
      <c r="O10" s="211"/>
      <c r="P10" s="211"/>
      <c r="Q10" s="211"/>
      <c r="R10" s="211"/>
      <c r="S10" s="211"/>
      <c r="Y10" s="267"/>
      <c r="Z10" s="267"/>
      <c r="AA10" s="267" t="s">
        <v>89</v>
      </c>
      <c r="AB10" s="271">
        <v>6</v>
      </c>
      <c r="AC10" s="271">
        <v>3</v>
      </c>
      <c r="AD10" s="271">
        <v>2</v>
      </c>
      <c r="AE10" s="271">
        <v>1</v>
      </c>
      <c r="AF10" s="271">
        <v>0</v>
      </c>
      <c r="AG10" s="271">
        <v>0</v>
      </c>
      <c r="AH10" s="271">
        <v>0</v>
      </c>
      <c r="AI10" s="271">
        <v>0</v>
      </c>
      <c r="AJ10" s="271">
        <v>0</v>
      </c>
      <c r="AK10" s="271">
        <v>0</v>
      </c>
    </row>
    <row r="11" spans="1:37" x14ac:dyDescent="0.25">
      <c r="A11" s="218" t="s">
        <v>60</v>
      </c>
      <c r="B11" s="264">
        <v>4</v>
      </c>
      <c r="C11" s="205">
        <f>IF($B11="","",VLOOKUP($B11,'L18 csapat ELO'!$A$7:$O$22,5))</f>
        <v>0</v>
      </c>
      <c r="D11" s="205">
        <f>IF($B11="","",VLOOKUP($B11,'L18 csapat ELO'!$A$7:$O$22,15))</f>
        <v>74</v>
      </c>
      <c r="E11" s="201" t="str">
        <f>UPPER(IF($B11="","",VLOOKUP($B11,'L18 csapat ELO'!$A$7:$O$22,2)))</f>
        <v>BBTC SE</v>
      </c>
      <c r="F11" s="206"/>
      <c r="G11" s="201">
        <f>IF($B11="","",VLOOKUP($B11,'L18 csapat ELO'!$A$7:$O$22,3))</f>
        <v>0</v>
      </c>
      <c r="H11" s="206"/>
      <c r="I11" s="201">
        <f>IF($B11="","",VLOOKUP($B11,'L18 csapat ELO'!$A$7:$O$22,4))</f>
        <v>0</v>
      </c>
      <c r="J11" s="193"/>
      <c r="K11" s="324" t="s">
        <v>148</v>
      </c>
      <c r="L11" s="269"/>
      <c r="M11" s="274"/>
      <c r="N11" s="211"/>
      <c r="O11" s="211"/>
      <c r="P11" s="211"/>
      <c r="Q11" s="211"/>
      <c r="R11" s="211"/>
      <c r="S11" s="211"/>
      <c r="Y11" s="267"/>
      <c r="Z11" s="267"/>
      <c r="AA11" s="267" t="s">
        <v>94</v>
      </c>
      <c r="AB11" s="271">
        <v>3</v>
      </c>
      <c r="AC11" s="271">
        <v>2</v>
      </c>
      <c r="AD11" s="271">
        <v>1</v>
      </c>
      <c r="AE11" s="271">
        <v>0</v>
      </c>
      <c r="AF11" s="271">
        <v>0</v>
      </c>
      <c r="AG11" s="271">
        <v>0</v>
      </c>
      <c r="AH11" s="271">
        <v>0</v>
      </c>
      <c r="AI11" s="271">
        <v>0</v>
      </c>
      <c r="AJ11" s="271">
        <v>0</v>
      </c>
      <c r="AK11" s="271">
        <v>0</v>
      </c>
    </row>
    <row r="12" spans="1:37" x14ac:dyDescent="0.25">
      <c r="A12" s="193"/>
      <c r="B12" s="250"/>
      <c r="C12" s="247"/>
      <c r="D12" s="193"/>
      <c r="E12" s="193"/>
      <c r="F12" s="193"/>
      <c r="G12" s="193"/>
      <c r="H12" s="193"/>
      <c r="I12" s="193"/>
      <c r="J12" s="193"/>
      <c r="K12" s="325"/>
      <c r="L12" s="247"/>
      <c r="M12" s="276"/>
      <c r="Y12" s="267"/>
      <c r="Z12" s="267"/>
      <c r="AA12" s="267" t="s">
        <v>90</v>
      </c>
      <c r="AB12" s="272">
        <v>0</v>
      </c>
      <c r="AC12" s="272">
        <v>0</v>
      </c>
      <c r="AD12" s="272">
        <v>0</v>
      </c>
      <c r="AE12" s="272">
        <v>0</v>
      </c>
      <c r="AF12" s="272">
        <v>0</v>
      </c>
      <c r="AG12" s="272">
        <v>0</v>
      </c>
      <c r="AH12" s="272">
        <v>0</v>
      </c>
      <c r="AI12" s="272">
        <v>0</v>
      </c>
      <c r="AJ12" s="272">
        <v>0</v>
      </c>
      <c r="AK12" s="272">
        <v>0</v>
      </c>
    </row>
    <row r="13" spans="1:37" x14ac:dyDescent="0.25">
      <c r="A13" s="250" t="s">
        <v>65</v>
      </c>
      <c r="B13" s="262">
        <v>2</v>
      </c>
      <c r="C13" s="205">
        <f>IF($B13="","",VLOOKUP($B13,'L18 csapat ELO'!$A$7:$O$22,5))</f>
        <v>0</v>
      </c>
      <c r="D13" s="205">
        <f>IF($B13="","",VLOOKUP($B13,'L18 csapat ELO'!$A$7:$O$22,15))</f>
        <v>21</v>
      </c>
      <c r="E13" s="202" t="str">
        <f>UPPER(IF($B13="","",VLOOKUP($B13,'L18 csapat ELO'!$A$7:$O$22,2)))</f>
        <v>BUD. HONVÉD</v>
      </c>
      <c r="F13" s="204"/>
      <c r="G13" s="202">
        <f>IF($B13="","",VLOOKUP($B13,'L18 csapat ELO'!$A$7:$O$22,3))</f>
        <v>0</v>
      </c>
      <c r="H13" s="204"/>
      <c r="I13" s="202">
        <f>IF($B13="","",VLOOKUP($B13,'L18 csapat ELO'!$A$7:$O$22,4))</f>
        <v>0</v>
      </c>
      <c r="J13" s="193"/>
      <c r="K13" s="324" t="s">
        <v>152</v>
      </c>
      <c r="L13" s="269"/>
      <c r="M13" s="274"/>
      <c r="Y13" s="267"/>
      <c r="Z13" s="267"/>
      <c r="AA13" s="267" t="s">
        <v>91</v>
      </c>
      <c r="AB13" s="272">
        <v>0</v>
      </c>
      <c r="AC13" s="272">
        <v>0</v>
      </c>
      <c r="AD13" s="272">
        <v>0</v>
      </c>
      <c r="AE13" s="272">
        <v>0</v>
      </c>
      <c r="AF13" s="272">
        <v>0</v>
      </c>
      <c r="AG13" s="272">
        <v>0</v>
      </c>
      <c r="AH13" s="272">
        <v>0</v>
      </c>
      <c r="AI13" s="272">
        <v>0</v>
      </c>
      <c r="AJ13" s="272">
        <v>0</v>
      </c>
      <c r="AK13" s="272">
        <v>0</v>
      </c>
    </row>
    <row r="14" spans="1:37" x14ac:dyDescent="0.25">
      <c r="A14" s="218"/>
      <c r="B14" s="263"/>
      <c r="C14" s="219"/>
      <c r="D14" s="219"/>
      <c r="E14" s="219"/>
      <c r="F14" s="219"/>
      <c r="G14" s="219"/>
      <c r="H14" s="219"/>
      <c r="I14" s="219"/>
      <c r="J14" s="193"/>
      <c r="K14" s="250"/>
      <c r="L14" s="218"/>
      <c r="M14" s="275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</row>
    <row r="15" spans="1:37" x14ac:dyDescent="0.25">
      <c r="A15" s="218" t="s">
        <v>66</v>
      </c>
      <c r="B15" s="264">
        <v>7</v>
      </c>
      <c r="C15" s="205">
        <f>IF($B15="","",VLOOKUP($B15,'L18 csapat ELO'!$A$7:$O$22,5))</f>
        <v>0</v>
      </c>
      <c r="D15" s="205">
        <f>IF($B15="","",VLOOKUP($B15,'L18 csapat ELO'!$A$7:$O$22,15))</f>
        <v>121</v>
      </c>
      <c r="E15" s="201" t="str">
        <f>UPPER(IF($B15="","",VLOOKUP($B15,'L18 csapat ELO'!$A$7:$O$22,2)))</f>
        <v>PVTC</v>
      </c>
      <c r="F15" s="206"/>
      <c r="G15" s="201">
        <f>IF($B15="","",VLOOKUP($B15,'L18 csapat ELO'!$A$7:$O$22,3))</f>
        <v>0</v>
      </c>
      <c r="H15" s="206"/>
      <c r="I15" s="201">
        <f>IF($B15="","",VLOOKUP($B15,'L18 csapat ELO'!$A$7:$O$22,4))</f>
        <v>0</v>
      </c>
      <c r="J15" s="193"/>
      <c r="K15" s="324" t="s">
        <v>147</v>
      </c>
      <c r="L15" s="269"/>
      <c r="M15" s="274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</row>
    <row r="16" spans="1:37" x14ac:dyDescent="0.25">
      <c r="A16" s="218"/>
      <c r="B16" s="263"/>
      <c r="C16" s="219"/>
      <c r="D16" s="219"/>
      <c r="E16" s="219"/>
      <c r="F16" s="219"/>
      <c r="G16" s="219"/>
      <c r="H16" s="219"/>
      <c r="I16" s="219"/>
      <c r="J16" s="193"/>
      <c r="K16" s="250"/>
      <c r="L16" s="218"/>
      <c r="M16" s="275"/>
      <c r="Y16" s="267"/>
      <c r="Z16" s="267"/>
      <c r="AA16" s="267" t="s">
        <v>58</v>
      </c>
      <c r="AB16" s="267">
        <v>300</v>
      </c>
      <c r="AC16" s="267">
        <v>250</v>
      </c>
      <c r="AD16" s="267">
        <v>220</v>
      </c>
      <c r="AE16" s="267">
        <v>180</v>
      </c>
      <c r="AF16" s="267">
        <v>160</v>
      </c>
      <c r="AG16" s="267">
        <v>150</v>
      </c>
      <c r="AH16" s="267">
        <v>140</v>
      </c>
      <c r="AI16" s="267">
        <v>130</v>
      </c>
      <c r="AJ16" s="267">
        <v>120</v>
      </c>
      <c r="AK16" s="267">
        <v>110</v>
      </c>
    </row>
    <row r="17" spans="1:37" x14ac:dyDescent="0.25">
      <c r="A17" s="218" t="s">
        <v>67</v>
      </c>
      <c r="B17" s="264">
        <v>3</v>
      </c>
      <c r="C17" s="205">
        <f>IF($B17="","",VLOOKUP($B17,'L18 csapat ELO'!$A$7:$O$22,5))</f>
        <v>0</v>
      </c>
      <c r="D17" s="205">
        <f>IF($B17="","",VLOOKUP($B17,'L18 csapat ELO'!$A$7:$O$22,15))</f>
        <v>40</v>
      </c>
      <c r="E17" s="201" t="str">
        <f>UPPER(IF($B17="","",VLOOKUP($B17,'L18 csapat ELO'!$A$7:$O$22,2)))</f>
        <v>PG TENISZ</v>
      </c>
      <c r="F17" s="206"/>
      <c r="G17" s="201">
        <f>IF($B17="","",VLOOKUP($B17,'L18 csapat ELO'!$A$7:$O$22,3))</f>
        <v>0</v>
      </c>
      <c r="H17" s="206"/>
      <c r="I17" s="201">
        <f>IF($B17="","",VLOOKUP($B17,'L18 csapat ELO'!$A$7:$O$22,4))</f>
        <v>0</v>
      </c>
      <c r="J17" s="193"/>
      <c r="K17" s="324" t="s">
        <v>149</v>
      </c>
      <c r="L17" s="269"/>
      <c r="M17" s="274"/>
      <c r="Y17" s="267"/>
      <c r="Z17" s="267"/>
      <c r="AA17" s="267" t="s">
        <v>82</v>
      </c>
      <c r="AB17" s="267">
        <v>250</v>
      </c>
      <c r="AC17" s="267">
        <v>200</v>
      </c>
      <c r="AD17" s="267">
        <v>160</v>
      </c>
      <c r="AE17" s="267">
        <v>140</v>
      </c>
      <c r="AF17" s="267">
        <v>120</v>
      </c>
      <c r="AG17" s="267">
        <v>110</v>
      </c>
      <c r="AH17" s="267">
        <v>100</v>
      </c>
      <c r="AI17" s="267">
        <v>90</v>
      </c>
      <c r="AJ17" s="267">
        <v>80</v>
      </c>
      <c r="AK17" s="267">
        <v>70</v>
      </c>
    </row>
    <row r="18" spans="1:37" x14ac:dyDescent="0.25">
      <c r="A18" s="218"/>
      <c r="B18" s="263"/>
      <c r="C18" s="219"/>
      <c r="D18" s="219"/>
      <c r="E18" s="219"/>
      <c r="F18" s="219"/>
      <c r="G18" s="219"/>
      <c r="H18" s="219"/>
      <c r="I18" s="219"/>
      <c r="J18" s="193"/>
      <c r="K18" s="250"/>
      <c r="L18" s="218"/>
      <c r="M18" s="275"/>
      <c r="Y18" s="267"/>
      <c r="Z18" s="267"/>
      <c r="AA18" s="267" t="s">
        <v>83</v>
      </c>
      <c r="AB18" s="267">
        <v>200</v>
      </c>
      <c r="AC18" s="267">
        <v>150</v>
      </c>
      <c r="AD18" s="267">
        <v>130</v>
      </c>
      <c r="AE18" s="267">
        <v>110</v>
      </c>
      <c r="AF18" s="267">
        <v>95</v>
      </c>
      <c r="AG18" s="267">
        <v>80</v>
      </c>
      <c r="AH18" s="267">
        <v>70</v>
      </c>
      <c r="AI18" s="267">
        <v>60</v>
      </c>
      <c r="AJ18" s="267">
        <v>55</v>
      </c>
      <c r="AK18" s="267">
        <v>50</v>
      </c>
    </row>
    <row r="19" spans="1:37" x14ac:dyDescent="0.25">
      <c r="A19" s="218" t="s">
        <v>67</v>
      </c>
      <c r="B19" s="264">
        <v>6</v>
      </c>
      <c r="C19" s="205">
        <f>IF($B19="","",VLOOKUP($B19,'L18 csapat ELO'!$A$7:$O$22,5))</f>
        <v>0</v>
      </c>
      <c r="D19" s="205">
        <f>IF($B19="","",VLOOKUP($B19,'L18 csapat ELO'!$A$7:$O$22,15))</f>
        <v>111</v>
      </c>
      <c r="E19" s="201" t="str">
        <f>UPPER(IF($B19="","",VLOOKUP($B19,'L18 csapat ELO'!$A$7:$O$22,2)))</f>
        <v>SVSE</v>
      </c>
      <c r="F19" s="206"/>
      <c r="G19" s="201">
        <f>IF($B19="","",VLOOKUP($B19,'L18 csapat ELO'!$A$7:$O$22,3))</f>
        <v>0</v>
      </c>
      <c r="H19" s="206"/>
      <c r="I19" s="201">
        <f>IF($B19="","",VLOOKUP($B19,'L18 csapat ELO'!$A$7:$O$22,4))</f>
        <v>0</v>
      </c>
      <c r="J19" s="193"/>
      <c r="K19" s="324" t="s">
        <v>150</v>
      </c>
      <c r="L19" s="269"/>
      <c r="M19" s="274"/>
      <c r="Y19" s="267"/>
      <c r="Z19" s="267"/>
      <c r="AA19" s="267" t="s">
        <v>84</v>
      </c>
      <c r="AB19" s="267">
        <v>150</v>
      </c>
      <c r="AC19" s="267">
        <v>120</v>
      </c>
      <c r="AD19" s="267">
        <v>100</v>
      </c>
      <c r="AE19" s="267">
        <v>80</v>
      </c>
      <c r="AF19" s="267">
        <v>70</v>
      </c>
      <c r="AG19" s="267">
        <v>60</v>
      </c>
      <c r="AH19" s="267">
        <v>55</v>
      </c>
      <c r="AI19" s="267">
        <v>50</v>
      </c>
      <c r="AJ19" s="267">
        <v>45</v>
      </c>
      <c r="AK19" s="26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67"/>
      <c r="Z20" s="267"/>
      <c r="AA20" s="267" t="s">
        <v>85</v>
      </c>
      <c r="AB20" s="267">
        <v>120</v>
      </c>
      <c r="AC20" s="267">
        <v>90</v>
      </c>
      <c r="AD20" s="267">
        <v>65</v>
      </c>
      <c r="AE20" s="267">
        <v>55</v>
      </c>
      <c r="AF20" s="267">
        <v>50</v>
      </c>
      <c r="AG20" s="267">
        <v>45</v>
      </c>
      <c r="AH20" s="267">
        <v>40</v>
      </c>
      <c r="AI20" s="267">
        <v>35</v>
      </c>
      <c r="AJ20" s="267">
        <v>25</v>
      </c>
      <c r="AK20" s="26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67"/>
      <c r="Z21" s="267"/>
      <c r="AA21" s="267" t="s">
        <v>86</v>
      </c>
      <c r="AB21" s="267">
        <v>90</v>
      </c>
      <c r="AC21" s="267">
        <v>60</v>
      </c>
      <c r="AD21" s="267">
        <v>45</v>
      </c>
      <c r="AE21" s="267">
        <v>34</v>
      </c>
      <c r="AF21" s="267">
        <v>27</v>
      </c>
      <c r="AG21" s="267">
        <v>22</v>
      </c>
      <c r="AH21" s="267">
        <v>18</v>
      </c>
      <c r="AI21" s="267">
        <v>15</v>
      </c>
      <c r="AJ21" s="267">
        <v>12</v>
      </c>
      <c r="AK21" s="267">
        <v>9</v>
      </c>
    </row>
    <row r="22" spans="1:37" ht="18.75" customHeight="1" x14ac:dyDescent="0.25">
      <c r="A22" s="193"/>
      <c r="B22" s="346"/>
      <c r="C22" s="346"/>
      <c r="D22" s="330" t="str">
        <f>E7</f>
        <v>VASAS SC</v>
      </c>
      <c r="E22" s="330"/>
      <c r="F22" s="330" t="str">
        <f>E9</f>
        <v>NEXT TA</v>
      </c>
      <c r="G22" s="330"/>
      <c r="H22" s="330" t="str">
        <f>E11</f>
        <v>BBTC SE</v>
      </c>
      <c r="I22" s="330"/>
      <c r="J22" s="193"/>
      <c r="K22" s="193"/>
      <c r="L22" s="193"/>
      <c r="M22" s="251" t="s">
        <v>62</v>
      </c>
      <c r="Y22" s="267"/>
      <c r="Z22" s="267"/>
      <c r="AA22" s="267" t="s">
        <v>87</v>
      </c>
      <c r="AB22" s="267">
        <v>60</v>
      </c>
      <c r="AC22" s="267">
        <v>40</v>
      </c>
      <c r="AD22" s="267">
        <v>30</v>
      </c>
      <c r="AE22" s="267">
        <v>20</v>
      </c>
      <c r="AF22" s="267">
        <v>18</v>
      </c>
      <c r="AG22" s="267">
        <v>15</v>
      </c>
      <c r="AH22" s="267">
        <v>12</v>
      </c>
      <c r="AI22" s="267">
        <v>10</v>
      </c>
      <c r="AJ22" s="267">
        <v>8</v>
      </c>
      <c r="AK22" s="267">
        <v>6</v>
      </c>
    </row>
    <row r="23" spans="1:37" ht="18.75" customHeight="1" x14ac:dyDescent="0.25">
      <c r="A23" s="249" t="s">
        <v>58</v>
      </c>
      <c r="B23" s="338" t="str">
        <f>E7</f>
        <v>VASAS SC</v>
      </c>
      <c r="C23" s="338"/>
      <c r="D23" s="332"/>
      <c r="E23" s="332"/>
      <c r="F23" s="327" t="s">
        <v>134</v>
      </c>
      <c r="G23" s="328"/>
      <c r="H23" s="327" t="s">
        <v>134</v>
      </c>
      <c r="I23" s="328"/>
      <c r="J23" s="316"/>
      <c r="K23" s="316"/>
      <c r="L23" s="193"/>
      <c r="M23" s="252">
        <v>1</v>
      </c>
      <c r="Y23" s="267"/>
      <c r="Z23" s="267"/>
      <c r="AA23" s="267" t="s">
        <v>88</v>
      </c>
      <c r="AB23" s="267">
        <v>40</v>
      </c>
      <c r="AC23" s="267">
        <v>25</v>
      </c>
      <c r="AD23" s="267">
        <v>18</v>
      </c>
      <c r="AE23" s="267">
        <v>13</v>
      </c>
      <c r="AF23" s="267">
        <v>8</v>
      </c>
      <c r="AG23" s="267">
        <v>7</v>
      </c>
      <c r="AH23" s="267">
        <v>6</v>
      </c>
      <c r="AI23" s="267">
        <v>5</v>
      </c>
      <c r="AJ23" s="267">
        <v>4</v>
      </c>
      <c r="AK23" s="267">
        <v>3</v>
      </c>
    </row>
    <row r="24" spans="1:37" ht="18.75" customHeight="1" x14ac:dyDescent="0.25">
      <c r="A24" s="249" t="s">
        <v>59</v>
      </c>
      <c r="B24" s="338" t="str">
        <f>E9</f>
        <v>NEXT TA</v>
      </c>
      <c r="C24" s="338"/>
      <c r="D24" s="327" t="s">
        <v>135</v>
      </c>
      <c r="E24" s="328"/>
      <c r="F24" s="332"/>
      <c r="G24" s="332"/>
      <c r="H24" s="327" t="s">
        <v>140</v>
      </c>
      <c r="I24" s="328"/>
      <c r="J24" s="316"/>
      <c r="K24" s="316"/>
      <c r="L24" s="193"/>
      <c r="M24" s="252">
        <v>3</v>
      </c>
      <c r="Y24" s="267"/>
      <c r="Z24" s="267"/>
      <c r="AA24" s="267" t="s">
        <v>89</v>
      </c>
      <c r="AB24" s="267">
        <v>25</v>
      </c>
      <c r="AC24" s="267">
        <v>15</v>
      </c>
      <c r="AD24" s="267">
        <v>13</v>
      </c>
      <c r="AE24" s="267">
        <v>7</v>
      </c>
      <c r="AF24" s="267">
        <v>6</v>
      </c>
      <c r="AG24" s="267">
        <v>5</v>
      </c>
      <c r="AH24" s="267">
        <v>4</v>
      </c>
      <c r="AI24" s="267">
        <v>3</v>
      </c>
      <c r="AJ24" s="267">
        <v>2</v>
      </c>
      <c r="AK24" s="267">
        <v>1</v>
      </c>
    </row>
    <row r="25" spans="1:37" ht="18.75" customHeight="1" x14ac:dyDescent="0.25">
      <c r="A25" s="249" t="s">
        <v>60</v>
      </c>
      <c r="B25" s="338" t="str">
        <f>E11</f>
        <v>BBTC SE</v>
      </c>
      <c r="C25" s="338"/>
      <c r="D25" s="327" t="s">
        <v>135</v>
      </c>
      <c r="E25" s="328"/>
      <c r="F25" s="327" t="s">
        <v>141</v>
      </c>
      <c r="G25" s="328"/>
      <c r="H25" s="332"/>
      <c r="I25" s="332"/>
      <c r="J25" s="316"/>
      <c r="K25" s="316"/>
      <c r="L25" s="193"/>
      <c r="M25" s="252">
        <v>2</v>
      </c>
      <c r="Y25" s="267"/>
      <c r="Z25" s="267"/>
      <c r="AA25" s="267" t="s">
        <v>94</v>
      </c>
      <c r="AB25" s="267">
        <v>15</v>
      </c>
      <c r="AC25" s="267">
        <v>10</v>
      </c>
      <c r="AD25" s="267">
        <v>8</v>
      </c>
      <c r="AE25" s="267">
        <v>4</v>
      </c>
      <c r="AF25" s="267">
        <v>3</v>
      </c>
      <c r="AG25" s="267">
        <v>2</v>
      </c>
      <c r="AH25" s="267">
        <v>1</v>
      </c>
      <c r="AI25" s="267">
        <v>0</v>
      </c>
      <c r="AJ25" s="267">
        <v>0</v>
      </c>
      <c r="AK25" s="267">
        <v>0</v>
      </c>
    </row>
    <row r="26" spans="1:37" x14ac:dyDescent="0.25">
      <c r="A26" s="193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193"/>
      <c r="M26" s="253"/>
      <c r="Y26" s="267"/>
      <c r="Z26" s="267"/>
      <c r="AA26" s="267" t="s">
        <v>90</v>
      </c>
      <c r="AB26" s="267">
        <v>10</v>
      </c>
      <c r="AC26" s="267">
        <v>6</v>
      </c>
      <c r="AD26" s="267">
        <v>4</v>
      </c>
      <c r="AE26" s="267">
        <v>2</v>
      </c>
      <c r="AF26" s="267">
        <v>1</v>
      </c>
      <c r="AG26" s="267">
        <v>0</v>
      </c>
      <c r="AH26" s="267">
        <v>0</v>
      </c>
      <c r="AI26" s="267">
        <v>0</v>
      </c>
      <c r="AJ26" s="267">
        <v>0</v>
      </c>
      <c r="AK26" s="267">
        <v>0</v>
      </c>
    </row>
    <row r="27" spans="1:37" ht="18.75" customHeight="1" x14ac:dyDescent="0.25">
      <c r="A27" s="193"/>
      <c r="B27" s="341"/>
      <c r="C27" s="341"/>
      <c r="D27" s="329" t="str">
        <f>E13</f>
        <v>BUD. HONVÉD</v>
      </c>
      <c r="E27" s="329"/>
      <c r="F27" s="329" t="str">
        <f>E15</f>
        <v>PVTC</v>
      </c>
      <c r="G27" s="329"/>
      <c r="H27" s="329" t="str">
        <f>E17</f>
        <v>PG TENISZ</v>
      </c>
      <c r="I27" s="329"/>
      <c r="J27" s="329" t="str">
        <f>E19</f>
        <v>SVSE</v>
      </c>
      <c r="K27" s="329"/>
      <c r="L27" s="193"/>
      <c r="M27" s="253"/>
      <c r="Y27" s="267"/>
      <c r="Z27" s="267"/>
      <c r="AA27" s="267" t="s">
        <v>91</v>
      </c>
      <c r="AB27" s="267">
        <v>3</v>
      </c>
      <c r="AC27" s="267">
        <v>2</v>
      </c>
      <c r="AD27" s="267">
        <v>1</v>
      </c>
      <c r="AE27" s="267">
        <v>0</v>
      </c>
      <c r="AF27" s="267">
        <v>0</v>
      </c>
      <c r="AG27" s="267">
        <v>0</v>
      </c>
      <c r="AH27" s="267">
        <v>0</v>
      </c>
      <c r="AI27" s="267">
        <v>0</v>
      </c>
      <c r="AJ27" s="267">
        <v>0</v>
      </c>
      <c r="AK27" s="267">
        <v>0</v>
      </c>
    </row>
    <row r="28" spans="1:37" ht="18.75" customHeight="1" x14ac:dyDescent="0.25">
      <c r="A28" s="249" t="s">
        <v>65</v>
      </c>
      <c r="B28" s="338" t="str">
        <f>E13</f>
        <v>BUD. HONVÉD</v>
      </c>
      <c r="C28" s="338"/>
      <c r="D28" s="332"/>
      <c r="E28" s="332"/>
      <c r="F28" s="327" t="s">
        <v>134</v>
      </c>
      <c r="G28" s="328"/>
      <c r="H28" s="327" t="s">
        <v>144</v>
      </c>
      <c r="I28" s="328"/>
      <c r="J28" s="331" t="s">
        <v>134</v>
      </c>
      <c r="K28" s="329"/>
      <c r="L28" s="193"/>
      <c r="M28" s="252">
        <v>1</v>
      </c>
    </row>
    <row r="29" spans="1:37" ht="18.75" customHeight="1" x14ac:dyDescent="0.25">
      <c r="A29" s="249" t="s">
        <v>66</v>
      </c>
      <c r="B29" s="338" t="str">
        <f>E15</f>
        <v>PVTC</v>
      </c>
      <c r="C29" s="338"/>
      <c r="D29" s="327" t="s">
        <v>135</v>
      </c>
      <c r="E29" s="328"/>
      <c r="F29" s="332"/>
      <c r="G29" s="332"/>
      <c r="H29" s="327" t="s">
        <v>140</v>
      </c>
      <c r="I29" s="328"/>
      <c r="J29" s="327" t="s">
        <v>144</v>
      </c>
      <c r="K29" s="328"/>
      <c r="L29" s="193"/>
      <c r="M29" s="252">
        <v>3</v>
      </c>
    </row>
    <row r="30" spans="1:37" ht="18.75" customHeight="1" x14ac:dyDescent="0.25">
      <c r="A30" s="249" t="s">
        <v>67</v>
      </c>
      <c r="B30" s="338" t="str">
        <f>E17</f>
        <v>PG TENISZ</v>
      </c>
      <c r="C30" s="338"/>
      <c r="D30" s="327" t="s">
        <v>145</v>
      </c>
      <c r="E30" s="328"/>
      <c r="F30" s="327" t="s">
        <v>141</v>
      </c>
      <c r="G30" s="328"/>
      <c r="H30" s="332"/>
      <c r="I30" s="332"/>
      <c r="J30" s="327" t="s">
        <v>134</v>
      </c>
      <c r="K30" s="328"/>
      <c r="L30" s="193"/>
      <c r="M30" s="252">
        <v>2</v>
      </c>
    </row>
    <row r="31" spans="1:37" ht="18.75" customHeight="1" x14ac:dyDescent="0.25">
      <c r="A31" s="249" t="s">
        <v>71</v>
      </c>
      <c r="B31" s="338" t="str">
        <f>E19</f>
        <v>SVSE</v>
      </c>
      <c r="C31" s="338"/>
      <c r="D31" s="327" t="s">
        <v>135</v>
      </c>
      <c r="E31" s="328"/>
      <c r="F31" s="327" t="s">
        <v>145</v>
      </c>
      <c r="G31" s="328"/>
      <c r="H31" s="331" t="s">
        <v>135</v>
      </c>
      <c r="I31" s="329"/>
      <c r="J31" s="332"/>
      <c r="K31" s="332"/>
      <c r="L31" s="193"/>
      <c r="M31" s="252">
        <v>4</v>
      </c>
    </row>
    <row r="32" spans="1:37" ht="18.75" customHeight="1" x14ac:dyDescent="0.25">
      <c r="A32" s="254"/>
      <c r="B32" s="317"/>
      <c r="C32" s="317"/>
      <c r="D32" s="318"/>
      <c r="E32" s="318"/>
      <c r="F32" s="318"/>
      <c r="G32" s="318"/>
      <c r="H32" s="318"/>
      <c r="I32" s="318"/>
      <c r="J32" s="316"/>
      <c r="K32" s="316"/>
      <c r="L32" s="193"/>
      <c r="M32" s="255"/>
    </row>
    <row r="33" spans="1:19" x14ac:dyDescent="0.25">
      <c r="A33" s="193"/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193"/>
      <c r="M33" s="193"/>
    </row>
    <row r="34" spans="1:19" x14ac:dyDescent="0.25">
      <c r="A34" s="193" t="s">
        <v>52</v>
      </c>
      <c r="B34" s="316"/>
      <c r="C34" s="333" t="str">
        <f>IF(M23=1,B23,IF(M24=1,B24,IF(M25=1,B25,"")))</f>
        <v>VASAS SC</v>
      </c>
      <c r="D34" s="333"/>
      <c r="E34" s="319" t="s">
        <v>69</v>
      </c>
      <c r="F34" s="334" t="str">
        <f>IF(M28=1,B28,IF(M29=1,B29,IF(M30=1,B30,IF(M31=1,B31,""))))</f>
        <v>BUD. HONVÉD</v>
      </c>
      <c r="G34" s="334"/>
      <c r="H34" s="316"/>
      <c r="I34" s="323" t="s">
        <v>134</v>
      </c>
      <c r="J34" s="316"/>
      <c r="K34" s="316"/>
      <c r="L34" s="193"/>
      <c r="M34" s="193"/>
    </row>
    <row r="35" spans="1:19" x14ac:dyDescent="0.25">
      <c r="A35" s="193"/>
      <c r="B35" s="316"/>
      <c r="C35" s="316"/>
      <c r="D35" s="316"/>
      <c r="E35" s="316"/>
      <c r="F35" s="319"/>
      <c r="G35" s="319"/>
      <c r="H35" s="316"/>
      <c r="I35" s="316"/>
      <c r="J35" s="316"/>
      <c r="K35" s="316"/>
      <c r="L35" s="193"/>
      <c r="M35" s="193"/>
    </row>
    <row r="36" spans="1:19" x14ac:dyDescent="0.25">
      <c r="A36" s="193" t="s">
        <v>68</v>
      </c>
      <c r="B36" s="316"/>
      <c r="C36" s="334" t="str">
        <f>IF(M23=2,B23,IF(M24=2,B24,IF(M25=2,B25,"")))</f>
        <v>BBTC SE</v>
      </c>
      <c r="D36" s="334"/>
      <c r="E36" s="319" t="s">
        <v>69</v>
      </c>
      <c r="F36" s="333" t="str">
        <f>IF(M28=2,B28,IF(M29=2,B29,IF(M30=2,B30,IF(M31=2,B31,""))))</f>
        <v>PG TENISZ</v>
      </c>
      <c r="G36" s="333"/>
      <c r="H36" s="316"/>
      <c r="I36" s="323" t="s">
        <v>144</v>
      </c>
      <c r="J36" s="316"/>
      <c r="K36" s="316"/>
      <c r="L36" s="193"/>
      <c r="M36" s="193"/>
    </row>
    <row r="37" spans="1:19" x14ac:dyDescent="0.25">
      <c r="A37" s="193"/>
      <c r="B37" s="316"/>
      <c r="C37" s="320"/>
      <c r="D37" s="320"/>
      <c r="E37" s="319"/>
      <c r="F37" s="320"/>
      <c r="G37" s="320"/>
      <c r="H37" s="316"/>
      <c r="I37" s="316"/>
      <c r="J37" s="316"/>
      <c r="K37" s="316"/>
      <c r="L37" s="193"/>
      <c r="M37" s="193"/>
    </row>
    <row r="38" spans="1:19" x14ac:dyDescent="0.25">
      <c r="A38" s="193" t="s">
        <v>70</v>
      </c>
      <c r="B38" s="316"/>
      <c r="C38" s="334" t="str">
        <f>IF(M23=3,B23,IF(M24=3,B24,IF(M25=3,B25,"")))</f>
        <v>NEXT TA</v>
      </c>
      <c r="D38" s="334"/>
      <c r="E38" s="319" t="s">
        <v>69</v>
      </c>
      <c r="F38" s="333" t="str">
        <f>IF(M28=3,B28,IF(M29=3,B29,IF(M30=3,B30,IF(M31=3,B31,""))))</f>
        <v>PVTC</v>
      </c>
      <c r="G38" s="333"/>
      <c r="H38" s="316"/>
      <c r="I38" s="323" t="s">
        <v>134</v>
      </c>
      <c r="J38" s="316"/>
      <c r="K38" s="316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6" t="s">
        <v>2</v>
      </c>
      <c r="E41" s="227" t="s">
        <v>40</v>
      </c>
      <c r="F41" s="245"/>
      <c r="G41" s="226" t="s">
        <v>2</v>
      </c>
      <c r="H41" s="227" t="s">
        <v>49</v>
      </c>
      <c r="I41" s="119"/>
      <c r="J41" s="227" t="s">
        <v>50</v>
      </c>
      <c r="K41" s="118" t="s">
        <v>51</v>
      </c>
      <c r="L41" s="31"/>
      <c r="M41" s="245"/>
      <c r="O41" s="211"/>
      <c r="P41" s="220"/>
      <c r="Q41" s="220"/>
      <c r="R41" s="221"/>
      <c r="S41" s="211"/>
    </row>
    <row r="42" spans="1:19" x14ac:dyDescent="0.25">
      <c r="A42" s="196" t="s">
        <v>39</v>
      </c>
      <c r="B42" s="197"/>
      <c r="C42" s="198"/>
      <c r="D42" s="228">
        <v>1</v>
      </c>
      <c r="E42" s="335" t="str">
        <f>IF(D42&gt;$R$44,,UPPER(VLOOKUP(D42,'L18 csapat ELO'!$A$7:$Q$134,2)))</f>
        <v>VASAS SC</v>
      </c>
      <c r="F42" s="335"/>
      <c r="G42" s="239" t="s">
        <v>3</v>
      </c>
      <c r="H42" s="197"/>
      <c r="I42" s="229"/>
      <c r="J42" s="240"/>
      <c r="K42" s="194" t="s">
        <v>41</v>
      </c>
      <c r="L42" s="246"/>
      <c r="M42" s="230"/>
      <c r="O42" s="211"/>
      <c r="P42" s="222"/>
      <c r="Q42" s="222"/>
      <c r="R42" s="223"/>
      <c r="S42" s="211"/>
    </row>
    <row r="43" spans="1:19" x14ac:dyDescent="0.25">
      <c r="A43" s="199" t="s">
        <v>48</v>
      </c>
      <c r="B43" s="117"/>
      <c r="C43" s="200"/>
      <c r="D43" s="231">
        <v>2</v>
      </c>
      <c r="E43" s="336" t="str">
        <f>IF(D43&gt;$R$44,,UPPER(VLOOKUP(D43,'L18 csapat ELO'!$A$7:$Q$134,2)))</f>
        <v>BUD. HONVÉD</v>
      </c>
      <c r="F43" s="336"/>
      <c r="G43" s="241" t="s">
        <v>4</v>
      </c>
      <c r="H43" s="232"/>
      <c r="I43" s="233"/>
      <c r="J43" s="82"/>
      <c r="K43" s="243"/>
      <c r="L43" s="192"/>
      <c r="M43" s="238"/>
      <c r="O43" s="211"/>
      <c r="P43" s="223"/>
      <c r="Q43" s="224"/>
      <c r="R43" s="223"/>
      <c r="S43" s="211"/>
    </row>
    <row r="44" spans="1:19" x14ac:dyDescent="0.25">
      <c r="A44" s="132"/>
      <c r="B44" s="133"/>
      <c r="C44" s="134"/>
      <c r="D44" s="231"/>
      <c r="E44" s="235"/>
      <c r="F44" s="236"/>
      <c r="G44" s="241" t="s">
        <v>5</v>
      </c>
      <c r="H44" s="232"/>
      <c r="I44" s="233"/>
      <c r="J44" s="82"/>
      <c r="K44" s="194" t="s">
        <v>42</v>
      </c>
      <c r="L44" s="246"/>
      <c r="M44" s="230"/>
      <c r="O44" s="211"/>
      <c r="P44" s="222"/>
      <c r="Q44" s="222"/>
      <c r="R44" s="225">
        <f>MIN(4,'L18 csapat ELO'!Q2)</f>
        <v>4</v>
      </c>
      <c r="S44" s="211"/>
    </row>
    <row r="45" spans="1:19" x14ac:dyDescent="0.25">
      <c r="A45" s="112"/>
      <c r="B45" s="163"/>
      <c r="C45" s="113"/>
      <c r="D45" s="231"/>
      <c r="E45" s="235"/>
      <c r="F45" s="236"/>
      <c r="G45" s="241" t="s">
        <v>6</v>
      </c>
      <c r="H45" s="232"/>
      <c r="I45" s="233"/>
      <c r="J45" s="82"/>
      <c r="K45" s="244"/>
      <c r="L45" s="236"/>
      <c r="M45" s="234"/>
      <c r="O45" s="211"/>
      <c r="P45" s="223"/>
      <c r="Q45" s="224"/>
      <c r="R45" s="223"/>
      <c r="S45" s="211"/>
    </row>
    <row r="46" spans="1:19" x14ac:dyDescent="0.25">
      <c r="A46" s="121"/>
      <c r="B46" s="135"/>
      <c r="C46" s="164"/>
      <c r="D46" s="231"/>
      <c r="E46" s="235"/>
      <c r="F46" s="236"/>
      <c r="G46" s="241" t="s">
        <v>7</v>
      </c>
      <c r="H46" s="232"/>
      <c r="I46" s="233"/>
      <c r="J46" s="82"/>
      <c r="K46" s="199"/>
      <c r="L46" s="192"/>
      <c r="M46" s="238"/>
      <c r="O46" s="211"/>
      <c r="P46" s="223"/>
      <c r="Q46" s="224"/>
      <c r="R46" s="223"/>
      <c r="S46" s="211"/>
    </row>
    <row r="47" spans="1:19" x14ac:dyDescent="0.25">
      <c r="A47" s="122"/>
      <c r="B47" s="138"/>
      <c r="C47" s="113"/>
      <c r="D47" s="231"/>
      <c r="E47" s="235"/>
      <c r="F47" s="236"/>
      <c r="G47" s="241" t="s">
        <v>8</v>
      </c>
      <c r="H47" s="232"/>
      <c r="I47" s="233"/>
      <c r="J47" s="82"/>
      <c r="K47" s="194" t="s">
        <v>31</v>
      </c>
      <c r="L47" s="246"/>
      <c r="M47" s="230"/>
      <c r="O47" s="211"/>
      <c r="P47" s="222"/>
      <c r="Q47" s="222"/>
      <c r="R47" s="223"/>
      <c r="S47" s="211"/>
    </row>
    <row r="48" spans="1:19" x14ac:dyDescent="0.25">
      <c r="A48" s="122"/>
      <c r="B48" s="138"/>
      <c r="C48" s="130"/>
      <c r="D48" s="231"/>
      <c r="E48" s="235"/>
      <c r="F48" s="236"/>
      <c r="G48" s="241" t="s">
        <v>9</v>
      </c>
      <c r="H48" s="232"/>
      <c r="I48" s="233"/>
      <c r="J48" s="82"/>
      <c r="K48" s="244"/>
      <c r="L48" s="236"/>
      <c r="M48" s="234"/>
      <c r="O48" s="211"/>
      <c r="P48" s="223"/>
      <c r="Q48" s="224"/>
      <c r="R48" s="223"/>
      <c r="S48" s="211"/>
    </row>
    <row r="49" spans="1:19" x14ac:dyDescent="0.25">
      <c r="A49" s="123"/>
      <c r="B49" s="120"/>
      <c r="C49" s="131"/>
      <c r="D49" s="237"/>
      <c r="E49" s="114"/>
      <c r="F49" s="192"/>
      <c r="G49" s="242" t="s">
        <v>10</v>
      </c>
      <c r="H49" s="117"/>
      <c r="I49" s="195"/>
      <c r="J49" s="115"/>
      <c r="K49" s="199" t="str">
        <f>L4</f>
        <v>Rákóczi Andrea</v>
      </c>
      <c r="L49" s="192"/>
      <c r="M49" s="238"/>
      <c r="O49" s="211"/>
      <c r="P49" s="223"/>
      <c r="Q49" s="224"/>
      <c r="R49" s="225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1" priority="2" stopIfTrue="1">
      <formula>$O$1="CU"</formula>
    </cfRule>
  </conditionalFormatting>
  <conditionalFormatting sqref="E7 E9 E11 E13 E15 E17 E19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L12 csapat ELO</vt:lpstr>
      <vt:lpstr>L12 csapat</vt:lpstr>
      <vt:lpstr>L18 csapat ELO</vt:lpstr>
      <vt:lpstr>L18 csapat</vt:lpstr>
      <vt:lpstr>'L12 csapat ELO'!Nyomtatási_cím</vt:lpstr>
      <vt:lpstr>'L18 csapat ELO'!Nyomtatási_cím</vt:lpstr>
      <vt:lpstr>Birók!Nyomtatási_terület</vt:lpstr>
      <vt:lpstr>'L12 csapat'!Nyomtatási_terület</vt:lpstr>
      <vt:lpstr>'L12 csapat ELO'!Nyomtatási_terület</vt:lpstr>
      <vt:lpstr>'L18 csapat'!Nyomtatási_terület</vt:lpstr>
      <vt:lpstr>'L18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2024-08-29T13:48:54Z</dcterms:modified>
  <cp:category>Forms</cp:category>
</cp:coreProperties>
</file>