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6.xml" ContentType="application/vnd.openxmlformats-officedocument.spreadsheetml.comments+xml"/>
  <Override PartName="/xl/drawings/drawing20.xml" ContentType="application/vnd.openxmlformats-officedocument.drawing+xml"/>
  <Override PartName="/xl/ctrlProps/ctrlProp11.xml" ContentType="application/vnd.ms-excel.controlproperties+xml"/>
  <Override PartName="/xl/comments7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DÖNTŐ\Végeredmények\"/>
    </mc:Choice>
  </mc:AlternateContent>
  <xr:revisionPtr revIDLastSave="0" documentId="13_ncr:1_{94D6EB4C-FB2B-4215-B0FC-1AB8B14D4B81}" xr6:coauthVersionLast="47" xr6:coauthVersionMax="47" xr10:uidLastSave="{00000000-0000-0000-0000-000000000000}"/>
  <bookViews>
    <workbookView xWindow="-108" yWindow="-108" windowWidth="23256" windowHeight="13176" tabRatio="884" firstSheet="3" activeTab="7" xr2:uid="{00000000-000D-0000-FFFF-FFFF00000000}"/>
  </bookViews>
  <sheets>
    <sheet name="Altalanos" sheetId="1" r:id="rId1"/>
    <sheet name="Birók" sheetId="2" r:id="rId2"/>
    <sheet name="Játékrend 3 kcs." sheetId="312" r:id="rId3"/>
    <sheet name="Lány 3A ELO" sheetId="9" r:id="rId4"/>
    <sheet name="Lány 3A 1 cs." sheetId="88" r:id="rId5"/>
    <sheet name="Lány 3A 2 cs." sheetId="86" r:id="rId6"/>
    <sheet name="Lány 3A 3-4 cs." sheetId="197" r:id="rId7"/>
    <sheet name="Lány 3A Döntő" sheetId="85" r:id="rId8"/>
    <sheet name="Lány 3B ELO" sheetId="231" r:id="rId9"/>
    <sheet name="Lány 3B 1 cs." sheetId="232" r:id="rId10"/>
    <sheet name="Lány 3B 2 cs." sheetId="233" r:id="rId11"/>
    <sheet name="Lány 3B 3-4 cs." sheetId="235" r:id="rId12"/>
    <sheet name="Lány 3B 5-6 cs." sheetId="236" r:id="rId13"/>
    <sheet name="Lány 3B 7-8 cs." sheetId="237" r:id="rId14"/>
    <sheet name="Lány 3B Döntő" sheetId="238" r:id="rId15"/>
    <sheet name="Fiú 3A ELO" sheetId="279" r:id="rId16"/>
    <sheet name="Fiú 3A 1 cs." sheetId="281" r:id="rId17"/>
    <sheet name="Fiú 3A 2-3 cs." sheetId="284" r:id="rId18"/>
    <sheet name="Fiú 3A 4-5 cs." sheetId="285" r:id="rId19"/>
    <sheet name="Fiú 3A Döntő" sheetId="286" r:id="rId20"/>
    <sheet name="Fiú 3B ELO" sheetId="303" r:id="rId21"/>
    <sheet name="Fiú 3B 1 cs." sheetId="305" r:id="rId22"/>
    <sheet name="Fiú 3B 2-3 cs. " sheetId="307" r:id="rId23"/>
    <sheet name="Fiú 3B 4-5 cs." sheetId="308" r:id="rId24"/>
    <sheet name="Fiú 3B 6-7 cs." sheetId="309" r:id="rId25"/>
    <sheet name="Fiú 3B Döntő" sheetId="310" r:id="rId2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5">'Fiú 3A ELO'!$1:$6</definedName>
    <definedName name="_xlnm.Print_Titles" localSheetId="20">'Fiú 3B ELO'!$1:$6</definedName>
    <definedName name="_xlnm.Print_Titles" localSheetId="3">'Lány 3A ELO'!$1:$6</definedName>
    <definedName name="_xlnm.Print_Titles" localSheetId="8">'Lány 3B ELO'!$1:$6</definedName>
    <definedName name="_xlnm.Print_Area" localSheetId="1">Birók!$A$1:$N$29</definedName>
    <definedName name="_xlnm.Print_Area" localSheetId="16">'Fiú 3A 1 cs.'!$A$1:$M$41</definedName>
    <definedName name="_xlnm.Print_Area" localSheetId="17">'Fiú 3A 2-3 cs.'!$A$1:$M$49</definedName>
    <definedName name="_xlnm.Print_Area" localSheetId="18">'Fiú 3A 4-5 cs.'!$A$1:$M$52</definedName>
    <definedName name="_xlnm.Print_Area" localSheetId="19">'Fiú 3A Döntő'!$A$1:$R$62</definedName>
    <definedName name="_xlnm.Print_Area" localSheetId="15">'Fiú 3A ELO'!$A$1:$Q$134</definedName>
    <definedName name="_xlnm.Print_Area" localSheetId="21">'Fiú 3B 1 cs.'!$A$1:$M$41</definedName>
    <definedName name="_xlnm.Print_Area" localSheetId="22">'Fiú 3B 2-3 cs. '!$A$1:$M$47</definedName>
    <definedName name="_xlnm.Print_Area" localSheetId="23">'Fiú 3B 4-5 cs.'!$A$1:$M$49</definedName>
    <definedName name="_xlnm.Print_Area" localSheetId="24">'Fiú 3B 6-7 cs.'!$A$1:$M$52</definedName>
    <definedName name="_xlnm.Print_Area" localSheetId="25">'Fiú 3B Döntő'!$A$1:$R$62</definedName>
    <definedName name="_xlnm.Print_Area" localSheetId="20">'Fiú 3B ELO'!$A$1:$Q$134</definedName>
    <definedName name="_xlnm.Print_Area" localSheetId="4">'Lány 3A 1 cs.'!$A$1:$M$41</definedName>
    <definedName name="_xlnm.Print_Area" localSheetId="5">'Lány 3A 2 cs.'!$A$1:$M$49</definedName>
    <definedName name="_xlnm.Print_Area" localSheetId="6">'Lány 3A 3-4 cs.'!$A$1:$M$52</definedName>
    <definedName name="_xlnm.Print_Area" localSheetId="7">'Lány 3A Döntő'!$A$1:$R$62</definedName>
    <definedName name="_xlnm.Print_Area" localSheetId="3">'Lány 3A ELO'!$A$1:$Q$134</definedName>
    <definedName name="_xlnm.Print_Area" localSheetId="9">'Lány 3B 1 cs.'!$A$1:$M$41</definedName>
    <definedName name="_xlnm.Print_Area" localSheetId="10">'Lány 3B 2 cs.'!$A$1:$M$41</definedName>
    <definedName name="_xlnm.Print_Area" localSheetId="11">'Lány 3B 3-4 cs.'!$A$1:$M$47</definedName>
    <definedName name="_xlnm.Print_Area" localSheetId="12">'Lány 3B 5-6 cs.'!$A$1:$M$49</definedName>
    <definedName name="_xlnm.Print_Area" localSheetId="13">'Lány 3B 7-8 cs.'!$A$1:$M$52</definedName>
    <definedName name="_xlnm.Print_Area" localSheetId="14">'Lány 3B Döntő'!$A$1:$R$62</definedName>
    <definedName name="_xlnm.Print_Area" localSheetId="8">'Lány 3B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10" l="1"/>
  <c r="E2" i="309"/>
  <c r="E2" i="308"/>
  <c r="E2" i="307"/>
  <c r="E2" i="305"/>
  <c r="C2" i="303"/>
  <c r="R62" i="310"/>
  <c r="I21" i="310"/>
  <c r="G21" i="310"/>
  <c r="F21" i="310"/>
  <c r="D21" i="310"/>
  <c r="C21" i="310"/>
  <c r="B21" i="310"/>
  <c r="K20" i="310"/>
  <c r="I19" i="310"/>
  <c r="G19" i="310"/>
  <c r="D19" i="310"/>
  <c r="C19" i="310"/>
  <c r="B19" i="310"/>
  <c r="M18" i="310"/>
  <c r="O14" i="310" s="1"/>
  <c r="D17" i="310"/>
  <c r="C17" i="310"/>
  <c r="B17" i="310"/>
  <c r="U16" i="310"/>
  <c r="I15" i="310"/>
  <c r="G15" i="310"/>
  <c r="F15" i="310"/>
  <c r="K16" i="310" s="1"/>
  <c r="D15" i="310"/>
  <c r="C15" i="310"/>
  <c r="B15" i="310"/>
  <c r="I13" i="310"/>
  <c r="G13" i="310"/>
  <c r="F13" i="310"/>
  <c r="D13" i="310"/>
  <c r="C13" i="310"/>
  <c r="B13" i="310"/>
  <c r="K12" i="310"/>
  <c r="I11" i="310"/>
  <c r="G11" i="310"/>
  <c r="F11" i="310"/>
  <c r="D11" i="310"/>
  <c r="C11" i="310"/>
  <c r="B11" i="310"/>
  <c r="I9" i="310"/>
  <c r="G9" i="310"/>
  <c r="F9" i="310"/>
  <c r="D9" i="310"/>
  <c r="C9" i="310"/>
  <c r="B9" i="310"/>
  <c r="U7" i="310"/>
  <c r="I7" i="310"/>
  <c r="G7" i="310"/>
  <c r="F7" i="310"/>
  <c r="K8" i="310" s="1"/>
  <c r="M10" i="310" s="1"/>
  <c r="D7" i="310"/>
  <c r="C7" i="310"/>
  <c r="B7" i="310"/>
  <c r="Y5" i="310"/>
  <c r="AG1" i="310" s="1"/>
  <c r="R4" i="310"/>
  <c r="O62" i="310" s="1"/>
  <c r="G4" i="310"/>
  <c r="A4" i="310"/>
  <c r="Y3" i="310"/>
  <c r="A1" i="310"/>
  <c r="R47" i="309"/>
  <c r="E46" i="309" s="1"/>
  <c r="F43" i="309"/>
  <c r="F41" i="309"/>
  <c r="C41" i="309"/>
  <c r="C37" i="309"/>
  <c r="L21" i="309"/>
  <c r="B34" i="309"/>
  <c r="L19" i="309"/>
  <c r="I19" i="309"/>
  <c r="G19" i="309"/>
  <c r="E19" i="309"/>
  <c r="B33" i="309" s="1"/>
  <c r="D19" i="309"/>
  <c r="C19" i="309"/>
  <c r="L17" i="309"/>
  <c r="I17" i="309"/>
  <c r="G17" i="309"/>
  <c r="E17" i="309"/>
  <c r="B32" i="309" s="1"/>
  <c r="F39" i="309" s="1"/>
  <c r="D17" i="309"/>
  <c r="C17" i="309"/>
  <c r="L15" i="309"/>
  <c r="I15" i="309"/>
  <c r="G15" i="309"/>
  <c r="E15" i="309"/>
  <c r="B31" i="309"/>
  <c r="F37" i="309" s="1"/>
  <c r="D15" i="309"/>
  <c r="C15" i="309"/>
  <c r="L13" i="309"/>
  <c r="B28" i="309"/>
  <c r="L11" i="309"/>
  <c r="B27" i="309"/>
  <c r="L9" i="309"/>
  <c r="B26" i="309"/>
  <c r="C43" i="309" s="1"/>
  <c r="L7" i="309"/>
  <c r="I7" i="309"/>
  <c r="G7" i="309"/>
  <c r="E7" i="309"/>
  <c r="B25" i="309" s="1"/>
  <c r="C39" i="309" s="1"/>
  <c r="D7" i="309"/>
  <c r="C7" i="309"/>
  <c r="Y5" i="309"/>
  <c r="L4" i="309"/>
  <c r="K53" i="309"/>
  <c r="E4" i="309"/>
  <c r="A4" i="309"/>
  <c r="Y3" i="309"/>
  <c r="AH1" i="309" s="1"/>
  <c r="A1" i="309"/>
  <c r="R44" i="308"/>
  <c r="F36" i="308"/>
  <c r="L19" i="308"/>
  <c r="B31" i="308"/>
  <c r="L17" i="308"/>
  <c r="I17" i="308"/>
  <c r="G17" i="308"/>
  <c r="E17" i="308"/>
  <c r="B30" i="308" s="1"/>
  <c r="D17" i="308"/>
  <c r="C17" i="308"/>
  <c r="L15" i="308"/>
  <c r="I15" i="308"/>
  <c r="G15" i="308"/>
  <c r="E15" i="308"/>
  <c r="F27" i="308" s="1"/>
  <c r="B29" i="308"/>
  <c r="F34" i="308" s="1"/>
  <c r="D15" i="308"/>
  <c r="C15" i="308"/>
  <c r="L13" i="308"/>
  <c r="I13" i="308"/>
  <c r="G13" i="308"/>
  <c r="E13" i="308"/>
  <c r="B28" i="308" s="1"/>
  <c r="F38" i="308" s="1"/>
  <c r="D13" i="308"/>
  <c r="C13" i="308"/>
  <c r="L11" i="308"/>
  <c r="I11" i="308"/>
  <c r="G11" i="308"/>
  <c r="E11" i="308"/>
  <c r="B25" i="308" s="1"/>
  <c r="C36" i="308" s="1"/>
  <c r="D11" i="308"/>
  <c r="C11" i="308"/>
  <c r="L9" i="308"/>
  <c r="B24" i="308"/>
  <c r="C38" i="308" s="1"/>
  <c r="L7" i="308"/>
  <c r="I7" i="308"/>
  <c r="G7" i="308"/>
  <c r="E7" i="308"/>
  <c r="B23" i="308" s="1"/>
  <c r="C34" i="308" s="1"/>
  <c r="D7" i="308"/>
  <c r="C7" i="308"/>
  <c r="Y5" i="308"/>
  <c r="L4" i="308"/>
  <c r="K49" i="308" s="1"/>
  <c r="E4" i="308"/>
  <c r="A4" i="308"/>
  <c r="Y3" i="308"/>
  <c r="A1" i="308"/>
  <c r="R47" i="307"/>
  <c r="F36" i="307"/>
  <c r="C36" i="307"/>
  <c r="F34" i="307"/>
  <c r="C34" i="307"/>
  <c r="L17" i="307"/>
  <c r="B30" i="307"/>
  <c r="L15" i="307"/>
  <c r="I15" i="307"/>
  <c r="G15" i="307"/>
  <c r="E15" i="307"/>
  <c r="B29" i="307" s="1"/>
  <c r="D15" i="307"/>
  <c r="C15" i="307"/>
  <c r="L13" i="307"/>
  <c r="I13" i="307"/>
  <c r="G13" i="307"/>
  <c r="E13" i="307"/>
  <c r="B28" i="307" s="1"/>
  <c r="F32" i="307" s="1"/>
  <c r="D13" i="307"/>
  <c r="C13" i="307"/>
  <c r="L11" i="307"/>
  <c r="B25" i="307"/>
  <c r="L9" i="307"/>
  <c r="I9" i="307"/>
  <c r="G9" i="307"/>
  <c r="E9" i="307"/>
  <c r="B24" i="307" s="1"/>
  <c r="C32" i="307" s="1"/>
  <c r="D9" i="307"/>
  <c r="C9" i="307"/>
  <c r="L7" i="307"/>
  <c r="I7" i="307"/>
  <c r="G7" i="307"/>
  <c r="E7" i="307"/>
  <c r="B23" i="307" s="1"/>
  <c r="D7" i="307"/>
  <c r="C7" i="307"/>
  <c r="Y5" i="307"/>
  <c r="AB1" i="307" s="1"/>
  <c r="AG1" i="307"/>
  <c r="L4" i="307"/>
  <c r="K47" i="307"/>
  <c r="E4" i="307"/>
  <c r="A4" i="307"/>
  <c r="Y3" i="307"/>
  <c r="A1" i="307"/>
  <c r="B22" i="305"/>
  <c r="I11" i="305"/>
  <c r="G11" i="305"/>
  <c r="E11" i="305"/>
  <c r="B21" i="305"/>
  <c r="D11" i="305"/>
  <c r="C11" i="305"/>
  <c r="I9" i="305"/>
  <c r="G9" i="305"/>
  <c r="E9" i="305"/>
  <c r="B20" i="305" s="1"/>
  <c r="D9" i="305"/>
  <c r="C9" i="305"/>
  <c r="I7" i="305"/>
  <c r="G7" i="305"/>
  <c r="E7" i="305"/>
  <c r="B19" i="305"/>
  <c r="D7" i="305"/>
  <c r="C7" i="305"/>
  <c r="Y5" i="305"/>
  <c r="M4" i="305"/>
  <c r="K41" i="305" s="1"/>
  <c r="E4" i="305"/>
  <c r="A4" i="305"/>
  <c r="Y3" i="305"/>
  <c r="AK1" i="305" s="1"/>
  <c r="A1" i="305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6"/>
  <c r="E2" i="285"/>
  <c r="E2" i="284"/>
  <c r="E2" i="281"/>
  <c r="C2" i="279"/>
  <c r="R62" i="286"/>
  <c r="F55" i="286" s="1"/>
  <c r="I21" i="286"/>
  <c r="G21" i="286"/>
  <c r="F21" i="286"/>
  <c r="D21" i="286"/>
  <c r="C21" i="286"/>
  <c r="B21" i="286"/>
  <c r="K20" i="286"/>
  <c r="M18" i="286" s="1"/>
  <c r="O14" i="286" s="1"/>
  <c r="I19" i="286"/>
  <c r="G19" i="286"/>
  <c r="F19" i="286"/>
  <c r="D19" i="286"/>
  <c r="C19" i="286"/>
  <c r="B19" i="286"/>
  <c r="I17" i="286"/>
  <c r="G17" i="286"/>
  <c r="F17" i="286"/>
  <c r="D17" i="286"/>
  <c r="C17" i="286"/>
  <c r="B17" i="286"/>
  <c r="U16" i="286"/>
  <c r="K16" i="286"/>
  <c r="I15" i="286"/>
  <c r="G15" i="286"/>
  <c r="F15" i="286"/>
  <c r="D15" i="286"/>
  <c r="C15" i="286"/>
  <c r="B15" i="286"/>
  <c r="I13" i="286"/>
  <c r="G13" i="286"/>
  <c r="F13" i="286"/>
  <c r="D13" i="286"/>
  <c r="C13" i="286"/>
  <c r="B13" i="286"/>
  <c r="K12" i="286"/>
  <c r="I11" i="286"/>
  <c r="G11" i="286"/>
  <c r="F11" i="286"/>
  <c r="D11" i="286"/>
  <c r="C11" i="286"/>
  <c r="B11" i="286"/>
  <c r="M10" i="286"/>
  <c r="I9" i="286"/>
  <c r="G9" i="286"/>
  <c r="F9" i="286"/>
  <c r="D9" i="286"/>
  <c r="C9" i="286"/>
  <c r="B9" i="286"/>
  <c r="K8" i="286"/>
  <c r="U7" i="286"/>
  <c r="I7" i="286"/>
  <c r="G7" i="286"/>
  <c r="F7" i="286"/>
  <c r="D7" i="286"/>
  <c r="C7" i="286"/>
  <c r="B7" i="286"/>
  <c r="Y5" i="286"/>
  <c r="R4" i="286"/>
  <c r="O62" i="286" s="1"/>
  <c r="G4" i="286"/>
  <c r="A4" i="286"/>
  <c r="Y3" i="286"/>
  <c r="A1" i="286"/>
  <c r="R47" i="285"/>
  <c r="L21" i="285"/>
  <c r="I21" i="285"/>
  <c r="G21" i="285"/>
  <c r="E21" i="285"/>
  <c r="B34" i="285" s="1"/>
  <c r="F43" i="285"/>
  <c r="D21" i="285"/>
  <c r="C21" i="285"/>
  <c r="L19" i="285"/>
  <c r="I19" i="285"/>
  <c r="G19" i="285"/>
  <c r="E19" i="285"/>
  <c r="F41" i="285"/>
  <c r="D19" i="285"/>
  <c r="C19" i="285"/>
  <c r="L17" i="285"/>
  <c r="I17" i="285"/>
  <c r="G17" i="285"/>
  <c r="E17" i="285"/>
  <c r="F39" i="285"/>
  <c r="D17" i="285"/>
  <c r="C17" i="285"/>
  <c r="L15" i="285"/>
  <c r="I15" i="285"/>
  <c r="G15" i="285"/>
  <c r="E15" i="285"/>
  <c r="B31" i="285" s="1"/>
  <c r="F37" i="285"/>
  <c r="D15" i="285"/>
  <c r="C15" i="285"/>
  <c r="L13" i="285"/>
  <c r="B28" i="285"/>
  <c r="C37" i="285"/>
  <c r="L11" i="285"/>
  <c r="I11" i="285"/>
  <c r="G11" i="285"/>
  <c r="E11" i="285"/>
  <c r="C39" i="285"/>
  <c r="D11" i="285"/>
  <c r="C11" i="285"/>
  <c r="L9" i="285"/>
  <c r="I9" i="285"/>
  <c r="G9" i="285"/>
  <c r="E9" i="285"/>
  <c r="B26" i="285" s="1"/>
  <c r="C41" i="285"/>
  <c r="D9" i="285"/>
  <c r="C9" i="285"/>
  <c r="L7" i="285"/>
  <c r="I7" i="285"/>
  <c r="G7" i="285"/>
  <c r="E7" i="285"/>
  <c r="B25" i="285" s="1"/>
  <c r="C43" i="285"/>
  <c r="D7" i="285"/>
  <c r="C7" i="285"/>
  <c r="Y5" i="285"/>
  <c r="AF1" i="285" s="1"/>
  <c r="L4" i="285"/>
  <c r="K53" i="285" s="1"/>
  <c r="E4" i="285"/>
  <c r="A4" i="285"/>
  <c r="Y3" i="285"/>
  <c r="A1" i="285"/>
  <c r="R44" i="284"/>
  <c r="E42" i="284" s="1"/>
  <c r="I19" i="284"/>
  <c r="G19" i="284"/>
  <c r="E19" i="284"/>
  <c r="B31" i="284" s="1"/>
  <c r="D19" i="284"/>
  <c r="C19" i="284"/>
  <c r="I17" i="284"/>
  <c r="G17" i="284"/>
  <c r="E17" i="284"/>
  <c r="F38" i="284"/>
  <c r="D17" i="284"/>
  <c r="C17" i="284"/>
  <c r="B29" i="284"/>
  <c r="F36" i="284"/>
  <c r="I13" i="284"/>
  <c r="G13" i="284"/>
  <c r="E13" i="284"/>
  <c r="D27" i="284" s="1"/>
  <c r="F34" i="284"/>
  <c r="D13" i="284"/>
  <c r="C13" i="284"/>
  <c r="I11" i="284"/>
  <c r="G11" i="284"/>
  <c r="E11" i="284"/>
  <c r="B25" i="284"/>
  <c r="C38" i="284"/>
  <c r="D11" i="284"/>
  <c r="C11" i="284"/>
  <c r="I9" i="284"/>
  <c r="G9" i="284"/>
  <c r="E9" i="284"/>
  <c r="C36" i="284"/>
  <c r="D9" i="284"/>
  <c r="C9" i="284"/>
  <c r="I7" i="284"/>
  <c r="G7" i="284"/>
  <c r="E7" i="284"/>
  <c r="C34" i="284"/>
  <c r="D7" i="284"/>
  <c r="C7" i="284"/>
  <c r="Y5" i="284"/>
  <c r="L4" i="284"/>
  <c r="K49" i="284"/>
  <c r="E4" i="284"/>
  <c r="A4" i="284"/>
  <c r="Y3" i="284"/>
  <c r="A1" i="284"/>
  <c r="B22" i="281"/>
  <c r="I11" i="281"/>
  <c r="G11" i="281"/>
  <c r="E11" i="281"/>
  <c r="B21" i="281" s="1"/>
  <c r="D11" i="281"/>
  <c r="C11" i="281"/>
  <c r="I9" i="281"/>
  <c r="G9" i="281"/>
  <c r="E9" i="281"/>
  <c r="D9" i="281"/>
  <c r="C9" i="281"/>
  <c r="I7" i="281"/>
  <c r="G7" i="281"/>
  <c r="E7" i="281"/>
  <c r="B19" i="281"/>
  <c r="D7" i="281"/>
  <c r="C7" i="281"/>
  <c r="Y5" i="281"/>
  <c r="M4" i="281"/>
  <c r="K41" i="281" s="1"/>
  <c r="E4" i="281"/>
  <c r="A4" i="281"/>
  <c r="Y3" i="281"/>
  <c r="AC1" i="281" s="1"/>
  <c r="A1" i="281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7"/>
  <c r="E2" i="236"/>
  <c r="E2" i="235"/>
  <c r="E2" i="233"/>
  <c r="E2" i="232"/>
  <c r="C2" i="231"/>
  <c r="R62" i="238"/>
  <c r="F55" i="238" s="1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I17" i="238"/>
  <c r="G17" i="238"/>
  <c r="F17" i="238"/>
  <c r="D17" i="238"/>
  <c r="C17" i="238"/>
  <c r="B17" i="238"/>
  <c r="U16" i="238"/>
  <c r="K16" i="238"/>
  <c r="M18" i="238" s="1"/>
  <c r="I13" i="238"/>
  <c r="G13" i="238"/>
  <c r="F13" i="238"/>
  <c r="D13" i="238"/>
  <c r="C13" i="238"/>
  <c r="B13" i="238"/>
  <c r="K12" i="238"/>
  <c r="D11" i="238"/>
  <c r="C11" i="238"/>
  <c r="B11" i="238"/>
  <c r="M10" i="238"/>
  <c r="O14" i="238" s="1"/>
  <c r="I9" i="238"/>
  <c r="G9" i="238"/>
  <c r="F9" i="238"/>
  <c r="D9" i="238"/>
  <c r="C9" i="238"/>
  <c r="B9" i="238"/>
  <c r="K8" i="238"/>
  <c r="U7" i="238"/>
  <c r="Y5" i="238"/>
  <c r="R4" i="238"/>
  <c r="O62" i="238" s="1"/>
  <c r="G4" i="238"/>
  <c r="A4" i="238"/>
  <c r="Y3" i="238"/>
  <c r="A1" i="238"/>
  <c r="R47" i="237"/>
  <c r="L21" i="237"/>
  <c r="I21" i="237"/>
  <c r="G21" i="237"/>
  <c r="E21" i="237"/>
  <c r="B34" i="237" s="1"/>
  <c r="D21" i="237"/>
  <c r="C21" i="237"/>
  <c r="L19" i="237"/>
  <c r="L17" i="237"/>
  <c r="I17" i="237"/>
  <c r="G17" i="237"/>
  <c r="E17" i="237"/>
  <c r="F30" i="237" s="1"/>
  <c r="D17" i="237"/>
  <c r="C17" i="237"/>
  <c r="L15" i="237"/>
  <c r="I15" i="237"/>
  <c r="G15" i="237"/>
  <c r="E15" i="237"/>
  <c r="D30" i="237" s="1"/>
  <c r="D15" i="237"/>
  <c r="C15" i="237"/>
  <c r="L13" i="237"/>
  <c r="I13" i="237"/>
  <c r="G13" i="237"/>
  <c r="E13" i="237"/>
  <c r="C37" i="237"/>
  <c r="D13" i="237"/>
  <c r="C13" i="237"/>
  <c r="L11" i="237"/>
  <c r="B27" i="237"/>
  <c r="C39" i="237"/>
  <c r="L9" i="237"/>
  <c r="B26" i="237"/>
  <c r="C41" i="237"/>
  <c r="L7" i="237"/>
  <c r="I7" i="237"/>
  <c r="G7" i="237"/>
  <c r="E7" i="237"/>
  <c r="B25" i="237"/>
  <c r="C43" i="237"/>
  <c r="D7" i="237"/>
  <c r="C7" i="237"/>
  <c r="Y5" i="237"/>
  <c r="AK1" i="237" s="1"/>
  <c r="L4" i="237"/>
  <c r="K53" i="237" s="1"/>
  <c r="E4" i="237"/>
  <c r="A4" i="237"/>
  <c r="Y3" i="237"/>
  <c r="A1" i="237"/>
  <c r="R44" i="236"/>
  <c r="E42" i="236" s="1"/>
  <c r="E43" i="236"/>
  <c r="L19" i="236"/>
  <c r="I19" i="236"/>
  <c r="G19" i="236"/>
  <c r="E19" i="236"/>
  <c r="D19" i="236"/>
  <c r="C19" i="236"/>
  <c r="L17" i="236"/>
  <c r="B30" i="236"/>
  <c r="F38" i="236"/>
  <c r="L15" i="236"/>
  <c r="B29" i="236"/>
  <c r="F27" i="236"/>
  <c r="F36" i="236"/>
  <c r="L13" i="236"/>
  <c r="I13" i="236"/>
  <c r="G13" i="236"/>
  <c r="E13" i="236"/>
  <c r="D27" i="236" s="1"/>
  <c r="D13" i="236"/>
  <c r="C13" i="236"/>
  <c r="L11" i="236"/>
  <c r="H22" i="236"/>
  <c r="B25" i="236"/>
  <c r="C38" i="236"/>
  <c r="L9" i="236"/>
  <c r="I9" i="236"/>
  <c r="G9" i="236"/>
  <c r="E9" i="236"/>
  <c r="C36" i="236"/>
  <c r="D9" i="236"/>
  <c r="C9" i="236"/>
  <c r="L7" i="236"/>
  <c r="I7" i="236"/>
  <c r="G7" i="236"/>
  <c r="E7" i="236"/>
  <c r="B23" i="236" s="1"/>
  <c r="C34" i="236"/>
  <c r="D7" i="236"/>
  <c r="C7" i="236"/>
  <c r="Y5" i="236"/>
  <c r="L4" i="236"/>
  <c r="K49" i="236"/>
  <c r="E4" i="236"/>
  <c r="A4" i="236"/>
  <c r="Y3" i="236"/>
  <c r="AE1" i="236" s="1"/>
  <c r="A1" i="236"/>
  <c r="R47" i="235"/>
  <c r="E41" i="235" s="1"/>
  <c r="L17" i="235"/>
  <c r="I17" i="235"/>
  <c r="G17" i="235"/>
  <c r="E17" i="235"/>
  <c r="B30" i="235" s="1"/>
  <c r="F34" i="235"/>
  <c r="D17" i="235"/>
  <c r="C17" i="235"/>
  <c r="L15" i="235"/>
  <c r="B29" i="235"/>
  <c r="F36" i="235"/>
  <c r="L13" i="235"/>
  <c r="I13" i="235"/>
  <c r="G13" i="235"/>
  <c r="E13" i="235"/>
  <c r="B28" i="235" s="1"/>
  <c r="F32" i="235"/>
  <c r="D13" i="235"/>
  <c r="C13" i="235"/>
  <c r="L11" i="235"/>
  <c r="B25" i="235"/>
  <c r="C32" i="235" s="1"/>
  <c r="C36" i="235"/>
  <c r="L9" i="235"/>
  <c r="I9" i="235"/>
  <c r="G9" i="235"/>
  <c r="E9" i="235"/>
  <c r="B24" i="235" s="1"/>
  <c r="C34" i="235"/>
  <c r="D9" i="235"/>
  <c r="C9" i="235"/>
  <c r="L7" i="235"/>
  <c r="I7" i="235"/>
  <c r="G7" i="235"/>
  <c r="E7" i="235"/>
  <c r="B23" i="235" s="1"/>
  <c r="D7" i="235"/>
  <c r="C7" i="235"/>
  <c r="Y5" i="235"/>
  <c r="L4" i="235"/>
  <c r="K47" i="235" s="1"/>
  <c r="E4" i="235"/>
  <c r="A4" i="235"/>
  <c r="Y3" i="235"/>
  <c r="A1" i="235"/>
  <c r="I13" i="233"/>
  <c r="G13" i="233"/>
  <c r="E13" i="233"/>
  <c r="J18" i="233" s="1"/>
  <c r="D13" i="233"/>
  <c r="C13" i="233"/>
  <c r="I11" i="233"/>
  <c r="G11" i="233"/>
  <c r="E11" i="233"/>
  <c r="B21" i="233" s="1"/>
  <c r="D11" i="233"/>
  <c r="C11" i="233"/>
  <c r="I9" i="233"/>
  <c r="G9" i="233"/>
  <c r="E9" i="233"/>
  <c r="F18" i="233" s="1"/>
  <c r="B20" i="233"/>
  <c r="D9" i="233"/>
  <c r="C9" i="233"/>
  <c r="I7" i="233"/>
  <c r="G7" i="233"/>
  <c r="E7" i="233"/>
  <c r="D7" i="233"/>
  <c r="C7" i="233"/>
  <c r="Y5" i="233"/>
  <c r="AH1" i="233" s="1"/>
  <c r="M4" i="233"/>
  <c r="K41" i="233" s="1"/>
  <c r="E4" i="233"/>
  <c r="A4" i="233"/>
  <c r="Y3" i="233"/>
  <c r="A1" i="233"/>
  <c r="I11" i="232"/>
  <c r="G11" i="232"/>
  <c r="E11" i="232"/>
  <c r="B21" i="232" s="1"/>
  <c r="D11" i="232"/>
  <c r="C11" i="232"/>
  <c r="I9" i="232"/>
  <c r="G9" i="232"/>
  <c r="E9" i="232"/>
  <c r="B20" i="232" s="1"/>
  <c r="D9" i="232"/>
  <c r="C9" i="232"/>
  <c r="I7" i="232"/>
  <c r="G7" i="232"/>
  <c r="E7" i="232"/>
  <c r="D7" i="232"/>
  <c r="C7" i="232"/>
  <c r="Y5" i="232"/>
  <c r="L4" i="232"/>
  <c r="K41" i="232" s="1"/>
  <c r="E4" i="232"/>
  <c r="A4" i="232"/>
  <c r="Y3" i="232"/>
  <c r="A1" i="232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L21" i="197"/>
  <c r="I21" i="197"/>
  <c r="G21" i="197"/>
  <c r="E21" i="197"/>
  <c r="F43" i="197"/>
  <c r="D21" i="197"/>
  <c r="C21" i="197"/>
  <c r="R47" i="197"/>
  <c r="E46" i="197" s="1"/>
  <c r="L19" i="197"/>
  <c r="I19" i="197"/>
  <c r="G19" i="197"/>
  <c r="E19" i="197"/>
  <c r="D19" i="197"/>
  <c r="C19" i="197"/>
  <c r="L17" i="197"/>
  <c r="I17" i="197"/>
  <c r="G17" i="197"/>
  <c r="E17" i="197"/>
  <c r="F30" i="197" s="1"/>
  <c r="D17" i="197"/>
  <c r="C17" i="197"/>
  <c r="L15" i="197"/>
  <c r="I15" i="197"/>
  <c r="G15" i="197"/>
  <c r="E15" i="197"/>
  <c r="B31" i="197"/>
  <c r="D15" i="197"/>
  <c r="C15" i="197"/>
  <c r="L13" i="197"/>
  <c r="I13" i="197"/>
  <c r="G13" i="197"/>
  <c r="E13" i="197"/>
  <c r="B28" i="197" s="1"/>
  <c r="D13" i="197"/>
  <c r="C13" i="197"/>
  <c r="L11" i="197"/>
  <c r="I11" i="197"/>
  <c r="G11" i="197"/>
  <c r="E11" i="197"/>
  <c r="H24" i="197" s="1"/>
  <c r="D11" i="197"/>
  <c r="C11" i="197"/>
  <c r="L9" i="197"/>
  <c r="I9" i="197"/>
  <c r="G9" i="197"/>
  <c r="E9" i="197"/>
  <c r="F24" i="197" s="1"/>
  <c r="D9" i="197"/>
  <c r="C9" i="197"/>
  <c r="L7" i="197"/>
  <c r="I7" i="197"/>
  <c r="G7" i="197"/>
  <c r="E7" i="197"/>
  <c r="D24" i="197" s="1"/>
  <c r="D7" i="197"/>
  <c r="C7" i="197"/>
  <c r="Y5" i="197"/>
  <c r="AC1" i="197" s="1"/>
  <c r="L4" i="197"/>
  <c r="K53" i="197" s="1"/>
  <c r="E4" i="197"/>
  <c r="A4" i="197"/>
  <c r="Y3" i="197"/>
  <c r="E2" i="197"/>
  <c r="A1" i="197"/>
  <c r="I9" i="85"/>
  <c r="C5" i="9"/>
  <c r="D5" i="9"/>
  <c r="H5" i="9"/>
  <c r="P22" i="2"/>
  <c r="P23" i="2"/>
  <c r="U9" i="238" s="1"/>
  <c r="P24" i="2"/>
  <c r="U10" i="85" s="1"/>
  <c r="P25" i="2"/>
  <c r="P26" i="2"/>
  <c r="U12" i="85" s="1"/>
  <c r="P27" i="2"/>
  <c r="U13" i="310" s="1"/>
  <c r="P28" i="2"/>
  <c r="U14" i="310" s="1"/>
  <c r="P29" i="2"/>
  <c r="U15" i="238" s="1"/>
  <c r="Y3" i="85"/>
  <c r="Y5" i="85"/>
  <c r="AE1" i="85" s="1"/>
  <c r="Y5" i="88"/>
  <c r="Y3" i="88"/>
  <c r="Y3" i="86"/>
  <c r="Y5" i="86"/>
  <c r="AJ1" i="86" s="1"/>
  <c r="L19" i="86"/>
  <c r="L17" i="86"/>
  <c r="L15" i="86"/>
  <c r="L13" i="86"/>
  <c r="L11" i="86"/>
  <c r="L9" i="86"/>
  <c r="L7" i="86"/>
  <c r="R44" i="86"/>
  <c r="E42" i="86" s="1"/>
  <c r="I19" i="86"/>
  <c r="G19" i="86"/>
  <c r="E19" i="86"/>
  <c r="J27" i="86" s="1"/>
  <c r="B31" i="86"/>
  <c r="D19" i="86"/>
  <c r="C19" i="86"/>
  <c r="E15" i="86"/>
  <c r="F27" i="86" s="1"/>
  <c r="B29" i="86"/>
  <c r="E13" i="86"/>
  <c r="B28" i="86" s="1"/>
  <c r="E17" i="86"/>
  <c r="F38" i="86"/>
  <c r="F36" i="86"/>
  <c r="F34" i="86"/>
  <c r="L4" i="86"/>
  <c r="K49" i="86" s="1"/>
  <c r="C38" i="86"/>
  <c r="C36" i="86"/>
  <c r="C34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E4" i="86"/>
  <c r="A4" i="86"/>
  <c r="E2" i="86"/>
  <c r="A1" i="86"/>
  <c r="E13" i="88"/>
  <c r="J18" i="88" s="1"/>
  <c r="I13" i="88"/>
  <c r="G13" i="88"/>
  <c r="D13" i="88"/>
  <c r="C13" i="88"/>
  <c r="M4" i="88"/>
  <c r="K41" i="88" s="1"/>
  <c r="E11" i="88"/>
  <c r="E9" i="88"/>
  <c r="B20" i="88" s="1"/>
  <c r="E7" i="88"/>
  <c r="D18" i="88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R62" i="85"/>
  <c r="F56" i="85" s="1"/>
  <c r="R4" i="85"/>
  <c r="O62" i="85" s="1"/>
  <c r="I21" i="85"/>
  <c r="G21" i="85"/>
  <c r="F21" i="85"/>
  <c r="D21" i="85"/>
  <c r="C21" i="85"/>
  <c r="B21" i="85"/>
  <c r="K20" i="85"/>
  <c r="I19" i="85"/>
  <c r="G19" i="85"/>
  <c r="F19" i="85"/>
  <c r="D19" i="85"/>
  <c r="C19" i="85"/>
  <c r="B19" i="85"/>
  <c r="I17" i="85"/>
  <c r="G17" i="85"/>
  <c r="F17" i="85"/>
  <c r="D17" i="85"/>
  <c r="C17" i="85"/>
  <c r="B17" i="85"/>
  <c r="U16" i="85"/>
  <c r="U15" i="85"/>
  <c r="I15" i="85"/>
  <c r="G15" i="85"/>
  <c r="F15" i="85"/>
  <c r="K16" i="85" s="1"/>
  <c r="M18" i="85" s="1"/>
  <c r="D15" i="85"/>
  <c r="C15" i="85"/>
  <c r="B15" i="85"/>
  <c r="I13" i="85"/>
  <c r="G13" i="85"/>
  <c r="F13" i="85"/>
  <c r="D13" i="85"/>
  <c r="C13" i="85"/>
  <c r="B13" i="85"/>
  <c r="K12" i="85"/>
  <c r="U11" i="85"/>
  <c r="I11" i="85"/>
  <c r="G11" i="85"/>
  <c r="F11" i="85"/>
  <c r="D11" i="85"/>
  <c r="C11" i="85"/>
  <c r="B11" i="85"/>
  <c r="M10" i="85"/>
  <c r="G9" i="85"/>
  <c r="F9" i="85"/>
  <c r="D9" i="85"/>
  <c r="C9" i="85"/>
  <c r="B9" i="85"/>
  <c r="K8" i="85"/>
  <c r="U7" i="85"/>
  <c r="I7" i="85"/>
  <c r="G7" i="85"/>
  <c r="F7" i="85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 s="1"/>
  <c r="A1" i="9"/>
  <c r="F37" i="197"/>
  <c r="F41" i="197"/>
  <c r="F39" i="197"/>
  <c r="C43" i="197"/>
  <c r="C41" i="197"/>
  <c r="C39" i="197"/>
  <c r="C37" i="197"/>
  <c r="F39" i="237"/>
  <c r="B33" i="237"/>
  <c r="F41" i="237"/>
  <c r="H30" i="237"/>
  <c r="F43" i="237"/>
  <c r="F22" i="235"/>
  <c r="H22" i="235"/>
  <c r="H27" i="235"/>
  <c r="D22" i="236"/>
  <c r="H27" i="236"/>
  <c r="F24" i="237"/>
  <c r="H24" i="237"/>
  <c r="K6" i="238"/>
  <c r="M6" i="238"/>
  <c r="U8" i="238"/>
  <c r="U9" i="310"/>
  <c r="D18" i="305"/>
  <c r="J18" i="305"/>
  <c r="H22" i="307"/>
  <c r="D27" i="307"/>
  <c r="F27" i="307"/>
  <c r="D27" i="308"/>
  <c r="H27" i="308"/>
  <c r="F24" i="309"/>
  <c r="H24" i="309"/>
  <c r="J24" i="309"/>
  <c r="H30" i="309"/>
  <c r="J30" i="309"/>
  <c r="F6" i="310"/>
  <c r="K6" i="310"/>
  <c r="M6" i="310"/>
  <c r="H18" i="281"/>
  <c r="J24" i="285"/>
  <c r="J30" i="285"/>
  <c r="E43" i="86"/>
  <c r="U11" i="310"/>
  <c r="U11" i="286"/>
  <c r="U11" i="238"/>
  <c r="U13" i="286"/>
  <c r="U15" i="286"/>
  <c r="AC1" i="233"/>
  <c r="AK1" i="309"/>
  <c r="AG1" i="309"/>
  <c r="AC1" i="309"/>
  <c r="AB1" i="309"/>
  <c r="AJ1" i="309"/>
  <c r="AE1" i="309"/>
  <c r="AI1" i="309"/>
  <c r="AC1" i="310"/>
  <c r="AF1" i="310"/>
  <c r="O6" i="310"/>
  <c r="AH1" i="310"/>
  <c r="AB1" i="310"/>
  <c r="U15" i="310"/>
  <c r="AH1" i="286"/>
  <c r="AD1" i="305"/>
  <c r="AF1" i="233"/>
  <c r="E40" i="235"/>
  <c r="AF1" i="238"/>
  <c r="U10" i="238"/>
  <c r="AK1" i="281"/>
  <c r="AE1" i="285"/>
  <c r="AB1" i="286"/>
  <c r="E40" i="307"/>
  <c r="E41" i="307"/>
  <c r="AH1" i="307"/>
  <c r="E47" i="309"/>
  <c r="F55" i="310"/>
  <c r="F56" i="310"/>
  <c r="AE1" i="307"/>
  <c r="AK1" i="197"/>
  <c r="E43" i="284"/>
  <c r="AB1" i="281"/>
  <c r="AC1" i="232"/>
  <c r="AK1" i="307"/>
  <c r="AH1" i="238"/>
  <c r="AB1" i="305"/>
  <c r="AE1" i="238"/>
  <c r="AI1" i="284"/>
  <c r="AI1" i="307"/>
  <c r="AF1" i="281"/>
  <c r="AI1" i="305"/>
  <c r="AH1" i="305"/>
  <c r="AE1" i="88"/>
  <c r="AE1" i="305"/>
  <c r="AC1" i="305"/>
  <c r="AJ1" i="237"/>
  <c r="AJ1" i="305"/>
  <c r="AG1" i="305"/>
  <c r="AD1" i="308"/>
  <c r="H18" i="232"/>
  <c r="F27" i="235"/>
  <c r="F18" i="232"/>
  <c r="J27" i="308"/>
  <c r="F18" i="305"/>
  <c r="F22" i="308"/>
  <c r="H27" i="307"/>
  <c r="F22" i="307"/>
  <c r="H18" i="305"/>
  <c r="H22" i="284"/>
  <c r="D18" i="281"/>
  <c r="J18" i="281"/>
  <c r="D30" i="309"/>
  <c r="F27" i="284"/>
  <c r="B28" i="284"/>
  <c r="D24" i="237"/>
  <c r="B26" i="197"/>
  <c r="B22" i="88"/>
  <c r="D30" i="197"/>
  <c r="B19" i="88"/>
  <c r="J24" i="197"/>
  <c r="AK1" i="235" l="1"/>
  <c r="AF1" i="235"/>
  <c r="D27" i="86"/>
  <c r="AI1" i="285"/>
  <c r="H18" i="88"/>
  <c r="B21" i="88"/>
  <c r="E46" i="285"/>
  <c r="E47" i="285"/>
  <c r="AI1" i="88"/>
  <c r="AD1" i="88"/>
  <c r="AC1" i="88"/>
  <c r="AG1" i="88"/>
  <c r="AF1" i="88"/>
  <c r="AC1" i="237"/>
  <c r="F18" i="88"/>
  <c r="B28" i="236"/>
  <c r="F34" i="236" s="1"/>
  <c r="AF1" i="237"/>
  <c r="AJ1" i="307"/>
  <c r="AG1" i="233"/>
  <c r="AH1" i="285"/>
  <c r="U10" i="286"/>
  <c r="U10" i="310"/>
  <c r="AG1" i="235"/>
  <c r="D30" i="285"/>
  <c r="U14" i="85"/>
  <c r="B23" i="284"/>
  <c r="D22" i="284"/>
  <c r="B33" i="285"/>
  <c r="H30" i="285"/>
  <c r="AF1" i="305"/>
  <c r="B24" i="284"/>
  <c r="F22" i="284"/>
  <c r="B25" i="197"/>
  <c r="AH1" i="88"/>
  <c r="AC1" i="285"/>
  <c r="D22" i="235"/>
  <c r="D24" i="285"/>
  <c r="AB1" i="236"/>
  <c r="AD1" i="307"/>
  <c r="AH1" i="85"/>
  <c r="AE1" i="197"/>
  <c r="AK1" i="285"/>
  <c r="U14" i="238"/>
  <c r="AJ1" i="235"/>
  <c r="U14" i="286"/>
  <c r="B30" i="86"/>
  <c r="H27" i="86"/>
  <c r="B19" i="232"/>
  <c r="D18" i="232"/>
  <c r="F6" i="238"/>
  <c r="O6" i="238"/>
  <c r="AD1" i="238"/>
  <c r="B20" i="281"/>
  <c r="F18" i="281"/>
  <c r="AJ1" i="285"/>
  <c r="B32" i="285"/>
  <c r="F30" i="285"/>
  <c r="AD1" i="286"/>
  <c r="K6" i="286"/>
  <c r="D24" i="309"/>
  <c r="AD1" i="309"/>
  <c r="D22" i="307"/>
  <c r="AG1" i="86"/>
  <c r="AG1" i="85"/>
  <c r="AJ1" i="284"/>
  <c r="AE1" i="310"/>
  <c r="AG1" i="284"/>
  <c r="AH1" i="284"/>
  <c r="AE1" i="284"/>
  <c r="AD1" i="284"/>
  <c r="AC1" i="284"/>
  <c r="AF1" i="284"/>
  <c r="AB1" i="284"/>
  <c r="AK1" i="284"/>
  <c r="D27" i="235"/>
  <c r="B31" i="237"/>
  <c r="H22" i="308"/>
  <c r="D22" i="308"/>
  <c r="AD1" i="237"/>
  <c r="AB1" i="238"/>
  <c r="AC1" i="238"/>
  <c r="H27" i="284"/>
  <c r="B30" i="284"/>
  <c r="AG1" i="286"/>
  <c r="H18" i="233"/>
  <c r="AG1" i="237"/>
  <c r="AG1" i="236"/>
  <c r="AC1" i="307"/>
  <c r="AG1" i="281"/>
  <c r="AF1" i="307"/>
  <c r="AI1" i="281"/>
  <c r="AJ1" i="236"/>
  <c r="AF1" i="286"/>
  <c r="AD1" i="310"/>
  <c r="U12" i="286"/>
  <c r="E47" i="197"/>
  <c r="F22" i="236"/>
  <c r="B24" i="236"/>
  <c r="AB1" i="237"/>
  <c r="AD1" i="285"/>
  <c r="AG1" i="285"/>
  <c r="AB1" i="285"/>
  <c r="AD1" i="281"/>
  <c r="AE1" i="281"/>
  <c r="AE1" i="286"/>
  <c r="AI1" i="86"/>
  <c r="AF1" i="86"/>
  <c r="F6" i="286"/>
  <c r="O6" i="85"/>
  <c r="K6" i="85"/>
  <c r="U8" i="286"/>
  <c r="U8" i="85"/>
  <c r="AJ1" i="281"/>
  <c r="AH1" i="281"/>
  <c r="AC1" i="286"/>
  <c r="AB1" i="86"/>
  <c r="U12" i="238"/>
  <c r="M6" i="286"/>
  <c r="U8" i="310"/>
  <c r="B32" i="237"/>
  <c r="F37" i="237" s="1"/>
  <c r="AH1" i="86"/>
  <c r="M6" i="85"/>
  <c r="B32" i="197"/>
  <c r="E46" i="237"/>
  <c r="E47" i="237"/>
  <c r="O6" i="286"/>
  <c r="B22" i="233"/>
  <c r="F56" i="238"/>
  <c r="J27" i="284"/>
  <c r="AF1" i="309"/>
  <c r="AC1" i="86"/>
  <c r="AJ1" i="88"/>
  <c r="AF1" i="232"/>
  <c r="AG1" i="232"/>
  <c r="AJ1" i="232"/>
  <c r="AI1" i="232"/>
  <c r="AB1" i="232"/>
  <c r="AK1" i="232"/>
  <c r="AH1" i="232"/>
  <c r="B27" i="285"/>
  <c r="H24" i="285"/>
  <c r="AE1" i="308"/>
  <c r="AB1" i="308"/>
  <c r="AG1" i="308"/>
  <c r="AH1" i="308"/>
  <c r="AI1" i="308"/>
  <c r="AK1" i="308"/>
  <c r="AF1" i="308"/>
  <c r="AE1" i="232"/>
  <c r="J30" i="197"/>
  <c r="B34" i="197"/>
  <c r="F30" i="309"/>
  <c r="AC1" i="308"/>
  <c r="F55" i="85"/>
  <c r="B19" i="233"/>
  <c r="D18" i="233"/>
  <c r="AD1" i="235"/>
  <c r="AC1" i="235"/>
  <c r="AH1" i="235"/>
  <c r="AE1" i="235"/>
  <c r="AI1" i="235"/>
  <c r="AB1" i="235"/>
  <c r="AH1" i="236"/>
  <c r="AK1" i="236"/>
  <c r="AC1" i="236"/>
  <c r="AI1" i="236"/>
  <c r="AD1" i="236"/>
  <c r="AF1" i="236"/>
  <c r="B31" i="236"/>
  <c r="J27" i="236"/>
  <c r="B27" i="197"/>
  <c r="AJ1" i="308"/>
  <c r="AD1" i="232"/>
  <c r="AB1" i="85"/>
  <c r="AF1" i="85"/>
  <c r="AD1" i="85"/>
  <c r="AC1" i="85"/>
  <c r="U13" i="238"/>
  <c r="U13" i="85"/>
  <c r="U9" i="85"/>
  <c r="U9" i="286"/>
  <c r="AB1" i="197"/>
  <c r="AG1" i="197"/>
  <c r="AI1" i="197"/>
  <c r="AD1" i="197"/>
  <c r="AF1" i="197"/>
  <c r="AH1" i="197"/>
  <c r="AJ1" i="197"/>
  <c r="B33" i="197"/>
  <c r="H30" i="197"/>
  <c r="AD1" i="233"/>
  <c r="AB1" i="233"/>
  <c r="AE1" i="233"/>
  <c r="AI1" i="233"/>
  <c r="AJ1" i="233"/>
  <c r="AK1" i="233"/>
  <c r="B28" i="237"/>
  <c r="J24" i="237"/>
  <c r="F24" i="285"/>
  <c r="AK1" i="88"/>
  <c r="AE1" i="237"/>
  <c r="AB1" i="88"/>
  <c r="AH1" i="237"/>
  <c r="AI1" i="237"/>
  <c r="AK1" i="86"/>
  <c r="AE1" i="86"/>
  <c r="AD1" i="86"/>
  <c r="U12" i="310"/>
  <c r="F6" i="85"/>
  <c r="AG1" i="238"/>
  <c r="J30" i="237"/>
  <c r="F56" i="286"/>
  <c r="E43" i="308"/>
  <c r="E42" i="30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3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7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E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F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F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13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19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<sst xmlns="http://schemas.openxmlformats.org/spreadsheetml/2006/main" count="2688" uniqueCount="571">
  <si>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</si>
  <si>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</si>
  <si>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</si>
  <si>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</si>
  <si>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</si>
  <si>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</si>
  <si>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</si>
  <si>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</si>
  <si>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</si>
  <si>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</si>
  <si>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</si>
  <si>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</si>
  <si>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</si>
  <si>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</si>
  <si>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</si>
  <si>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</si>
  <si>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</si>
  <si>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</si>
  <si>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</si>
  <si>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</si>
  <si>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</si>
  <si>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</si>
  <si>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</si>
  <si>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</si>
  <si>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</si>
  <si>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</si>
  <si>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</si>
  <si>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</si>
  <si>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</si>
  <si>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</si>
  <si>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</si>
  <si>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</si>
  <si>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</si>
  <si>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</si>
  <si>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</si>
  <si>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</si>
  <si>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</si>
  <si>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</si>
  <si>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</si>
  <si>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</si>
  <si>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</si>
  <si>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</si>
  <si>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</si>
  <si>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</si>
  <si>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</si>
  <si>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</si>
  <si>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</si>
  <si>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</si>
  <si>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</si>
  <si>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</si>
  <si>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</si>
  <si>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</si>
  <si>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</si>
  <si>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</si>
  <si>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</si>
  <si>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</si>
  <si>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</si>
  <si>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</si>
  <si>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</si>
  <si>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</si>
  <si>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</si>
  <si>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</si>
  <si>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</si>
  <si>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</si>
  <si>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</si>
  <si>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</si>
  <si>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</si>
  <si>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</si>
  <si>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</si>
  <si>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</si>
  <si>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</si>
  <si>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</si>
  <si>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</si>
  <si>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</si>
  <si>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</si>
  <si>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</si>
  <si>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</si>
  <si>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</si>
  <si>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</si>
  <si>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</si>
  <si>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</si>
  <si>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</si>
  <si>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</si>
  <si>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</si>
  <si>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</si>
  <si>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</si>
  <si>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</si>
  <si>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</si>
  <si>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</si>
  <si>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</si>
  <si>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</si>
  <si>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</si>
  <si>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</si>
  <si>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</si>
  <si>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</si>
  <si>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</si>
  <si>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</si>
  <si>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</si>
  <si>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</si>
  <si>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</si>
  <si>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</si>
  <si>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</si>
  <si>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</si>
  <si>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</si>
  <si>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</si>
  <si>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</si>
  <si>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</si>
  <si>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</si>
  <si>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</si>
  <si>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</si>
  <si>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</si>
  <si>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</si>
  <si>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</si>
  <si>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</si>
  <si>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</si>
  <si>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</si>
  <si>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</si>
  <si>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</si>
  <si>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</si>
  <si>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2024.05.27-06.01.</t>
  </si>
  <si>
    <t>Balatonboglár</t>
  </si>
  <si>
    <t>Rákóczi Andrea</t>
  </si>
  <si>
    <t>Oravecz Krisztina</t>
  </si>
  <si>
    <t>BBTC SE</t>
  </si>
  <si>
    <t>Diákolimpia</t>
  </si>
  <si>
    <t>3 lány A elo</t>
  </si>
  <si>
    <t>3 lány B elo</t>
  </si>
  <si>
    <t>3 fiú A elo</t>
  </si>
  <si>
    <t>3 fiú B elo</t>
  </si>
  <si>
    <t>Bokor</t>
  </si>
  <si>
    <t>György</t>
  </si>
  <si>
    <t>Szent Imre Katolikus Óvoda és Általános Iskola</t>
  </si>
  <si>
    <t>Makrai</t>
  </si>
  <si>
    <t>Balázs</t>
  </si>
  <si>
    <t>Kazincbarcikai Pollack Mihály Általános Iskola</t>
  </si>
  <si>
    <t xml:space="preserve">Bagdi </t>
  </si>
  <si>
    <t>Barnabás</t>
  </si>
  <si>
    <t>Gyula Implom</t>
  </si>
  <si>
    <t xml:space="preserve">Domokos </t>
  </si>
  <si>
    <t>Arnold</t>
  </si>
  <si>
    <t xml:space="preserve">Almai </t>
  </si>
  <si>
    <t>Budapest XIII. Kerületi Gárdonyi Géza Általános Iskola</t>
  </si>
  <si>
    <t xml:space="preserve">Marosi </t>
  </si>
  <si>
    <t>Podmaniczky János Evangélikus Óvoda és Általános Iskola</t>
  </si>
  <si>
    <t>Nagy</t>
  </si>
  <si>
    <t>Bence Bertalan</t>
  </si>
  <si>
    <t>Szentesi Koszta J.Ált.Isk.</t>
  </si>
  <si>
    <t>Szilágyi</t>
  </si>
  <si>
    <t>Dénes</t>
  </si>
  <si>
    <t>Lilla Téri Általános Iskola</t>
  </si>
  <si>
    <t>Szfvári Hétvezér Ált Isk.</t>
  </si>
  <si>
    <t>Szfvári Felsővárosi Ált Isk.</t>
  </si>
  <si>
    <t>Zsirai</t>
  </si>
  <si>
    <t>Noé</t>
  </si>
  <si>
    <t>Escobar Janovics</t>
  </si>
  <si>
    <t>Albert</t>
  </si>
  <si>
    <t>Kovács</t>
  </si>
  <si>
    <t>Szilárd</t>
  </si>
  <si>
    <t>Jászberényi Nagyboldogasszony Katolikus Óvoda, Kéttannyelvű Általános Iskola és Gimnázium</t>
  </si>
  <si>
    <t>Mészáros</t>
  </si>
  <si>
    <t>Dávid</t>
  </si>
  <si>
    <t>Vaszary János Általános Iskola</t>
  </si>
  <si>
    <t>Marton</t>
  </si>
  <si>
    <t>Zsombor</t>
  </si>
  <si>
    <t>Kőszegi Béri Balog Ádám Általános Iskola</t>
  </si>
  <si>
    <t>Karáth</t>
  </si>
  <si>
    <t>Gábor</t>
  </si>
  <si>
    <t>Szombathelyi Neumann János Általános Iskola</t>
  </si>
  <si>
    <t>Várady-Fandl</t>
  </si>
  <si>
    <t>Áron</t>
  </si>
  <si>
    <t>Balatonfüredi Református Általános Iskola és Óvoda</t>
  </si>
  <si>
    <t>Törteli</t>
  </si>
  <si>
    <t>Bence Zalán</t>
  </si>
  <si>
    <t>Ferincz</t>
  </si>
  <si>
    <t>Vince</t>
  </si>
  <si>
    <t xml:space="preserve">Zalaegerszegi Dózsa György Magyar-Angol Két Tanítási Nyelvű Általános Iskola </t>
  </si>
  <si>
    <t xml:space="preserve">Varga </t>
  </si>
  <si>
    <t>Flórián</t>
  </si>
  <si>
    <t>Bólyi Ált. Isk.</t>
  </si>
  <si>
    <t xml:space="preserve">Horváth </t>
  </si>
  <si>
    <t>Botond</t>
  </si>
  <si>
    <t xml:space="preserve">Mikulán </t>
  </si>
  <si>
    <t>Gellért</t>
  </si>
  <si>
    <t>Gyula Magvető</t>
  </si>
  <si>
    <t xml:space="preserve">Hrabovszki </t>
  </si>
  <si>
    <t>Bence</t>
  </si>
  <si>
    <t>Békéscsaba Jankay</t>
  </si>
  <si>
    <t>Bencs</t>
  </si>
  <si>
    <t>Benedek</t>
  </si>
  <si>
    <t>Babik</t>
  </si>
  <si>
    <t>Sándor</t>
  </si>
  <si>
    <t>Tenke</t>
  </si>
  <si>
    <t>Trisztán</t>
  </si>
  <si>
    <t>Szent Gellért Katolikus Általános Iskola és Gimnázium</t>
  </si>
  <si>
    <t>Frank</t>
  </si>
  <si>
    <t>András</t>
  </si>
  <si>
    <t>Lauder Javne Zsidó Közösségi Óvoda, Általános Iskola, Gimnázium és Zenei Alapfokú Művészeti Iskola</t>
  </si>
  <si>
    <t>Nolen</t>
  </si>
  <si>
    <t xml:space="preserve">Debreceni Nemzetközi Iskola </t>
  </si>
  <si>
    <t>McLean</t>
  </si>
  <si>
    <t>Jack</t>
  </si>
  <si>
    <t>Gergő</t>
  </si>
  <si>
    <t>Egri Kemény Ferenc Sportiskolai Általános Iskola</t>
  </si>
  <si>
    <t>Máté</t>
  </si>
  <si>
    <t>Eszterházy Károly Katolikus Egyetem Gyakorló Általános Iskola, Gimnázium, Alapfokú Művészeti Iskola és Technikum</t>
  </si>
  <si>
    <t>German</t>
  </si>
  <si>
    <t>László</t>
  </si>
  <si>
    <t>Jászsági Gróf Apponyi Albert Általános Iskola és Alapfokú Művészeti Iskola</t>
  </si>
  <si>
    <t>Pócz</t>
  </si>
  <si>
    <t>Kornél Norbert</t>
  </si>
  <si>
    <t>Székely Mihály Általános Iskola</t>
  </si>
  <si>
    <t>Szirják</t>
  </si>
  <si>
    <t>Zalán</t>
  </si>
  <si>
    <t>Talentum Angol-Magyar Két Tanítási Nyelvű Általános Iskola és Művészeti</t>
  </si>
  <si>
    <t xml:space="preserve">Gyurics </t>
  </si>
  <si>
    <t>Benett</t>
  </si>
  <si>
    <t>Dorogi Magyar-Angol Két Tanítási Nyelvű és Sportiskolai Általános Iskola</t>
  </si>
  <si>
    <t>Tamási-Schwarcz</t>
  </si>
  <si>
    <t>Krisztián</t>
  </si>
  <si>
    <t>Paksi Balogh Antal</t>
  </si>
  <si>
    <t>Lőrincz</t>
  </si>
  <si>
    <t xml:space="preserve">Bence </t>
  </si>
  <si>
    <t>Paksi Bezerédj</t>
  </si>
  <si>
    <t>Rumankó</t>
  </si>
  <si>
    <t>Boldog Brenner János Általános Iskola és Gimnázium</t>
  </si>
  <si>
    <t>Németh</t>
  </si>
  <si>
    <t>ELTE Bolyai János Gyakorló Általános Iskola és Gimnázium</t>
  </si>
  <si>
    <t>Takács</t>
  </si>
  <si>
    <t>Ábel</t>
  </si>
  <si>
    <t>Hriszto Botev Német Nemzetiségi Nyelvoktató Általános Iskola</t>
  </si>
  <si>
    <t>Vízkelety</t>
  </si>
  <si>
    <t>Tamás</t>
  </si>
  <si>
    <t>Bejczi</t>
  </si>
  <si>
    <t>Ádám</t>
  </si>
  <si>
    <t>Balatonlelle Ált Isk</t>
  </si>
  <si>
    <t>Győry</t>
  </si>
  <si>
    <t>László Benedek</t>
  </si>
  <si>
    <t>Moravszki</t>
  </si>
  <si>
    <t>Marcell</t>
  </si>
  <si>
    <t>Nyíregyházi Kodály Zoltán Általános Iskola</t>
  </si>
  <si>
    <t xml:space="preserve">Farkas </t>
  </si>
  <si>
    <t>Dorka Lívia</t>
  </si>
  <si>
    <t xml:space="preserve"> Petőfi Sándor Katolikus Általános Iskola és Óvoda</t>
  </si>
  <si>
    <t xml:space="preserve">Benovics </t>
  </si>
  <si>
    <t>Hanna Mária</t>
  </si>
  <si>
    <t>Pécsi Miroslav Krleza</t>
  </si>
  <si>
    <t>Fáskerti</t>
  </si>
  <si>
    <t>Lujza</t>
  </si>
  <si>
    <t>PTE Gyakorló -Pécs</t>
  </si>
  <si>
    <t xml:space="preserve">Siklósi </t>
  </si>
  <si>
    <t>Németvölgyi Általános Iskola</t>
  </si>
  <si>
    <t xml:space="preserve">Polgárdi </t>
  </si>
  <si>
    <t>Álmos Vezér Gimnázium, Pedagógiai Szakgimnázium és Általános Iskola</t>
  </si>
  <si>
    <t>Tar</t>
  </si>
  <si>
    <t>Dóra</t>
  </si>
  <si>
    <t>Szfvári Kodály Z. Ált Isk.</t>
  </si>
  <si>
    <t>Török</t>
  </si>
  <si>
    <t>Jázmin</t>
  </si>
  <si>
    <t>Magyar</t>
  </si>
  <si>
    <t>Anna</t>
  </si>
  <si>
    <t>Kölcsey Ferenc Református Gyakorló Általános Iskola</t>
  </si>
  <si>
    <t xml:space="preserve"> Rigó</t>
  </si>
  <si>
    <t>Evelin</t>
  </si>
  <si>
    <t>Náray</t>
  </si>
  <si>
    <t>Júlia</t>
  </si>
  <si>
    <t>Blayer Jakab Német Nemzetiségi Ált. Isk</t>
  </si>
  <si>
    <t>Domonyai</t>
  </si>
  <si>
    <t>Adél</t>
  </si>
  <si>
    <t>Szekszárdi Babits Mihály</t>
  </si>
  <si>
    <t>Bierer</t>
  </si>
  <si>
    <t>Zsuzsanna</t>
  </si>
  <si>
    <t>Reményik Sándor Evangélikus Óvoda, Általános Iskola és Alapfokú Művészeti Iskola</t>
  </si>
  <si>
    <t>Lévai</t>
  </si>
  <si>
    <t>Luca</t>
  </si>
  <si>
    <t>Kárpáti János Általános Iskola és Alapfokú Művészeti Iskola</t>
  </si>
  <si>
    <t>Miasnikova</t>
  </si>
  <si>
    <t>Varvara</t>
  </si>
  <si>
    <t>Zalaegerszegi Ady Endre Általános Iskola, Gimnázium és Alapfokú Művészeti Iskola</t>
  </si>
  <si>
    <t>Baranyi</t>
  </si>
  <si>
    <t>Petra Réka</t>
  </si>
  <si>
    <t>Kerekegyházi Móra Ferenc Általános Iskola és Alapfokú Művészeti Iskola</t>
  </si>
  <si>
    <t xml:space="preserve">Kovács </t>
  </si>
  <si>
    <t>Annabell</t>
  </si>
  <si>
    <t>Hasanovic</t>
  </si>
  <si>
    <t>Leila</t>
  </si>
  <si>
    <t>Mohács Térségi Ált.Isk.</t>
  </si>
  <si>
    <t>Reisz</t>
  </si>
  <si>
    <t>Inez</t>
  </si>
  <si>
    <t xml:space="preserve">Kaczkó </t>
  </si>
  <si>
    <t>Olga</t>
  </si>
  <si>
    <t>Orosháza Református</t>
  </si>
  <si>
    <t xml:space="preserve">Deák </t>
  </si>
  <si>
    <t>Hanna</t>
  </si>
  <si>
    <t>Bukó</t>
  </si>
  <si>
    <t>Lora</t>
  </si>
  <si>
    <t>Plachy</t>
  </si>
  <si>
    <t>Patrícia</t>
  </si>
  <si>
    <t>Könyves-Tóth</t>
  </si>
  <si>
    <t>Kamilla</t>
  </si>
  <si>
    <t>Bethlen Gábor Általános Iskola és Gimnázium</t>
  </si>
  <si>
    <t xml:space="preserve">Koroknai </t>
  </si>
  <si>
    <t>Városligeti Magyar-Angol Két Tanítási Nyelvű Általános Iskola</t>
  </si>
  <si>
    <t>Kari</t>
  </si>
  <si>
    <t>Lilla</t>
  </si>
  <si>
    <t>Berettyóújfalui József Attila Általános Iskola és Alapfokú Művészeti Iskola</t>
  </si>
  <si>
    <t>Vivien</t>
  </si>
  <si>
    <t>Diószegi Kis István Református Két Tanítási Nyelvű Általános Iskola és Alapfokú Művészeti Iskola</t>
  </si>
  <si>
    <t>Pós</t>
  </si>
  <si>
    <t>Borbála</t>
  </si>
  <si>
    <t>Gyöngyössolymosi Nagy Gyula Katolikus Általános Iskola és Alapfokú Művészeti Iskola</t>
  </si>
  <si>
    <t>Lilla Maja</t>
  </si>
  <si>
    <t>Szent Imre Katolikus Általános Iskola és Jó Pásztor Óvoda, Alapfokú Művészeti Iskola</t>
  </si>
  <si>
    <t>Csató</t>
  </si>
  <si>
    <t>Eszter</t>
  </si>
  <si>
    <t>Mezőtúri II. Rákóczi Ferenc Magyar-Angol Két Tanítási Nyelvű Általános Iskola</t>
  </si>
  <si>
    <t>Niczmann</t>
  </si>
  <si>
    <t>Zsófia</t>
  </si>
  <si>
    <t>Kőkúti Általános Iskola</t>
  </si>
  <si>
    <t xml:space="preserve">Szabó </t>
  </si>
  <si>
    <t>Kincső</t>
  </si>
  <si>
    <t>Esztergomi Dobó Katalin Gimnázium</t>
  </si>
  <si>
    <t>Józsa</t>
  </si>
  <si>
    <t>Laura</t>
  </si>
  <si>
    <t>Budaörsi 1. Számú Ált. Isk</t>
  </si>
  <si>
    <t>Brandhuber</t>
  </si>
  <si>
    <t>Solymári Hunyadi Mátyás Német Nemzetiségi Ált Isk.</t>
  </si>
  <si>
    <t>Rakita</t>
  </si>
  <si>
    <t>Emma Lara</t>
  </si>
  <si>
    <t>Kaposvári Kodály IskKP</t>
  </si>
  <si>
    <t xml:space="preserve">Sólyom </t>
  </si>
  <si>
    <t>Emilia</t>
  </si>
  <si>
    <t>Kiss</t>
  </si>
  <si>
    <t>Bianka</t>
  </si>
  <si>
    <t>Kőszegi</t>
  </si>
  <si>
    <t>Karina</t>
  </si>
  <si>
    <t>Dunaföldvári Beszédes József</t>
  </si>
  <si>
    <t>Árpád-házi Szent Margit Óvoda, Általános Iskola, Gimnázium és Kollégium</t>
  </si>
  <si>
    <t>Őri</t>
  </si>
  <si>
    <t>Pádár</t>
  </si>
  <si>
    <t>Léna</t>
  </si>
  <si>
    <t>Amanda</t>
  </si>
  <si>
    <t xml:space="preserve">Sámuel       </t>
  </si>
  <si>
    <t xml:space="preserve">Péter           </t>
  </si>
  <si>
    <t>Vig</t>
  </si>
  <si>
    <t>Szabadhegyi</t>
  </si>
  <si>
    <t>Vadász</t>
  </si>
  <si>
    <t>Nímród</t>
  </si>
  <si>
    <t>AUDI Hungária Iskolaközpont</t>
  </si>
  <si>
    <t>Hunyadi Sopron</t>
  </si>
  <si>
    <t>Öttevényi Ált. Isk.</t>
  </si>
  <si>
    <t xml:space="preserve">Odett           </t>
  </si>
  <si>
    <t xml:space="preserve">Zita               </t>
  </si>
  <si>
    <t>RAKITA</t>
  </si>
  <si>
    <t>Kaposvári Kodály ISK.</t>
  </si>
  <si>
    <t>ŐRI</t>
  </si>
  <si>
    <t>JÓZSA</t>
  </si>
  <si>
    <t>SÓLYOM</t>
  </si>
  <si>
    <t>KISS</t>
  </si>
  <si>
    <t>KŐSZEGI</t>
  </si>
  <si>
    <t>BRANDHUBER</t>
  </si>
  <si>
    <t>PÁDÁR</t>
  </si>
  <si>
    <t>VADÁSZ</t>
  </si>
  <si>
    <t>Nimród</t>
  </si>
  <si>
    <t>AUDI HUN.</t>
  </si>
  <si>
    <t>VIG</t>
  </si>
  <si>
    <t>Szabadhegyi Ált.Isk.</t>
  </si>
  <si>
    <t>FERINCZ</t>
  </si>
  <si>
    <t xml:space="preserve">  Zalaegerszegi Dózsa György</t>
  </si>
  <si>
    <t>TAMÁSI_SCHWARC</t>
  </si>
  <si>
    <t>RUMANKO</t>
  </si>
  <si>
    <t>LŐRINCZ</t>
  </si>
  <si>
    <t>PAKSI Bezerédi</t>
  </si>
  <si>
    <t>TAKÁCS</t>
  </si>
  <si>
    <t>GYŐRI</t>
  </si>
  <si>
    <t>Balatonlellei Ált. Isk.</t>
  </si>
  <si>
    <t>MORAVSZKI</t>
  </si>
  <si>
    <t>MÉMETH</t>
  </si>
  <si>
    <t>BEJCZI</t>
  </si>
  <si>
    <t>VÍZKELETI</t>
  </si>
  <si>
    <t>JÁTÉKREND 05.27. hétfő</t>
  </si>
  <si>
    <t>Az aktuális helyzetről a 30 / 515-4142-s számon érdeklődhet</t>
  </si>
  <si>
    <t>Előre tervezett</t>
  </si>
  <si>
    <t>Pályára ment</t>
  </si>
  <si>
    <t>vsz</t>
  </si>
  <si>
    <t>pálya</t>
  </si>
  <si>
    <t>eredmény</t>
  </si>
  <si>
    <t>09:00</t>
  </si>
  <si>
    <t>Zöld Fiú B</t>
  </si>
  <si>
    <t>Varga Flórián</t>
  </si>
  <si>
    <t>Tamási-Schwarc Krisztián</t>
  </si>
  <si>
    <t>Germán László</t>
  </si>
  <si>
    <t>Sándor Nolen</t>
  </si>
  <si>
    <t>Frank András</t>
  </si>
  <si>
    <t>Rumankó Gergő</t>
  </si>
  <si>
    <t>Pócz Kornél Norbert</t>
  </si>
  <si>
    <t>Lőrincz Bence</t>
  </si>
  <si>
    <t>Babik Sándor</t>
  </si>
  <si>
    <t>Bejczi Ádám</t>
  </si>
  <si>
    <t>Moravszki Marcell</t>
  </si>
  <si>
    <t>Mémeth Gergő</t>
  </si>
  <si>
    <t>Tenke Trisztán</t>
  </si>
  <si>
    <t>Vízkeleti Tamás</t>
  </si>
  <si>
    <t>Szírják Zalán</t>
  </si>
  <si>
    <t>Mclean Jack</t>
  </si>
  <si>
    <t>09:40</t>
  </si>
  <si>
    <t>Takács Ábel</t>
  </si>
  <si>
    <t>Szilágyi Gergő</t>
  </si>
  <si>
    <t>Bencs Benedek</t>
  </si>
  <si>
    <t>Győri László Benedek</t>
  </si>
  <si>
    <t>Gyurics Benett</t>
  </si>
  <si>
    <t>Nagy Máté</t>
  </si>
  <si>
    <t>Zöld lány B</t>
  </si>
  <si>
    <t>Koroknai Lili</t>
  </si>
  <si>
    <t>Takács Vivien</t>
  </si>
  <si>
    <t>Szabó Kincső</t>
  </si>
  <si>
    <t>Plachy Patricia</t>
  </si>
  <si>
    <t>Pós Borbála</t>
  </si>
  <si>
    <t>Őri Anna</t>
  </si>
  <si>
    <t>Rakita Emma Lara</t>
  </si>
  <si>
    <t>Kari Lilla</t>
  </si>
  <si>
    <t>Csató Eszter</t>
  </si>
  <si>
    <t>Józsa Laura</t>
  </si>
  <si>
    <t>10:15</t>
  </si>
  <si>
    <t>Sólyom Emilia</t>
  </si>
  <si>
    <t>Kiss Bianka</t>
  </si>
  <si>
    <t>Brandhuber Anna</t>
  </si>
  <si>
    <t>Pádár Léna</t>
  </si>
  <si>
    <t>Niczmann Zsófia</t>
  </si>
  <si>
    <t>Kőszegi Karina</t>
  </si>
  <si>
    <t>Zöld fiú B</t>
  </si>
  <si>
    <t>Horváth Botond</t>
  </si>
  <si>
    <t>Mikulán Gellért</t>
  </si>
  <si>
    <t>10:50</t>
  </si>
  <si>
    <t>Szirják Zalán</t>
  </si>
  <si>
    <t>Hrabovszki Bence</t>
  </si>
  <si>
    <t>Baranyi Petra Réka</t>
  </si>
  <si>
    <t>Hasanovich Leila</t>
  </si>
  <si>
    <t>11:30</t>
  </si>
  <si>
    <t>Reisz Inez</t>
  </si>
  <si>
    <t>Kaczkó Olga</t>
  </si>
  <si>
    <t>Deák Hanna</t>
  </si>
  <si>
    <t>Bukó Lora</t>
  </si>
  <si>
    <t>Ádám Lilla Maja</t>
  </si>
  <si>
    <t>Könyves-Tóth Kamilla</t>
  </si>
  <si>
    <t>12:30</t>
  </si>
  <si>
    <t>Rabovszki Bence</t>
  </si>
  <si>
    <t>Sízrják Zalán</t>
  </si>
  <si>
    <t>13:15</t>
  </si>
  <si>
    <t>4 meccs</t>
  </si>
  <si>
    <t>Zöld Fiú A</t>
  </si>
  <si>
    <t>Bokor György</t>
  </si>
  <si>
    <t>Vadász Nimród</t>
  </si>
  <si>
    <t>Escobar- Janovics Albert</t>
  </si>
  <si>
    <t>Karáth Gábor</t>
  </si>
  <si>
    <t>Törteli Bence Zalán</t>
  </si>
  <si>
    <t>Marosi Péter</t>
  </si>
  <si>
    <t>14:00</t>
  </si>
  <si>
    <t>Zöld Fiú Döntő</t>
  </si>
  <si>
    <t>3 meccs</t>
  </si>
  <si>
    <t>Zöld fiú A</t>
  </si>
  <si>
    <t>Bagdi Barnabás</t>
  </si>
  <si>
    <t>Kovács Szilárd</t>
  </si>
  <si>
    <t>Vig Arnold</t>
  </si>
  <si>
    <t xml:space="preserve"> Váradi-Fandl Áron</t>
  </si>
  <si>
    <t>Almai Sámuel</t>
  </si>
  <si>
    <t>Ferincz Vince</t>
  </si>
  <si>
    <t>Domokos Arnold</t>
  </si>
  <si>
    <t>Szilágyi Dénes</t>
  </si>
  <si>
    <t>Marton Zsombor</t>
  </si>
  <si>
    <t>Zsirai Noé</t>
  </si>
  <si>
    <t>Mészáros Dávid Bence</t>
  </si>
  <si>
    <t>Nagy Bence Bertalan</t>
  </si>
  <si>
    <t>Zöld lány B Elődöntő</t>
  </si>
  <si>
    <t>Zöld fiú elődöntő</t>
  </si>
  <si>
    <t>Zöld fú A</t>
  </si>
  <si>
    <t>Escobar-Janovics Albert</t>
  </si>
  <si>
    <t>Makrai Balázs</t>
  </si>
  <si>
    <t>Váradi-Fandl Áron</t>
  </si>
  <si>
    <t>Szilgyi Dénes</t>
  </si>
  <si>
    <t xml:space="preserve">Mészáros Dávid </t>
  </si>
  <si>
    <t>Zöld Lány B döntő</t>
  </si>
  <si>
    <t>Zöld  Fiú B döntő</t>
  </si>
  <si>
    <t>Zöld Lány A</t>
  </si>
  <si>
    <t>Siklósi Odett</t>
  </si>
  <si>
    <t xml:space="preserve"> Bierer Zsuzsanna</t>
  </si>
  <si>
    <t xml:space="preserve">Tar Dóra </t>
  </si>
  <si>
    <t>Farkas Dorka Lívia</t>
  </si>
  <si>
    <t xml:space="preserve">Benovics Hanna </t>
  </si>
  <si>
    <t>Lévai Luca</t>
  </si>
  <si>
    <t>Kovács Annabell</t>
  </si>
  <si>
    <t>Domonyis Adél</t>
  </si>
  <si>
    <t>Polgárdi Zita</t>
  </si>
  <si>
    <t>Török Jázmin</t>
  </si>
  <si>
    <t>Magyar Anna</t>
  </si>
  <si>
    <t>Fáskerti Lujza</t>
  </si>
  <si>
    <t>Nagy Amanda</t>
  </si>
  <si>
    <t>Náraiy Júlia</t>
  </si>
  <si>
    <t>Miasnikova Varvara</t>
  </si>
  <si>
    <t>Rigó Evelin</t>
  </si>
  <si>
    <t>Törteli Bence</t>
  </si>
  <si>
    <t>Kovécs Szilárd</t>
  </si>
  <si>
    <t>Almai Samuel</t>
  </si>
  <si>
    <t>Mészáros Dávid</t>
  </si>
  <si>
    <t>Zöld lány A</t>
  </si>
  <si>
    <t>Farkas Dorka</t>
  </si>
  <si>
    <t>Bierer Zsuzsanna</t>
  </si>
  <si>
    <t>Benovics Hanna Mária</t>
  </si>
  <si>
    <t>Domonyai Adél</t>
  </si>
  <si>
    <t>Náray Júlia</t>
  </si>
  <si>
    <t>1 negyed döntő</t>
  </si>
  <si>
    <t>1 elődöntő</t>
  </si>
  <si>
    <t>Zöld lányok A</t>
  </si>
  <si>
    <t>Tar Dóra</t>
  </si>
  <si>
    <t>Benovics Hanna</t>
  </si>
  <si>
    <t xml:space="preserve">Zöld fiú </t>
  </si>
  <si>
    <t>Elődöntő</t>
  </si>
  <si>
    <t xml:space="preserve">Zöld Lány </t>
  </si>
  <si>
    <t>Rakita Emma</t>
  </si>
  <si>
    <t>14:45</t>
  </si>
  <si>
    <t>Zöld lány döntő</t>
  </si>
  <si>
    <t>15:30</t>
  </si>
  <si>
    <t>16.15</t>
  </si>
  <si>
    <t>17.00</t>
  </si>
  <si>
    <t>17.40</t>
  </si>
  <si>
    <t>18.15</t>
  </si>
  <si>
    <t>19:00</t>
  </si>
  <si>
    <t>jn</t>
  </si>
  <si>
    <t>Németh Gergő</t>
  </si>
  <si>
    <t>jn.</t>
  </si>
  <si>
    <t>jn V</t>
  </si>
  <si>
    <t>jn V.</t>
  </si>
  <si>
    <t>jn Gy.</t>
  </si>
  <si>
    <t>5/4(4)</t>
  </si>
  <si>
    <t>4/5(4)</t>
  </si>
  <si>
    <t>4/1</t>
  </si>
  <si>
    <t>1/4</t>
  </si>
  <si>
    <t>4/2</t>
  </si>
  <si>
    <t>2/4</t>
  </si>
  <si>
    <t>4/0</t>
  </si>
  <si>
    <t>0/4</t>
  </si>
  <si>
    <t>Molnár</t>
  </si>
  <si>
    <t>5/4(6)</t>
  </si>
  <si>
    <t>4/5(6)</t>
  </si>
  <si>
    <t>Gyurics Benedek</t>
  </si>
  <si>
    <t>5/3</t>
  </si>
  <si>
    <t>3/5</t>
  </si>
  <si>
    <t>5/4(7)</t>
  </si>
  <si>
    <t>4/5(7)</t>
  </si>
  <si>
    <t>5/4(2)</t>
  </si>
  <si>
    <t>4/5(2)</t>
  </si>
  <si>
    <t>5/4(5)</t>
  </si>
  <si>
    <t>4/5(5)</t>
  </si>
  <si>
    <t>5/4(3)</t>
  </si>
  <si>
    <t>4/5(3)</t>
  </si>
  <si>
    <t>jn. V.</t>
  </si>
  <si>
    <t>Hunyadi Mátyás</t>
  </si>
  <si>
    <t>Budaörsi 1 sz. Ált.Isk.</t>
  </si>
  <si>
    <t>I-</t>
  </si>
  <si>
    <t>Balatonlellei Á.I.</t>
  </si>
  <si>
    <t>x</t>
  </si>
  <si>
    <t>b</t>
  </si>
  <si>
    <t>a</t>
  </si>
  <si>
    <t>1/1 jn sérülés</t>
  </si>
  <si>
    <t>jn V,</t>
  </si>
  <si>
    <t>I.</t>
  </si>
  <si>
    <t>III.</t>
  </si>
  <si>
    <t>IV.</t>
  </si>
  <si>
    <t>II.</t>
  </si>
  <si>
    <t>jn  V.</t>
  </si>
  <si>
    <t>54(1)</t>
  </si>
  <si>
    <t>POLGÁRDI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</si>
</sst>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10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5" fillId="0" borderId="0"/>
    <xf numFmtId="0" fontId="4" fillId="0" borderId="0"/>
  </cellStyleXfs>
  <cellXfs count="4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Continuous" vertical="center"/>
    </xf>
    <xf numFmtId="0" fontId="11" fillId="3" borderId="2" xfId="0" applyFont="1" applyFill="1" applyBorder="1" applyAlignment="1">
      <alignment horizontal="centerContinuous" vertical="center"/>
    </xf>
    <xf numFmtId="0" fontId="11" fillId="3" borderId="3" xfId="0" applyFont="1" applyFill="1" applyBorder="1" applyAlignment="1">
      <alignment horizontal="centerContinuous"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centerContinuous" vertical="center"/>
    </xf>
    <xf numFmtId="0" fontId="13" fillId="4" borderId="2" xfId="0" applyFont="1" applyFill="1" applyBorder="1" applyAlignment="1">
      <alignment horizontal="centerContinuous" vertical="center"/>
    </xf>
    <xf numFmtId="0" fontId="13" fillId="4" borderId="3" xfId="0" applyFont="1" applyFill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15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14" fontId="23" fillId="4" borderId="5" xfId="0" applyNumberFormat="1" applyFont="1" applyFill="1" applyBorder="1" applyAlignment="1">
      <alignment horizontal="left" vertical="center"/>
    </xf>
    <xf numFmtId="49" fontId="23" fillId="2" borderId="0" xfId="0" applyNumberFormat="1" applyFont="1" applyFill="1" applyAlignment="1">
      <alignment vertical="center"/>
    </xf>
    <xf numFmtId="49" fontId="23" fillId="4" borderId="5" xfId="0" applyNumberFormat="1" applyFont="1" applyFill="1" applyBorder="1" applyAlignment="1">
      <alignment vertical="center"/>
    </xf>
    <xf numFmtId="0" fontId="12" fillId="2" borderId="0" xfId="0" applyFont="1" applyFill="1"/>
    <xf numFmtId="0" fontId="0" fillId="2" borderId="0" xfId="0" applyFill="1"/>
    <xf numFmtId="0" fontId="25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26" fillId="2" borderId="0" xfId="1" applyFont="1" applyFill="1"/>
    <xf numFmtId="0" fontId="0" fillId="0" borderId="0" xfId="0" applyAlignment="1">
      <alignment horizontal="center"/>
    </xf>
    <xf numFmtId="49" fontId="27" fillId="2" borderId="0" xfId="0" applyNumberFormat="1" applyFont="1" applyFill="1" applyAlignment="1">
      <alignment vertical="top"/>
    </xf>
    <xf numFmtId="49" fontId="17" fillId="2" borderId="0" xfId="0" applyNumberFormat="1" applyFont="1" applyFill="1" applyAlignment="1">
      <alignment vertical="top"/>
    </xf>
    <xf numFmtId="49" fontId="20" fillId="2" borderId="0" xfId="0" applyNumberFormat="1" applyFont="1" applyFill="1" applyAlignment="1">
      <alignment horizontal="left"/>
    </xf>
    <xf numFmtId="0" fontId="28" fillId="2" borderId="0" xfId="0" applyFont="1" applyFill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20" fillId="2" borderId="6" xfId="0" applyNumberFormat="1" applyFont="1" applyFill="1" applyBorder="1" applyAlignment="1">
      <alignment vertical="center"/>
    </xf>
    <xf numFmtId="49" fontId="27" fillId="2" borderId="6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vertical="center"/>
    </xf>
    <xf numFmtId="49" fontId="29" fillId="2" borderId="0" xfId="0" applyNumberFormat="1" applyFont="1" applyFill="1" applyAlignment="1">
      <alignment vertical="center"/>
    </xf>
    <xf numFmtId="49" fontId="30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14" fontId="24" fillId="2" borderId="7" xfId="0" applyNumberFormat="1" applyFont="1" applyFill="1" applyBorder="1" applyAlignment="1">
      <alignment horizontal="left" vertical="center"/>
    </xf>
    <xf numFmtId="49" fontId="24" fillId="2" borderId="7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24" fillId="2" borderId="0" xfId="0" applyNumberFormat="1" applyFont="1" applyFill="1" applyAlignment="1">
      <alignment vertical="center"/>
    </xf>
    <xf numFmtId="0" fontId="23" fillId="2" borderId="0" xfId="3" applyNumberFormat="1" applyFont="1" applyFill="1" applyAlignment="1" applyProtection="1">
      <alignment vertical="center"/>
      <protection locked="0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vertical="center"/>
    </xf>
    <xf numFmtId="0" fontId="20" fillId="4" borderId="11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0" fontId="20" fillId="4" borderId="14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9" fillId="2" borderId="0" xfId="0" applyNumberFormat="1" applyFont="1" applyFill="1" applyAlignment="1">
      <alignment horizontal="right" vertical="center"/>
    </xf>
    <xf numFmtId="49" fontId="24" fillId="0" borderId="6" xfId="0" applyNumberFormat="1" applyFont="1" applyBorder="1" applyAlignment="1">
      <alignment horizontal="right" vertical="center"/>
    </xf>
    <xf numFmtId="49" fontId="14" fillId="6" borderId="0" xfId="0" applyNumberFormat="1" applyFont="1" applyFill="1" applyAlignment="1">
      <alignment vertical="center"/>
    </xf>
    <xf numFmtId="49" fontId="14" fillId="6" borderId="17" xfId="0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49" fontId="17" fillId="0" borderId="0" xfId="0" applyNumberFormat="1" applyFont="1" applyAlignment="1">
      <alignment vertical="top"/>
    </xf>
    <xf numFmtId="49" fontId="20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24" fillId="0" borderId="6" xfId="0" applyNumberFormat="1" applyFont="1" applyBorder="1" applyAlignment="1">
      <alignment vertical="center"/>
    </xf>
    <xf numFmtId="49" fontId="24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5" fillId="0" borderId="0" xfId="0" applyNumberFormat="1" applyFont="1" applyAlignment="1">
      <alignment horizontal="left"/>
    </xf>
    <xf numFmtId="0" fontId="25" fillId="0" borderId="18" xfId="0" applyFont="1" applyBorder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/>
    <xf numFmtId="49" fontId="21" fillId="0" borderId="0" xfId="0" applyNumberFormat="1" applyFont="1" applyAlignment="1">
      <alignment horizontal="left"/>
    </xf>
    <xf numFmtId="49" fontId="22" fillId="2" borderId="19" xfId="0" applyNumberFormat="1" applyFont="1" applyFill="1" applyBorder="1" applyAlignment="1">
      <alignment horizontal="left" vertical="center"/>
    </xf>
    <xf numFmtId="49" fontId="22" fillId="2" borderId="20" xfId="0" applyNumberFormat="1" applyFont="1" applyFill="1" applyBorder="1" applyAlignment="1">
      <alignment horizontal="left" vertical="center"/>
    </xf>
    <xf numFmtId="49" fontId="14" fillId="2" borderId="21" xfId="0" applyNumberFormat="1" applyFont="1" applyFill="1" applyBorder="1" applyAlignment="1">
      <alignment horizontal="center" wrapText="1"/>
    </xf>
    <xf numFmtId="49" fontId="14" fillId="2" borderId="15" xfId="0" applyNumberFormat="1" applyFont="1" applyFill="1" applyBorder="1" applyAlignment="1">
      <alignment horizontal="center" wrapText="1"/>
    </xf>
    <xf numFmtId="49" fontId="14" fillId="5" borderId="21" xfId="0" applyNumberFormat="1" applyFont="1" applyFill="1" applyBorder="1" applyAlignment="1">
      <alignment horizontal="center" wrapText="1"/>
    </xf>
    <xf numFmtId="49" fontId="42" fillId="0" borderId="0" xfId="0" applyNumberFormat="1" applyFont="1" applyAlignment="1">
      <alignment horizontal="left"/>
    </xf>
    <xf numFmtId="49" fontId="22" fillId="2" borderId="20" xfId="0" applyNumberFormat="1" applyFont="1" applyFill="1" applyBorder="1" applyAlignment="1">
      <alignment horizontal="right" vertical="center"/>
    </xf>
    <xf numFmtId="49" fontId="15" fillId="2" borderId="20" xfId="0" applyNumberFormat="1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49" fontId="22" fillId="6" borderId="4" xfId="0" applyNumberFormat="1" applyFont="1" applyFill="1" applyBorder="1" applyAlignment="1">
      <alignment horizontal="left" vertical="center"/>
    </xf>
    <xf numFmtId="49" fontId="22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/>
    </xf>
    <xf numFmtId="0" fontId="25" fillId="5" borderId="12" xfId="0" applyFont="1" applyFill="1" applyBorder="1" applyAlignment="1">
      <alignment horizontal="center" vertical="center"/>
    </xf>
    <xf numFmtId="0" fontId="47" fillId="0" borderId="0" xfId="0" applyFont="1"/>
    <xf numFmtId="0" fontId="21" fillId="0" borderId="0" xfId="0" applyFont="1"/>
    <xf numFmtId="0" fontId="10" fillId="0" borderId="0" xfId="0" applyFont="1" applyAlignment="1">
      <alignment vertical="top"/>
    </xf>
    <xf numFmtId="49" fontId="40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left" vertical="center"/>
    </xf>
    <xf numFmtId="49" fontId="47" fillId="2" borderId="0" xfId="0" applyNumberFormat="1" applyFont="1" applyFill="1" applyAlignment="1">
      <alignment horizontal="center" vertical="center"/>
    </xf>
    <xf numFmtId="49" fontId="47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53" fillId="6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49" fontId="53" fillId="6" borderId="0" xfId="0" applyNumberFormat="1" applyFont="1" applyFill="1" applyAlignment="1">
      <alignment vertical="center"/>
    </xf>
    <xf numFmtId="49" fontId="54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vertical="center"/>
    </xf>
    <xf numFmtId="49" fontId="53" fillId="2" borderId="0" xfId="0" applyNumberFormat="1" applyFont="1" applyFill="1" applyAlignment="1">
      <alignment horizontal="center" vertical="center"/>
    </xf>
    <xf numFmtId="0" fontId="57" fillId="7" borderId="23" xfId="0" applyFont="1" applyFill="1" applyBorder="1" applyAlignment="1">
      <alignment horizontal="right" vertical="center"/>
    </xf>
    <xf numFmtId="0" fontId="57" fillId="7" borderId="17" xfId="0" applyFont="1" applyFill="1" applyBorder="1" applyAlignment="1">
      <alignment horizontal="right" vertical="center"/>
    </xf>
    <xf numFmtId="49" fontId="25" fillId="6" borderId="0" xfId="0" applyNumberFormat="1" applyFont="1" applyFill="1" applyAlignment="1">
      <alignment vertical="center"/>
    </xf>
    <xf numFmtId="49" fontId="39" fillId="6" borderId="0" xfId="0" applyNumberFormat="1" applyFont="1" applyFill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61" fillId="6" borderId="0" xfId="0" applyNumberFormat="1" applyFont="1" applyFill="1" applyAlignment="1">
      <alignment vertical="center"/>
    </xf>
    <xf numFmtId="49" fontId="62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5" fillId="2" borderId="24" xfId="0" applyFont="1" applyFill="1" applyBorder="1" applyAlignment="1">
      <alignment vertical="center"/>
    </xf>
    <xf numFmtId="0" fontId="35" fillId="2" borderId="25" xfId="0" applyFont="1" applyFill="1" applyBorder="1" applyAlignment="1">
      <alignment vertical="center"/>
    </xf>
    <xf numFmtId="49" fontId="63" fillId="2" borderId="25" xfId="0" applyNumberFormat="1" applyFont="1" applyFill="1" applyBorder="1" applyAlignment="1">
      <alignment horizontal="center" vertical="center"/>
    </xf>
    <xf numFmtId="49" fontId="63" fillId="2" borderId="25" xfId="0" applyNumberFormat="1" applyFont="1" applyFill="1" applyBorder="1" applyAlignment="1">
      <alignment vertical="center"/>
    </xf>
    <xf numFmtId="49" fontId="63" fillId="2" borderId="25" xfId="0" applyNumberFormat="1" applyFont="1" applyFill="1" applyBorder="1" applyAlignment="1">
      <alignment horizontal="centerContinuous" vertical="center"/>
    </xf>
    <xf numFmtId="49" fontId="63" fillId="2" borderId="26" xfId="0" applyNumberFormat="1" applyFont="1" applyFill="1" applyBorder="1" applyAlignment="1">
      <alignment horizontal="centerContinuous" vertical="center"/>
    </xf>
    <xf numFmtId="49" fontId="64" fillId="2" borderId="25" xfId="0" applyNumberFormat="1" applyFont="1" applyFill="1" applyBorder="1" applyAlignment="1">
      <alignment vertical="center"/>
    </xf>
    <xf numFmtId="49" fontId="64" fillId="2" borderId="26" xfId="0" applyNumberFormat="1" applyFont="1" applyFill="1" applyBorder="1" applyAlignment="1">
      <alignment vertical="center"/>
    </xf>
    <xf numFmtId="49" fontId="35" fillId="2" borderId="25" xfId="0" applyNumberFormat="1" applyFont="1" applyFill="1" applyBorder="1" applyAlignment="1">
      <alignment horizontal="left" vertical="center"/>
    </xf>
    <xf numFmtId="49" fontId="35" fillId="0" borderId="25" xfId="0" applyNumberFormat="1" applyFont="1" applyBorder="1" applyAlignment="1">
      <alignment horizontal="left" vertical="center"/>
    </xf>
    <xf numFmtId="49" fontId="64" fillId="6" borderId="26" xfId="0" applyNumberFormat="1" applyFont="1" applyFill="1" applyBorder="1" applyAlignment="1">
      <alignment vertical="center"/>
    </xf>
    <xf numFmtId="49" fontId="14" fillId="6" borderId="0" xfId="0" applyNumberFormat="1" applyFont="1" applyFill="1" applyAlignment="1">
      <alignment horizontal="center" vertical="center"/>
    </xf>
    <xf numFmtId="0" fontId="14" fillId="2" borderId="27" xfId="0" applyFont="1" applyFill="1" applyBorder="1" applyAlignment="1">
      <alignment vertical="center"/>
    </xf>
    <xf numFmtId="49" fontId="14" fillId="2" borderId="17" xfId="0" applyNumberFormat="1" applyFont="1" applyFill="1" applyBorder="1" applyAlignment="1">
      <alignment horizontal="right" vertical="center"/>
    </xf>
    <xf numFmtId="0" fontId="14" fillId="6" borderId="7" xfId="0" applyFont="1" applyFill="1" applyBorder="1" applyAlignment="1">
      <alignment vertical="center"/>
    </xf>
    <xf numFmtId="49" fontId="14" fillId="6" borderId="7" xfId="0" applyNumberFormat="1" applyFont="1" applyFill="1" applyBorder="1" applyAlignment="1">
      <alignment horizontal="center" vertical="center"/>
    </xf>
    <xf numFmtId="49" fontId="14" fillId="6" borderId="18" xfId="0" applyNumberFormat="1" applyFont="1" applyFill="1" applyBorder="1" applyAlignment="1">
      <alignment vertical="center"/>
    </xf>
    <xf numFmtId="0" fontId="57" fillId="7" borderId="18" xfId="0" applyFont="1" applyFill="1" applyBorder="1" applyAlignment="1">
      <alignment horizontal="right" vertical="center"/>
    </xf>
    <xf numFmtId="49" fontId="14" fillId="5" borderId="6" xfId="0" applyNumberFormat="1" applyFont="1" applyFill="1" applyBorder="1" applyAlignment="1">
      <alignment horizontal="center" wrapText="1"/>
    </xf>
    <xf numFmtId="0" fontId="53" fillId="6" borderId="0" xfId="0" applyFont="1" applyFill="1" applyAlignment="1">
      <alignment horizontal="center" vertical="center"/>
    </xf>
    <xf numFmtId="49" fontId="53" fillId="6" borderId="0" xfId="0" applyNumberFormat="1" applyFont="1" applyFill="1" applyAlignment="1">
      <alignment horizontal="center" vertical="center"/>
    </xf>
    <xf numFmtId="49" fontId="14" fillId="6" borderId="7" xfId="0" applyNumberFormat="1" applyFont="1" applyFill="1" applyBorder="1" applyAlignment="1">
      <alignment vertical="center"/>
    </xf>
    <xf numFmtId="49" fontId="35" fillId="2" borderId="28" xfId="0" applyNumberFormat="1" applyFont="1" applyFill="1" applyBorder="1" applyAlignment="1">
      <alignment horizontal="left" vertical="center"/>
    </xf>
    <xf numFmtId="49" fontId="64" fillId="2" borderId="28" xfId="0" applyNumberFormat="1" applyFont="1" applyFill="1" applyBorder="1" applyAlignment="1">
      <alignment vertical="center"/>
    </xf>
    <xf numFmtId="49" fontId="14" fillId="2" borderId="7" xfId="0" applyNumberFormat="1" applyFont="1" applyFill="1" applyBorder="1" applyAlignment="1">
      <alignment vertical="center"/>
    </xf>
    <xf numFmtId="0" fontId="35" fillId="2" borderId="27" xfId="0" applyFont="1" applyFill="1" applyBorder="1" applyAlignment="1">
      <alignment vertical="center"/>
    </xf>
    <xf numFmtId="49" fontId="14" fillId="2" borderId="27" xfId="0" applyNumberFormat="1" applyFont="1" applyFill="1" applyBorder="1" applyAlignment="1">
      <alignment vertical="center"/>
    </xf>
    <xf numFmtId="49" fontId="14" fillId="2" borderId="29" xfId="0" applyNumberFormat="1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32" fillId="2" borderId="30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/>
    </xf>
    <xf numFmtId="49" fontId="14" fillId="2" borderId="32" xfId="0" applyNumberFormat="1" applyFont="1" applyFill="1" applyBorder="1" applyAlignment="1">
      <alignment vertical="center"/>
    </xf>
    <xf numFmtId="49" fontId="14" fillId="2" borderId="28" xfId="0" applyNumberFormat="1" applyFont="1" applyFill="1" applyBorder="1" applyAlignment="1">
      <alignment vertical="center"/>
    </xf>
    <xf numFmtId="49" fontId="14" fillId="2" borderId="23" xfId="0" applyNumberFormat="1" applyFont="1" applyFill="1" applyBorder="1" applyAlignment="1">
      <alignment horizontal="right" vertical="center"/>
    </xf>
    <xf numFmtId="0" fontId="35" fillId="2" borderId="0" xfId="0" applyFont="1" applyFill="1" applyAlignment="1">
      <alignment vertical="center"/>
    </xf>
    <xf numFmtId="49" fontId="67" fillId="0" borderId="0" xfId="0" applyNumberFormat="1" applyFont="1" applyAlignment="1">
      <alignment horizontal="center"/>
    </xf>
    <xf numFmtId="0" fontId="25" fillId="0" borderId="33" xfId="0" applyFont="1" applyBorder="1" applyAlignment="1">
      <alignment horizontal="center" vertical="center"/>
    </xf>
    <xf numFmtId="49" fontId="14" fillId="2" borderId="34" xfId="0" applyNumberFormat="1" applyFont="1" applyFill="1" applyBorder="1" applyAlignment="1">
      <alignment horizontal="center" wrapText="1"/>
    </xf>
    <xf numFmtId="49" fontId="16" fillId="0" borderId="0" xfId="0" applyNumberFormat="1" applyFont="1" applyAlignment="1">
      <alignment vertical="top"/>
    </xf>
    <xf numFmtId="0" fontId="36" fillId="5" borderId="18" xfId="0" applyFont="1" applyFill="1" applyBorder="1" applyAlignment="1">
      <alignment horizontal="center" vertical="center"/>
    </xf>
    <xf numFmtId="49" fontId="14" fillId="5" borderId="34" xfId="0" applyNumberFormat="1" applyFont="1" applyFill="1" applyBorder="1" applyAlignment="1">
      <alignment horizontal="center" wrapText="1"/>
    </xf>
    <xf numFmtId="1" fontId="36" fillId="5" borderId="11" xfId="0" applyNumberFormat="1" applyFont="1" applyFill="1" applyBorder="1" applyAlignment="1">
      <alignment horizontal="center" vertical="center"/>
    </xf>
    <xf numFmtId="49" fontId="14" fillId="5" borderId="35" xfId="0" applyNumberFormat="1" applyFont="1" applyFill="1" applyBorder="1" applyAlignment="1">
      <alignment horizontal="center" wrapText="1"/>
    </xf>
    <xf numFmtId="1" fontId="36" fillId="5" borderId="36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14" fontId="23" fillId="0" borderId="6" xfId="0" applyNumberFormat="1" applyFont="1" applyBorder="1" applyAlignment="1">
      <alignment horizontal="left" vertical="center"/>
    </xf>
    <xf numFmtId="49" fontId="68" fillId="2" borderId="4" xfId="0" applyNumberFormat="1" applyFont="1" applyFill="1" applyBorder="1" applyAlignment="1">
      <alignment vertical="center"/>
    </xf>
    <xf numFmtId="49" fontId="68" fillId="2" borderId="0" xfId="0" applyNumberFormat="1" applyFont="1" applyFill="1" applyAlignment="1">
      <alignment vertical="center"/>
    </xf>
    <xf numFmtId="49" fontId="69" fillId="2" borderId="0" xfId="0" applyNumberFormat="1" applyFont="1" applyFill="1" applyAlignment="1">
      <alignment horizontal="left" vertical="center"/>
    </xf>
    <xf numFmtId="0" fontId="41" fillId="2" borderId="37" xfId="0" applyFont="1" applyFill="1" applyBorder="1" applyAlignment="1">
      <alignment horizontal="center" wrapText="1"/>
    </xf>
    <xf numFmtId="0" fontId="41" fillId="5" borderId="37" xfId="0" applyFont="1" applyFill="1" applyBorder="1" applyAlignment="1">
      <alignment horizontal="center" wrapText="1"/>
    </xf>
    <xf numFmtId="49" fontId="42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left" vertical="center"/>
    </xf>
    <xf numFmtId="49" fontId="25" fillId="0" borderId="12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49" fontId="14" fillId="2" borderId="28" xfId="0" applyNumberFormat="1" applyFont="1" applyFill="1" applyBorder="1" applyAlignment="1">
      <alignment horizontal="right" vertical="center"/>
    </xf>
    <xf numFmtId="0" fontId="35" fillId="2" borderId="17" xfId="0" applyFont="1" applyFill="1" applyBorder="1" applyAlignment="1">
      <alignment vertical="center"/>
    </xf>
    <xf numFmtId="0" fontId="35" fillId="2" borderId="26" xfId="0" applyFont="1" applyFill="1" applyBorder="1" applyAlignment="1">
      <alignment vertical="center"/>
    </xf>
    <xf numFmtId="49" fontId="14" fillId="2" borderId="39" xfId="0" applyNumberFormat="1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shrinkToFit="1"/>
    </xf>
    <xf numFmtId="0" fontId="68" fillId="2" borderId="0" xfId="0" applyFont="1" applyFill="1"/>
    <xf numFmtId="0" fontId="36" fillId="5" borderId="7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49" fontId="71" fillId="0" borderId="6" xfId="0" applyNumberFormat="1" applyFont="1" applyBorder="1" applyAlignment="1">
      <alignment horizontal="right" vertical="center"/>
    </xf>
    <xf numFmtId="0" fontId="19" fillId="4" borderId="5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vertical="center"/>
    </xf>
    <xf numFmtId="49" fontId="73" fillId="2" borderId="19" xfId="0" applyNumberFormat="1" applyFont="1" applyFill="1" applyBorder="1" applyAlignment="1">
      <alignment horizontal="left" vertical="center"/>
    </xf>
    <xf numFmtId="49" fontId="17" fillId="6" borderId="0" xfId="0" applyNumberFormat="1" applyFont="1" applyFill="1" applyAlignment="1">
      <alignment vertical="top"/>
    </xf>
    <xf numFmtId="49" fontId="10" fillId="6" borderId="0" xfId="0" applyNumberFormat="1" applyFont="1" applyFill="1" applyAlignment="1">
      <alignment vertical="top"/>
    </xf>
    <xf numFmtId="49" fontId="67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vertical="top"/>
    </xf>
    <xf numFmtId="49" fontId="42" fillId="6" borderId="0" xfId="0" applyNumberFormat="1" applyFont="1" applyFill="1" applyAlignment="1">
      <alignment horizontal="center"/>
    </xf>
    <xf numFmtId="49" fontId="42" fillId="6" borderId="0" xfId="0" applyNumberFormat="1" applyFont="1" applyFill="1" applyAlignment="1">
      <alignment horizontal="left"/>
    </xf>
    <xf numFmtId="49" fontId="20" fillId="6" borderId="0" xfId="0" applyNumberFormat="1" applyFont="1" applyFill="1" applyAlignment="1">
      <alignment horizontal="left"/>
    </xf>
    <xf numFmtId="0" fontId="72" fillId="6" borderId="0" xfId="0" applyFont="1" applyFill="1"/>
    <xf numFmtId="49" fontId="19" fillId="6" borderId="0" xfId="0" applyNumberFormat="1" applyFont="1" applyFill="1" applyAlignment="1">
      <alignment horizontal="left"/>
    </xf>
    <xf numFmtId="49" fontId="38" fillId="6" borderId="0" xfId="0" applyNumberFormat="1" applyFont="1" applyFill="1"/>
    <xf numFmtId="49" fontId="25" fillId="6" borderId="0" xfId="0" applyNumberFormat="1" applyFont="1" applyFill="1"/>
    <xf numFmtId="49" fontId="21" fillId="6" borderId="0" xfId="0" applyNumberFormat="1" applyFont="1" applyFill="1"/>
    <xf numFmtId="14" fontId="23" fillId="6" borderId="6" xfId="0" applyNumberFormat="1" applyFont="1" applyFill="1" applyBorder="1" applyAlignment="1">
      <alignment horizontal="left" vertical="center"/>
    </xf>
    <xf numFmtId="49" fontId="23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8" fillId="6" borderId="6" xfId="0" applyNumberFormat="1" applyFont="1" applyFill="1" applyBorder="1" applyAlignment="1">
      <alignment vertical="center"/>
    </xf>
    <xf numFmtId="49" fontId="23" fillId="6" borderId="6" xfId="3" applyNumberFormat="1" applyFont="1" applyFill="1" applyBorder="1" applyAlignment="1" applyProtection="1">
      <alignment vertical="center"/>
      <protection locked="0"/>
    </xf>
    <xf numFmtId="0" fontId="24" fillId="6" borderId="6" xfId="0" applyFont="1" applyFill="1" applyBorder="1" applyAlignment="1">
      <alignment horizontal="left" vertical="center"/>
    </xf>
    <xf numFmtId="49" fontId="24" fillId="6" borderId="6" xfId="0" applyNumberFormat="1" applyFont="1" applyFill="1" applyBorder="1" applyAlignment="1">
      <alignment horizontal="right" vertical="center"/>
    </xf>
    <xf numFmtId="0" fontId="50" fillId="6" borderId="7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 shrinkToFit="1"/>
    </xf>
    <xf numFmtId="0" fontId="51" fillId="6" borderId="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0" xfId="0" applyFont="1" applyFill="1" applyAlignment="1">
      <alignment vertical="center"/>
    </xf>
    <xf numFmtId="0" fontId="50" fillId="6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 shrinkToFit="1"/>
    </xf>
    <xf numFmtId="0" fontId="55" fillId="6" borderId="0" xfId="0" applyFont="1" applyFill="1" applyAlignment="1">
      <alignment vertical="center"/>
    </xf>
    <xf numFmtId="0" fontId="56" fillId="6" borderId="0" xfId="0" applyFont="1" applyFill="1" applyAlignment="1">
      <alignment vertical="center"/>
    </xf>
    <xf numFmtId="0" fontId="52" fillId="6" borderId="7" xfId="0" applyFont="1" applyFill="1" applyBorder="1" applyAlignment="1">
      <alignment vertical="center"/>
    </xf>
    <xf numFmtId="0" fontId="0" fillId="6" borderId="7" xfId="0" applyFill="1" applyBorder="1"/>
    <xf numFmtId="0" fontId="52" fillId="6" borderId="18" xfId="0" applyFont="1" applyFill="1" applyBorder="1" applyAlignment="1">
      <alignment horizontal="center" vertical="center"/>
    </xf>
    <xf numFmtId="0" fontId="52" fillId="6" borderId="17" xfId="0" applyFont="1" applyFill="1" applyBorder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49" fontId="52" fillId="6" borderId="7" xfId="0" applyNumberFormat="1" applyFont="1" applyFill="1" applyBorder="1" applyAlignment="1">
      <alignment vertical="center"/>
    </xf>
    <xf numFmtId="49" fontId="52" fillId="6" borderId="0" xfId="0" applyNumberFormat="1" applyFont="1" applyFill="1" applyAlignment="1">
      <alignment vertical="center"/>
    </xf>
    <xf numFmtId="0" fontId="52" fillId="6" borderId="17" xfId="0" applyFont="1" applyFill="1" applyBorder="1" applyAlignment="1">
      <alignment vertical="center"/>
    </xf>
    <xf numFmtId="49" fontId="52" fillId="6" borderId="17" xfId="0" applyNumberFormat="1" applyFont="1" applyFill="1" applyBorder="1" applyAlignment="1">
      <alignment vertical="center"/>
    </xf>
    <xf numFmtId="0" fontId="52" fillId="6" borderId="18" xfId="0" applyFont="1" applyFill="1" applyBorder="1" applyAlignment="1">
      <alignment vertical="center"/>
    </xf>
    <xf numFmtId="0" fontId="58" fillId="6" borderId="18" xfId="0" applyFont="1" applyFill="1" applyBorder="1" applyAlignment="1">
      <alignment horizontal="center" vertical="center"/>
    </xf>
    <xf numFmtId="0" fontId="59" fillId="6" borderId="0" xfId="0" applyFont="1" applyFill="1" applyAlignment="1">
      <alignment vertical="center"/>
    </xf>
    <xf numFmtId="0" fontId="58" fillId="6" borderId="7" xfId="0" applyFont="1" applyFill="1" applyBorder="1" applyAlignment="1">
      <alignment horizontal="center" vertical="center"/>
    </xf>
    <xf numFmtId="49" fontId="52" fillId="6" borderId="18" xfId="0" applyNumberFormat="1" applyFont="1" applyFill="1" applyBorder="1" applyAlignment="1">
      <alignment vertical="center"/>
    </xf>
    <xf numFmtId="0" fontId="60" fillId="6" borderId="0" xfId="0" applyFont="1" applyFill="1" applyAlignment="1">
      <alignment vertical="center"/>
    </xf>
    <xf numFmtId="0" fontId="14" fillId="6" borderId="0" xfId="0" applyFont="1" applyFill="1" applyAlignment="1">
      <alignment horizontal="right" vertical="center"/>
    </xf>
    <xf numFmtId="0" fontId="53" fillId="6" borderId="0" xfId="0" applyFont="1" applyFill="1" applyAlignment="1">
      <alignment horizontal="left" vertical="center"/>
    </xf>
    <xf numFmtId="0" fontId="25" fillId="6" borderId="0" xfId="0" applyFont="1" applyFill="1"/>
    <xf numFmtId="0" fontId="15" fillId="6" borderId="0" xfId="0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25" fillId="6" borderId="10" xfId="0" applyFont="1" applyFill="1" applyBorder="1" applyAlignment="1">
      <alignment vertical="center"/>
    </xf>
    <xf numFmtId="0" fontId="25" fillId="6" borderId="13" xfId="0" applyFont="1" applyFill="1" applyBorder="1" applyAlignment="1">
      <alignment vertical="center"/>
    </xf>
    <xf numFmtId="0" fontId="25" fillId="6" borderId="16" xfId="0" applyFont="1" applyFill="1" applyBorder="1" applyAlignment="1">
      <alignment vertical="center"/>
    </xf>
    <xf numFmtId="0" fontId="0" fillId="6" borderId="0" xfId="0" applyFill="1"/>
    <xf numFmtId="0" fontId="10" fillId="6" borderId="0" xfId="0" applyFont="1" applyFill="1" applyAlignment="1">
      <alignment vertical="top"/>
    </xf>
    <xf numFmtId="49" fontId="49" fillId="6" borderId="0" xfId="0" applyNumberFormat="1" applyFont="1" applyFill="1" applyAlignment="1">
      <alignment horizontal="center" vertical="center"/>
    </xf>
    <xf numFmtId="49" fontId="41" fillId="6" borderId="0" xfId="0" applyNumberFormat="1" applyFont="1" applyFill="1" applyAlignment="1">
      <alignment horizontal="center" vertical="center"/>
    </xf>
    <xf numFmtId="49" fontId="47" fillId="6" borderId="0" xfId="0" applyNumberFormat="1" applyFont="1" applyFill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49" fontId="35" fillId="6" borderId="32" xfId="0" applyNumberFormat="1" applyFont="1" applyFill="1" applyBorder="1" applyAlignment="1">
      <alignment vertical="center"/>
    </xf>
    <xf numFmtId="49" fontId="35" fillId="6" borderId="28" xfId="0" applyNumberFormat="1" applyFont="1" applyFill="1" applyBorder="1" applyAlignment="1">
      <alignment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18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horizontal="center" vertical="center"/>
    </xf>
    <xf numFmtId="49" fontId="14" fillId="6" borderId="32" xfId="0" applyNumberFormat="1" applyFont="1" applyFill="1" applyBorder="1" applyAlignment="1">
      <alignment vertical="center"/>
    </xf>
    <xf numFmtId="49" fontId="14" fillId="6" borderId="28" xfId="0" applyNumberFormat="1" applyFont="1" applyFill="1" applyBorder="1" applyAlignment="1">
      <alignment vertical="center"/>
    </xf>
    <xf numFmtId="49" fontId="14" fillId="6" borderId="28" xfId="0" applyNumberFormat="1" applyFont="1" applyFill="1" applyBorder="1" applyAlignment="1">
      <alignment horizontal="right" vertical="center"/>
    </xf>
    <xf numFmtId="49" fontId="14" fillId="6" borderId="23" xfId="0" applyNumberFormat="1" applyFont="1" applyFill="1" applyBorder="1" applyAlignment="1">
      <alignment horizontal="right" vertical="center"/>
    </xf>
    <xf numFmtId="49" fontId="14" fillId="6" borderId="29" xfId="0" applyNumberFormat="1" applyFont="1" applyFill="1" applyBorder="1" applyAlignment="1">
      <alignment vertical="center"/>
    </xf>
    <xf numFmtId="49" fontId="14" fillId="6" borderId="7" xfId="0" applyNumberFormat="1" applyFont="1" applyFill="1" applyBorder="1" applyAlignment="1">
      <alignment horizontal="right" vertical="center"/>
    </xf>
    <xf numFmtId="49" fontId="14" fillId="6" borderId="18" xfId="0" applyNumberFormat="1" applyFont="1" applyFill="1" applyBorder="1" applyAlignment="1">
      <alignment horizontal="right" vertical="center"/>
    </xf>
    <xf numFmtId="49" fontId="75" fillId="2" borderId="0" xfId="0" applyNumberFormat="1" applyFont="1" applyFill="1" applyAlignment="1">
      <alignment horizontal="center" vertical="center"/>
    </xf>
    <xf numFmtId="0" fontId="75" fillId="6" borderId="7" xfId="0" applyFont="1" applyFill="1" applyBorder="1" applyAlignment="1">
      <alignment vertical="center"/>
    </xf>
    <xf numFmtId="0" fontId="80" fillId="6" borderId="7" xfId="0" applyFont="1" applyFill="1" applyBorder="1" applyAlignment="1">
      <alignment vertical="center"/>
    </xf>
    <xf numFmtId="49" fontId="80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74" fillId="6" borderId="7" xfId="0" applyFont="1" applyFill="1" applyBorder="1"/>
    <xf numFmtId="0" fontId="75" fillId="6" borderId="7" xfId="0" applyFont="1" applyFill="1" applyBorder="1" applyAlignment="1">
      <alignment horizontal="center" vertical="center" shrinkToFit="1"/>
    </xf>
    <xf numFmtId="0" fontId="78" fillId="6" borderId="7" xfId="0" applyFont="1" applyFill="1" applyBorder="1"/>
    <xf numFmtId="49" fontId="37" fillId="0" borderId="0" xfId="0" applyNumberFormat="1" applyFont="1" applyAlignment="1">
      <alignment vertical="top"/>
    </xf>
    <xf numFmtId="49" fontId="10" fillId="0" borderId="0" xfId="0" applyNumberFormat="1" applyFont="1" applyAlignment="1">
      <alignment vertical="top"/>
    </xf>
    <xf numFmtId="49" fontId="21" fillId="0" borderId="0" xfId="0" applyNumberFormat="1" applyFont="1"/>
    <xf numFmtId="49" fontId="25" fillId="0" borderId="0" xfId="0" applyNumberFormat="1" applyFont="1"/>
    <xf numFmtId="49" fontId="29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49" fontId="48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8" fillId="6" borderId="0" xfId="0" applyFont="1" applyFill="1"/>
    <xf numFmtId="49" fontId="35" fillId="0" borderId="0" xfId="0" applyNumberFormat="1" applyFont="1" applyAlignment="1">
      <alignment horizontal="left" vertical="center"/>
    </xf>
    <xf numFmtId="49" fontId="6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57" fillId="0" borderId="0" xfId="0" applyFont="1" applyAlignment="1">
      <alignment horizontal="right" vertical="center"/>
    </xf>
    <xf numFmtId="49" fontId="63" fillId="2" borderId="28" xfId="0" applyNumberFormat="1" applyFont="1" applyFill="1" applyBorder="1" applyAlignment="1">
      <alignment horizontal="center" vertical="center"/>
    </xf>
    <xf numFmtId="49" fontId="63" fillId="2" borderId="28" xfId="0" applyNumberFormat="1" applyFont="1" applyFill="1" applyBorder="1" applyAlignment="1">
      <alignment vertical="center"/>
    </xf>
    <xf numFmtId="49" fontId="14" fillId="6" borderId="32" xfId="0" applyNumberFormat="1" applyFont="1" applyFill="1" applyBorder="1" applyAlignment="1">
      <alignment horizontal="center" vertical="center"/>
    </xf>
    <xf numFmtId="49" fontId="47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14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4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41" fillId="6" borderId="32" xfId="0" applyNumberFormat="1" applyFont="1" applyFill="1" applyBorder="1" applyAlignment="1">
      <alignment horizontal="center" vertical="center"/>
    </xf>
    <xf numFmtId="49" fontId="14" fillId="6" borderId="23" xfId="0" applyNumberFormat="1" applyFont="1" applyFill="1" applyBorder="1" applyAlignment="1">
      <alignment vertical="center"/>
    </xf>
    <xf numFmtId="49" fontId="41" fillId="6" borderId="27" xfId="0" applyNumberFormat="1" applyFont="1" applyFill="1" applyBorder="1" applyAlignment="1">
      <alignment horizontal="center" vertical="center"/>
    </xf>
    <xf numFmtId="49" fontId="41" fillId="6" borderId="29" xfId="0" applyNumberFormat="1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vertical="center"/>
    </xf>
    <xf numFmtId="49" fontId="14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6" fillId="6" borderId="0" xfId="0" applyFont="1" applyFill="1"/>
    <xf numFmtId="0" fontId="81" fillId="2" borderId="0" xfId="0" applyFont="1" applyFill="1" applyAlignment="1">
      <alignment horizontal="center" shrinkToFit="1"/>
    </xf>
    <xf numFmtId="0" fontId="82" fillId="8" borderId="0" xfId="0" applyFont="1" applyFill="1"/>
    <xf numFmtId="0" fontId="82" fillId="6" borderId="0" xfId="0" applyFont="1" applyFill="1"/>
    <xf numFmtId="0" fontId="78" fillId="6" borderId="7" xfId="0" applyFont="1" applyFill="1" applyBorder="1" applyAlignment="1">
      <alignment horizontal="center" vertical="center" shrinkToFit="1"/>
    </xf>
    <xf numFmtId="0" fontId="78" fillId="6" borderId="7" xfId="0" applyFont="1" applyFill="1" applyBorder="1" applyAlignment="1">
      <alignment vertical="center" shrinkToFit="1"/>
    </xf>
    <xf numFmtId="0" fontId="78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4" fillId="6" borderId="0" xfId="0" applyFont="1" applyFill="1" applyAlignment="1">
      <alignment horizontal="center"/>
    </xf>
    <xf numFmtId="0" fontId="0" fillId="6" borderId="5" xfId="0" applyFill="1" applyBorder="1"/>
    <xf numFmtId="0" fontId="74" fillId="8" borderId="5" xfId="0" applyFont="1" applyFill="1" applyBorder="1" applyAlignment="1">
      <alignment horizontal="center" vertical="center"/>
    </xf>
    <xf numFmtId="0" fontId="7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74" fillId="6" borderId="0" xfId="0" applyFont="1" applyFill="1" applyAlignment="1">
      <alignment horizontal="center" vertical="center"/>
    </xf>
    <xf numFmtId="49" fontId="25" fillId="3" borderId="0" xfId="0" applyNumberFormat="1" applyFont="1" applyFill="1"/>
    <xf numFmtId="0" fontId="0" fillId="3" borderId="0" xfId="0" applyFill="1" applyAlignment="1">
      <alignment horizontal="center"/>
    </xf>
    <xf numFmtId="49" fontId="25" fillId="4" borderId="0" xfId="0" applyNumberFormat="1" applyFont="1" applyFill="1"/>
    <xf numFmtId="0" fontId="0" fillId="4" borderId="0" xfId="0" applyFill="1" applyAlignment="1">
      <alignment horizontal="center"/>
    </xf>
    <xf numFmtId="49" fontId="25" fillId="9" borderId="0" xfId="0" applyNumberFormat="1" applyFont="1" applyFill="1"/>
    <xf numFmtId="0" fontId="0" fillId="9" borderId="0" xfId="0" applyFill="1" applyAlignment="1">
      <alignment horizontal="center"/>
    </xf>
    <xf numFmtId="0" fontId="74" fillId="8" borderId="0" xfId="0" applyFont="1" applyFill="1" applyAlignment="1">
      <alignment horizontal="center"/>
    </xf>
    <xf numFmtId="0" fontId="83" fillId="6" borderId="0" xfId="0" applyFont="1" applyFill="1" applyAlignment="1">
      <alignment horizontal="center"/>
    </xf>
    <xf numFmtId="0" fontId="83" fillId="8" borderId="0" xfId="0" applyFont="1" applyFill="1" applyAlignment="1">
      <alignment horizontal="center"/>
    </xf>
    <xf numFmtId="0" fontId="8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0" fontId="0" fillId="0" borderId="6" xfId="0" applyBorder="1"/>
    <xf numFmtId="49" fontId="24" fillId="4" borderId="5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0" fillId="11" borderId="0" xfId="0" applyFill="1"/>
    <xf numFmtId="0" fontId="84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5" fillId="6" borderId="7" xfId="0" applyFont="1" applyFill="1" applyBorder="1" applyAlignment="1">
      <alignment horizontal="center"/>
    </xf>
    <xf numFmtId="0" fontId="8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86" fillId="6" borderId="0" xfId="0" applyFont="1" applyFill="1" applyAlignment="1">
      <alignment vertical="center"/>
    </xf>
    <xf numFmtId="0" fontId="87" fillId="6" borderId="0" xfId="0" applyFont="1" applyFill="1"/>
    <xf numFmtId="49" fontId="74" fillId="2" borderId="0" xfId="0" applyNumberFormat="1" applyFont="1" applyFill="1" applyAlignment="1">
      <alignment horizontal="center" vertical="center"/>
    </xf>
    <xf numFmtId="49" fontId="17" fillId="4" borderId="26" xfId="0" applyNumberFormat="1" applyFont="1" applyFill="1" applyBorder="1" applyAlignment="1">
      <alignment vertical="center"/>
    </xf>
    <xf numFmtId="49" fontId="70" fillId="3" borderId="1" xfId="0" applyNumberFormat="1" applyFont="1" applyFill="1" applyBorder="1" applyAlignment="1">
      <alignment vertical="center" shrinkToFit="1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49" fontId="70" fillId="3" borderId="2" xfId="0" applyNumberFormat="1" applyFont="1" applyFill="1" applyBorder="1" applyAlignment="1">
      <alignment vertical="center" shrinkToFit="1"/>
    </xf>
    <xf numFmtId="49" fontId="70" fillId="3" borderId="37" xfId="0" applyNumberFormat="1" applyFont="1" applyFill="1" applyBorder="1" applyAlignment="1">
      <alignment vertical="center" shrinkToFit="1"/>
    </xf>
    <xf numFmtId="49" fontId="25" fillId="0" borderId="6" xfId="0" applyNumberFormat="1" applyFont="1" applyBorder="1" applyAlignment="1">
      <alignment horizontal="left"/>
    </xf>
    <xf numFmtId="0" fontId="14" fillId="2" borderId="1" xfId="0" applyFont="1" applyFill="1" applyBorder="1" applyAlignment="1">
      <alignment wrapText="1"/>
    </xf>
    <xf numFmtId="0" fontId="14" fillId="2" borderId="37" xfId="0" applyFont="1" applyFill="1" applyBorder="1" applyAlignment="1">
      <alignment wrapText="1"/>
    </xf>
    <xf numFmtId="0" fontId="25" fillId="0" borderId="43" xfId="0" applyFont="1" applyBorder="1" applyAlignment="1">
      <alignment horizontal="center" vertical="center"/>
    </xf>
    <xf numFmtId="49" fontId="30" fillId="2" borderId="38" xfId="0" applyNumberFormat="1" applyFont="1" applyFill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/>
    </xf>
    <xf numFmtId="0" fontId="79" fillId="6" borderId="7" xfId="0" applyFont="1" applyFill="1" applyBorder="1" applyAlignment="1">
      <alignment horizontal="center" vertical="center"/>
    </xf>
    <xf numFmtId="0" fontId="79" fillId="6" borderId="0" xfId="0" applyFont="1" applyFill="1" applyAlignment="1">
      <alignment horizontal="center" vertical="center"/>
    </xf>
    <xf numFmtId="0" fontId="76" fillId="6" borderId="0" xfId="0" applyFont="1" applyFill="1" applyAlignment="1">
      <alignment vertical="center"/>
    </xf>
    <xf numFmtId="0" fontId="77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5" fillId="0" borderId="12" xfId="0" applyNumberFormat="1" applyFont="1" applyBorder="1" applyAlignment="1">
      <alignment horizontal="center" vertical="center" wrapText="1"/>
    </xf>
    <xf numFmtId="49" fontId="30" fillId="2" borderId="20" xfId="0" applyNumberFormat="1" applyFont="1" applyFill="1" applyBorder="1" applyAlignment="1">
      <alignment horizontal="right" vertical="center"/>
    </xf>
    <xf numFmtId="49" fontId="71" fillId="0" borderId="15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89" fillId="6" borderId="0" xfId="0" applyFont="1" applyFill="1" applyAlignment="1">
      <alignment horizontal="right" vertical="center"/>
    </xf>
    <xf numFmtId="0" fontId="78" fillId="6" borderId="5" xfId="0" applyFont="1" applyFill="1" applyBorder="1" applyAlignment="1">
      <alignment horizontal="center" vertical="center"/>
    </xf>
    <xf numFmtId="0" fontId="78" fillId="6" borderId="0" xfId="0" applyFont="1" applyFill="1" applyAlignment="1">
      <alignment horizontal="center"/>
    </xf>
    <xf numFmtId="0" fontId="80" fillId="6" borderId="7" xfId="0" applyFont="1" applyFill="1" applyBorder="1" applyAlignment="1">
      <alignment horizontal="center" vertical="center" shrinkToFit="1"/>
    </xf>
    <xf numFmtId="0" fontId="90" fillId="8" borderId="0" xfId="0" applyFont="1" applyFill="1" applyAlignment="1">
      <alignment horizontal="center"/>
    </xf>
    <xf numFmtId="0" fontId="91" fillId="8" borderId="0" xfId="0" applyFont="1" applyFill="1" applyAlignment="1">
      <alignment horizontal="center"/>
    </xf>
    <xf numFmtId="0" fontId="45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8" fillId="3" borderId="0" xfId="0" applyFont="1" applyFill="1" applyAlignment="1">
      <alignment horizontal="center"/>
    </xf>
    <xf numFmtId="0" fontId="78" fillId="4" borderId="0" xfId="0" applyFont="1" applyFill="1" applyAlignment="1">
      <alignment horizontal="center"/>
    </xf>
    <xf numFmtId="0" fontId="78" fillId="9" borderId="0" xfId="0" applyFont="1" applyFill="1" applyAlignment="1">
      <alignment horizontal="center"/>
    </xf>
    <xf numFmtId="0" fontId="53" fillId="14" borderId="0" xfId="0" applyFont="1" applyFill="1" applyAlignment="1">
      <alignment vertical="center"/>
    </xf>
    <xf numFmtId="49" fontId="61" fillId="14" borderId="0" xfId="0" applyNumberFormat="1" applyFont="1" applyFill="1" applyAlignment="1">
      <alignment vertical="center"/>
    </xf>
    <xf numFmtId="49" fontId="25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19" fillId="6" borderId="0" xfId="0" applyFont="1" applyFill="1" applyAlignment="1">
      <alignment horizontal="left"/>
    </xf>
    <xf numFmtId="49" fontId="16" fillId="4" borderId="24" xfId="0" applyNumberFormat="1" applyFont="1" applyFill="1" applyBorder="1" applyAlignment="1">
      <alignment vertical="center"/>
    </xf>
    <xf numFmtId="0" fontId="92" fillId="0" borderId="5" xfId="2" applyFont="1" applyBorder="1" applyAlignment="1">
      <alignment wrapText="1"/>
    </xf>
    <xf numFmtId="0" fontId="88" fillId="0" borderId="5" xfId="0" applyFont="1" applyBorder="1"/>
    <xf numFmtId="0" fontId="88" fillId="0" borderId="0" xfId="0" applyFont="1"/>
    <xf numFmtId="0" fontId="88" fillId="0" borderId="5" xfId="0" applyFont="1" applyBorder="1" applyAlignment="1">
      <alignment wrapText="1"/>
    </xf>
    <xf numFmtId="0" fontId="92" fillId="0" borderId="5" xfId="0" applyFont="1" applyBorder="1"/>
    <xf numFmtId="0" fontId="92" fillId="0" borderId="5" xfId="0" applyFont="1" applyBorder="1" applyAlignment="1">
      <alignment vertical="center"/>
    </xf>
    <xf numFmtId="0" fontId="93" fillId="0" borderId="5" xfId="0" applyFont="1" applyBorder="1"/>
    <xf numFmtId="0" fontId="88" fillId="0" borderId="5" xfId="0" applyFont="1" applyBorder="1" applyAlignment="1">
      <alignment horizontal="left" vertical="top"/>
    </xf>
    <xf numFmtId="0" fontId="88" fillId="0" borderId="5" xfId="0" applyFont="1" applyBorder="1" applyAlignment="1">
      <alignment horizontal="left" vertical="top" wrapText="1"/>
    </xf>
    <xf numFmtId="0" fontId="88" fillId="0" borderId="5" xfId="0" applyFont="1" applyBorder="1" applyAlignment="1">
      <alignment horizontal="left" vertical="center" wrapText="1"/>
    </xf>
    <xf numFmtId="0" fontId="88" fillId="0" borderId="44" xfId="0" applyFont="1" applyBorder="1" applyAlignment="1">
      <alignment vertical="center"/>
    </xf>
    <xf numFmtId="0" fontId="88" fillId="0" borderId="44" xfId="0" applyFont="1" applyBorder="1"/>
    <xf numFmtId="0" fontId="50" fillId="6" borderId="7" xfId="0" applyFont="1" applyFill="1" applyBorder="1" applyAlignment="1">
      <alignment vertical="center"/>
    </xf>
    <xf numFmtId="0" fontId="94" fillId="0" borderId="7" xfId="0" applyFont="1" applyBorder="1"/>
    <xf numFmtId="0" fontId="7" fillId="6" borderId="7" xfId="0" applyFont="1" applyFill="1" applyBorder="1" applyAlignment="1">
      <alignment vertical="center" shrinkToFit="1"/>
    </xf>
    <xf numFmtId="0" fontId="88" fillId="0" borderId="7" xfId="0" applyFont="1" applyBorder="1"/>
    <xf numFmtId="0" fontId="4" fillId="0" borderId="0" xfId="5"/>
    <xf numFmtId="49" fontId="94" fillId="0" borderId="0" xfId="5" applyNumberFormat="1" applyFont="1" applyAlignment="1">
      <alignment textRotation="90" wrapText="1"/>
    </xf>
    <xf numFmtId="49" fontId="4" fillId="0" borderId="0" xfId="5" applyNumberFormat="1"/>
    <xf numFmtId="49" fontId="4" fillId="0" borderId="5" xfId="5" applyNumberFormat="1" applyBorder="1"/>
    <xf numFmtId="49" fontId="98" fillId="0" borderId="5" xfId="5" applyNumberFormat="1" applyFont="1" applyBorder="1"/>
    <xf numFmtId="49" fontId="98" fillId="0" borderId="5" xfId="5" applyNumberFormat="1" applyFont="1" applyBorder="1" applyAlignment="1">
      <alignment horizontal="center"/>
    </xf>
    <xf numFmtId="49" fontId="4" fillId="0" borderId="5" xfId="5" applyNumberFormat="1" applyBorder="1" applyAlignment="1">
      <alignment horizontal="right"/>
    </xf>
    <xf numFmtId="49" fontId="3" fillId="0" borderId="5" xfId="5" applyNumberFormat="1" applyFont="1" applyBorder="1"/>
    <xf numFmtId="49" fontId="101" fillId="0" borderId="5" xfId="5" applyNumberFormat="1" applyFont="1" applyBorder="1"/>
    <xf numFmtId="49" fontId="2" fillId="0" borderId="5" xfId="5" applyNumberFormat="1" applyFont="1" applyBorder="1"/>
    <xf numFmtId="49" fontId="0" fillId="6" borderId="0" xfId="0" applyNumberFormat="1" applyFill="1"/>
    <xf numFmtId="0" fontId="1" fillId="0" borderId="5" xfId="0" applyFont="1" applyBorder="1" applyAlignment="1">
      <alignment horizontal="left" vertical="center" wrapText="1"/>
    </xf>
    <xf numFmtId="49" fontId="0" fillId="6" borderId="0" xfId="0" applyNumberFormat="1" applyFill="1" applyAlignment="1">
      <alignment horizontal="right" vertical="center" shrinkToFit="1"/>
    </xf>
    <xf numFmtId="49" fontId="0" fillId="6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7" xfId="0" applyNumberFormat="1" applyFill="1" applyBorder="1"/>
    <xf numFmtId="0" fontId="1" fillId="0" borderId="5" xfId="0" applyFont="1" applyBorder="1"/>
    <xf numFmtId="49" fontId="1" fillId="0" borderId="5" xfId="5" applyNumberFormat="1" applyFont="1" applyBorder="1"/>
    <xf numFmtId="0" fontId="6" fillId="8" borderId="7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6" fillId="0" borderId="0" xfId="0" applyFont="1"/>
    <xf numFmtId="14" fontId="31" fillId="2" borderId="28" xfId="0" applyNumberFormat="1" applyFont="1" applyFill="1" applyBorder="1" applyAlignment="1">
      <alignment horizontal="left" vertical="center" wrapText="1"/>
    </xf>
    <xf numFmtId="0" fontId="99" fillId="0" borderId="0" xfId="5" applyFont="1" applyAlignment="1">
      <alignment horizontal="center" vertical="center"/>
    </xf>
    <xf numFmtId="0" fontId="100" fillId="15" borderId="0" xfId="5" applyFont="1" applyFill="1" applyAlignment="1">
      <alignment horizontal="center" vertical="center" wrapText="1"/>
    </xf>
    <xf numFmtId="49" fontId="17" fillId="6" borderId="0" xfId="0" applyNumberFormat="1" applyFont="1" applyFill="1" applyAlignment="1">
      <alignment vertical="top" shrinkToFit="1"/>
    </xf>
    <xf numFmtId="14" fontId="23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78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49" fontId="0" fillId="13" borderId="5" xfId="0" applyNumberForma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4" fillId="6" borderId="28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right" vertical="center" shrinkToFit="1"/>
    </xf>
    <xf numFmtId="49" fontId="0" fillId="2" borderId="5" xfId="0" applyNumberFormat="1" applyFill="1" applyBorder="1" applyAlignment="1">
      <alignment vertical="center"/>
    </xf>
    <xf numFmtId="49" fontId="0" fillId="6" borderId="7" xfId="0" applyNumberFormat="1" applyFill="1" applyBorder="1" applyAlignment="1">
      <alignment horizontal="center"/>
    </xf>
    <xf numFmtId="0" fontId="7" fillId="6" borderId="7" xfId="0" applyFont="1" applyFill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</cellXfs>
  <cellStyles count="6">
    <cellStyle name="Hivatkozás" xfId="1" builtinId="8"/>
    <cellStyle name="Normál" xfId="0" builtinId="0"/>
    <cellStyle name="Normál 2" xfId="2" xr:uid="{00000000-0005-0000-0000-000002000000}"/>
    <cellStyle name="Normál 3" xfId="4" xr:uid="{00000000-0005-0000-0000-000003000000}"/>
    <cellStyle name="Normál 4" xfId="5" xr:uid="{00000000-0005-0000-0000-000004000000}"/>
    <cellStyle name="Pénznem" xfId="3" builtinId="4"/>
  </cellStyles>
  <dxfs count="188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31" name="Picture 1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32" name="Picture 1">
          <a:extLst>
            <a:ext uri="{FF2B5EF4-FFF2-40B4-BE49-F238E27FC236}">
              <a16:creationId xmlns:a16="http://schemas.microsoft.com/office/drawing/2014/main" id="{00000000-0008-0000-0A00-000034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80" name="Picture 1">
          <a:extLst>
            <a:ext uri="{FF2B5EF4-FFF2-40B4-BE49-F238E27FC236}">
              <a16:creationId xmlns:a16="http://schemas.microsoft.com/office/drawing/2014/main" id="{00000000-0008-0000-0B00-000034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04" name="Picture 1">
          <a:extLst>
            <a:ext uri="{FF2B5EF4-FFF2-40B4-BE49-F238E27FC236}">
              <a16:creationId xmlns:a16="http://schemas.microsoft.com/office/drawing/2014/main" id="{00000000-0008-0000-0C00-000034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28" name="Picture 1">
          <a:extLst>
            <a:ext uri="{FF2B5EF4-FFF2-40B4-BE49-F238E27FC236}">
              <a16:creationId xmlns:a16="http://schemas.microsoft.com/office/drawing/2014/main" id="{00000000-0008-0000-0D00-0000342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19" name="Picture 3">
          <a:extLst>
            <a:ext uri="{FF2B5EF4-FFF2-40B4-BE49-F238E27FC236}">
              <a16:creationId xmlns:a16="http://schemas.microsoft.com/office/drawing/2014/main" id="{00000000-0008-0000-0E00-000037F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E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E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82" name="Picture 21">
          <a:extLst>
            <a:ext uri="{FF2B5EF4-FFF2-40B4-BE49-F238E27FC236}">
              <a16:creationId xmlns:a16="http://schemas.microsoft.com/office/drawing/2014/main" id="{00000000-0008-0000-0F00-000036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F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43" name="Picture 1">
          <a:extLst>
            <a:ext uri="{FF2B5EF4-FFF2-40B4-BE49-F238E27FC236}">
              <a16:creationId xmlns:a16="http://schemas.microsoft.com/office/drawing/2014/main" id="{00000000-0008-0000-1000-0000331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8115" name="Picture 1">
          <a:extLst>
            <a:ext uri="{FF2B5EF4-FFF2-40B4-BE49-F238E27FC236}">
              <a16:creationId xmlns:a16="http://schemas.microsoft.com/office/drawing/2014/main" id="{00000000-0008-0000-1100-0000331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9139" name="Picture 1">
          <a:extLst>
            <a:ext uri="{FF2B5EF4-FFF2-40B4-BE49-F238E27FC236}">
              <a16:creationId xmlns:a16="http://schemas.microsoft.com/office/drawing/2014/main" id="{00000000-0008-0000-1200-0000332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89206" name="Picture 3">
          <a:extLst>
            <a:ext uri="{FF2B5EF4-FFF2-40B4-BE49-F238E27FC236}">
              <a16:creationId xmlns:a16="http://schemas.microsoft.com/office/drawing/2014/main" id="{00000000-0008-0000-1300-0000368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89153" name="Button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13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89154" name="Button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13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48" name="Picture 23">
          <a:extLst>
            <a:ext uri="{FF2B5EF4-FFF2-40B4-BE49-F238E27FC236}">
              <a16:creationId xmlns:a16="http://schemas.microsoft.com/office/drawing/2014/main" id="{00000000-0008-0000-0100-00008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94" name="Picture 21">
          <a:extLst>
            <a:ext uri="{FF2B5EF4-FFF2-40B4-BE49-F238E27FC236}">
              <a16:creationId xmlns:a16="http://schemas.microsoft.com/office/drawing/2014/main" id="{00000000-0008-0000-1400-000036B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14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307" name="Picture 1">
          <a:extLst>
            <a:ext uri="{FF2B5EF4-FFF2-40B4-BE49-F238E27FC236}">
              <a16:creationId xmlns:a16="http://schemas.microsoft.com/office/drawing/2014/main" id="{00000000-0008-0000-1500-0000333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55" name="Picture 1">
          <a:extLst>
            <a:ext uri="{FF2B5EF4-FFF2-40B4-BE49-F238E27FC236}">
              <a16:creationId xmlns:a16="http://schemas.microsoft.com/office/drawing/2014/main" id="{00000000-0008-0000-1600-0000334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379" name="Picture 1">
          <a:extLst>
            <a:ext uri="{FF2B5EF4-FFF2-40B4-BE49-F238E27FC236}">
              <a16:creationId xmlns:a16="http://schemas.microsoft.com/office/drawing/2014/main" id="{00000000-0008-0000-1700-0000334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0403" name="Picture 1">
          <a:extLst>
            <a:ext uri="{FF2B5EF4-FFF2-40B4-BE49-F238E27FC236}">
              <a16:creationId xmlns:a16="http://schemas.microsoft.com/office/drawing/2014/main" id="{00000000-0008-0000-1800-0000334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18" name="Picture 3">
          <a:extLst>
            <a:ext uri="{FF2B5EF4-FFF2-40B4-BE49-F238E27FC236}">
              <a16:creationId xmlns:a16="http://schemas.microsoft.com/office/drawing/2014/main" id="{00000000-0008-0000-1900-000036B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19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19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6" name="Picture 21">
          <a:extLst>
            <a:ext uri="{FF2B5EF4-FFF2-40B4-BE49-F238E27FC236}">
              <a16:creationId xmlns:a16="http://schemas.microsoft.com/office/drawing/2014/main" id="{00000000-0008-0000-0300-000088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3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74" name="Picture 1">
          <a:extLst>
            <a:ext uri="{FF2B5EF4-FFF2-40B4-BE49-F238E27FC236}">
              <a16:creationId xmlns:a16="http://schemas.microsoft.com/office/drawing/2014/main" id="{00000000-0008-0000-0400-000072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00146" name="Picture 1">
          <a:extLst>
            <a:ext uri="{FF2B5EF4-FFF2-40B4-BE49-F238E27FC236}">
              <a16:creationId xmlns:a16="http://schemas.microsoft.com/office/drawing/2014/main" id="{00000000-0008-0000-0500-000072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23" name="Picture 1">
          <a:extLst>
            <a:ext uri="{FF2B5EF4-FFF2-40B4-BE49-F238E27FC236}">
              <a16:creationId xmlns:a16="http://schemas.microsoft.com/office/drawing/2014/main" id="{00000000-0008-0000-0600-000063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32" name="Picture 3">
          <a:extLst>
            <a:ext uri="{FF2B5EF4-FFF2-40B4-BE49-F238E27FC236}">
              <a16:creationId xmlns:a16="http://schemas.microsoft.com/office/drawing/2014/main" id="{00000000-0008-0000-0700-0000788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7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7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95" name="Picture 21">
          <a:extLst>
            <a:ext uri="{FF2B5EF4-FFF2-40B4-BE49-F238E27FC236}">
              <a16:creationId xmlns:a16="http://schemas.microsoft.com/office/drawing/2014/main" id="{00000000-0008-0000-0800-000037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213360</xdr:colOff>
          <xdr:row>0</xdr:row>
          <xdr:rowOff>68580</xdr:rowOff>
        </xdr:from>
        <xdr:to>
          <xdr:col>14</xdr:col>
          <xdr:colOff>137160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8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08" name="Picture 3">
          <a:extLst>
            <a:ext uri="{FF2B5EF4-FFF2-40B4-BE49-F238E27FC236}">
              <a16:creationId xmlns:a16="http://schemas.microsoft.com/office/drawing/2014/main" id="{00000000-0008-0000-0900-000034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ctrlProp" Target="../ctrlProps/ctrlProp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3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8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64" t="s">
        <v>101</v>
      </c>
      <c r="B1" s="3"/>
      <c r="C1" s="3"/>
      <c r="D1" s="165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0" t="s">
        <v>19</v>
      </c>
      <c r="B5" s="21"/>
      <c r="C5" s="21"/>
      <c r="D5" s="21"/>
      <c r="E5" s="370"/>
      <c r="F5" s="22"/>
      <c r="G5" s="23"/>
    </row>
    <row r="6" spans="1:7" s="2" customFormat="1" ht="24.6" x14ac:dyDescent="0.25">
      <c r="A6" s="412" t="s">
        <v>124</v>
      </c>
      <c r="B6" s="371"/>
      <c r="C6" s="24"/>
      <c r="D6" s="25"/>
      <c r="E6" s="26"/>
      <c r="F6" s="5"/>
      <c r="G6" s="5"/>
    </row>
    <row r="7" spans="1:7" s="18" customFormat="1" ht="15" customHeight="1" x14ac:dyDescent="0.25">
      <c r="A7" s="191" t="s">
        <v>102</v>
      </c>
      <c r="B7" s="191" t="s">
        <v>103</v>
      </c>
      <c r="C7" s="191" t="s">
        <v>104</v>
      </c>
      <c r="D7" s="191" t="s">
        <v>105</v>
      </c>
      <c r="E7" s="191" t="s">
        <v>106</v>
      </c>
      <c r="F7" s="22"/>
      <c r="G7" s="23"/>
    </row>
    <row r="8" spans="1:7" s="2" customFormat="1" ht="16.5" customHeight="1" x14ac:dyDescent="0.25">
      <c r="A8" s="212" t="s">
        <v>125</v>
      </c>
      <c r="B8" s="212" t="s">
        <v>126</v>
      </c>
      <c r="C8" s="212" t="s">
        <v>127</v>
      </c>
      <c r="D8" s="212" t="s">
        <v>128</v>
      </c>
      <c r="E8" s="212"/>
      <c r="F8" s="5"/>
      <c r="G8" s="5"/>
    </row>
    <row r="9" spans="1:7" s="2" customFormat="1" ht="15" customHeight="1" x14ac:dyDescent="0.25">
      <c r="A9" s="190" t="s">
        <v>20</v>
      </c>
      <c r="B9" s="21"/>
      <c r="C9" s="191" t="s">
        <v>21</v>
      </c>
      <c r="D9" s="191"/>
      <c r="E9" s="192" t="s">
        <v>22</v>
      </c>
      <c r="F9" s="5"/>
      <c r="G9" s="5"/>
    </row>
    <row r="10" spans="1:7" s="2" customFormat="1" x14ac:dyDescent="0.25">
      <c r="A10" s="29" t="s">
        <v>119</v>
      </c>
      <c r="B10" s="30"/>
      <c r="C10" s="31" t="s">
        <v>120</v>
      </c>
      <c r="D10" s="191" t="s">
        <v>63</v>
      </c>
      <c r="E10" s="355" t="s">
        <v>121</v>
      </c>
      <c r="F10" s="5"/>
      <c r="G10" s="5"/>
    </row>
    <row r="11" spans="1:7" x14ac:dyDescent="0.25">
      <c r="A11" s="20"/>
      <c r="B11" s="21"/>
      <c r="C11" s="207" t="s">
        <v>61</v>
      </c>
      <c r="D11" s="207" t="s">
        <v>98</v>
      </c>
      <c r="E11" s="207" t="s">
        <v>99</v>
      </c>
      <c r="F11" s="33"/>
      <c r="G11" s="33"/>
    </row>
    <row r="12" spans="1:7" s="2" customFormat="1" x14ac:dyDescent="0.25">
      <c r="A12" s="166"/>
      <c r="B12" s="5"/>
      <c r="C12" s="213"/>
      <c r="D12" s="213" t="s">
        <v>123</v>
      </c>
      <c r="E12" s="213" t="s">
        <v>122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50"/>
      <c r="C17" s="167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indexed="11"/>
  </sheetPr>
  <dimension ref="A1:AK41"/>
  <sheetViews>
    <sheetView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01" t="s">
        <v>64</v>
      </c>
      <c r="B7" s="328">
        <v>1</v>
      </c>
      <c r="C7" s="291">
        <f>IF($B7="","",VLOOKUP($B7,'Lány 3B ELO'!$A$7:$O$22,5))</f>
        <v>0</v>
      </c>
      <c r="D7" s="291">
        <f>IF($B7="","",VLOOKUP($B7,'Lány 3B ELO'!$A$7:$O$22,15))</f>
        <v>0</v>
      </c>
      <c r="E7" s="286" t="str">
        <f>UPPER(IF($B7="","",VLOOKUP($B7,'Lány 3B ELO'!$A$7:$O$22,2)))</f>
        <v>BARANYI</v>
      </c>
      <c r="F7" s="292"/>
      <c r="G7" s="286" t="str">
        <f>IF($B7="","",VLOOKUP($B7,'Lány 3B ELO'!$A$7:$O$22,3))</f>
        <v>Petra Réka</v>
      </c>
      <c r="H7" s="292"/>
      <c r="I7" s="286" t="str">
        <f>IF($B7="","",VLOOKUP($B7,'Lány 3B ELO'!$A$7:$O$22,4))</f>
        <v>Kerekegyházi Móra Ferenc Általános Iskola és Alapfokú Művészeti Iskola</v>
      </c>
      <c r="J7" s="267"/>
      <c r="K7" s="363">
        <v>1</v>
      </c>
      <c r="L7" s="353"/>
      <c r="M7" s="364"/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29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28">
        <v>9</v>
      </c>
      <c r="C9" s="291">
        <f>IF($B9="","",VLOOKUP($B9,'Lány 3B ELO'!$A$7:$O$22,5))</f>
        <v>0</v>
      </c>
      <c r="D9" s="291">
        <f>IF($B9="","",VLOOKUP($B9,'Lány 3B ELO'!$A$7:$O$22,15))</f>
        <v>0</v>
      </c>
      <c r="E9" s="286" t="str">
        <f>UPPER(IF($B9="","",VLOOKUP($B9,'Lány 3B ELO'!$A$7:$O$22,2)))</f>
        <v xml:space="preserve">KOROKNAI </v>
      </c>
      <c r="F9" s="292"/>
      <c r="G9" s="286" t="str">
        <f>IF($B9="","",VLOOKUP($B9,'Lány 3B ELO'!$A$7:$O$22,3))</f>
        <v>Lilla</v>
      </c>
      <c r="H9" s="292"/>
      <c r="I9" s="286" t="str">
        <f>IF($B9="","",VLOOKUP($B9,'Lány 3B ELO'!$A$7:$O$22,4))</f>
        <v>Városligeti Magyar-Angol Két Tanítási Nyelvű Általános Iskola</v>
      </c>
      <c r="J9" s="267"/>
      <c r="K9" s="363"/>
      <c r="L9" s="353"/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29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28">
        <v>11</v>
      </c>
      <c r="C11" s="291">
        <f>IF($B11="","",VLOOKUP($B11,'Lány 3B ELO'!$A$7:$O$22,5))</f>
        <v>0</v>
      </c>
      <c r="D11" s="291">
        <f>IF($B11="","",VLOOKUP($B11,'Lány 3B ELO'!$A$7:$O$22,15))</f>
        <v>0</v>
      </c>
      <c r="E11" s="286" t="str">
        <f>UPPER(IF($B11="","",VLOOKUP($B11,'Lány 3B ELO'!$A$7:$O$22,2)))</f>
        <v>TAKÁCS</v>
      </c>
      <c r="F11" s="292"/>
      <c r="G11" s="286" t="str">
        <f>IF($B11="","",VLOOKUP($B11,'Lány 3B ELO'!$A$7:$O$22,3))</f>
        <v>Vivien</v>
      </c>
      <c r="H11" s="292"/>
      <c r="I11" s="286" t="str">
        <f>IF($B11="","",VLOOKUP($B11,'Lány 3B ELO'!$A$7:$O$22,4))</f>
        <v>Diószegi Kis István Református Két Tanítási Nyelvű Általános Iskola és Alapfokú Művészeti Iskola</v>
      </c>
      <c r="J11" s="267"/>
      <c r="K11" s="363"/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ht="18.75" customHeight="1" x14ac:dyDescent="0.25">
      <c r="A18" s="267"/>
      <c r="B18" s="455"/>
      <c r="C18" s="455"/>
      <c r="D18" s="456" t="str">
        <f>E7</f>
        <v>BARANYI</v>
      </c>
      <c r="E18" s="456"/>
      <c r="F18" s="456" t="str">
        <f>E9</f>
        <v xml:space="preserve">KOROKNAI </v>
      </c>
      <c r="G18" s="456"/>
      <c r="H18" s="456" t="str">
        <f>E11</f>
        <v>TAKÁCS</v>
      </c>
      <c r="I18" s="456"/>
      <c r="J18" s="267"/>
      <c r="K18" s="267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ht="18.75" customHeight="1" x14ac:dyDescent="0.25">
      <c r="A19" s="333" t="s">
        <v>64</v>
      </c>
      <c r="B19" s="458" t="str">
        <f>E7</f>
        <v>BARANYI</v>
      </c>
      <c r="C19" s="458"/>
      <c r="D19" s="459"/>
      <c r="E19" s="459"/>
      <c r="F19" s="460" t="s">
        <v>538</v>
      </c>
      <c r="G19" s="461"/>
      <c r="H19" s="460" t="s">
        <v>534</v>
      </c>
      <c r="I19" s="461"/>
      <c r="J19" s="267"/>
      <c r="K19" s="267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ht="18.75" customHeight="1" x14ac:dyDescent="0.25">
      <c r="A20" s="333" t="s">
        <v>65</v>
      </c>
      <c r="B20" s="458" t="str">
        <f>E9</f>
        <v xml:space="preserve">KOROKNAI </v>
      </c>
      <c r="C20" s="458"/>
      <c r="D20" s="460" t="s">
        <v>539</v>
      </c>
      <c r="E20" s="461"/>
      <c r="F20" s="459"/>
      <c r="G20" s="459"/>
      <c r="H20" s="460" t="s">
        <v>534</v>
      </c>
      <c r="I20" s="461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ht="18.75" customHeight="1" x14ac:dyDescent="0.25">
      <c r="A21" s="333" t="s">
        <v>66</v>
      </c>
      <c r="B21" s="458" t="str">
        <f>E11</f>
        <v>TAKÁCS</v>
      </c>
      <c r="C21" s="458"/>
      <c r="D21" s="460" t="s">
        <v>535</v>
      </c>
      <c r="E21" s="461"/>
      <c r="F21" s="460" t="s">
        <v>535</v>
      </c>
      <c r="G21" s="461"/>
      <c r="H21" s="459"/>
      <c r="I21" s="459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45"/>
    </row>
    <row r="33" spans="1:18" x14ac:dyDescent="0.25">
      <c r="A33" s="136" t="s">
        <v>43</v>
      </c>
      <c r="B33" s="137"/>
      <c r="C33" s="203"/>
      <c r="D33" s="309" t="s">
        <v>4</v>
      </c>
      <c r="E33" s="310" t="s">
        <v>45</v>
      </c>
      <c r="F33" s="324"/>
      <c r="G33" s="309" t="s">
        <v>4</v>
      </c>
      <c r="H33" s="310" t="s">
        <v>54</v>
      </c>
      <c r="I33" s="159"/>
      <c r="J33" s="310" t="s">
        <v>55</v>
      </c>
      <c r="K33" s="158" t="s">
        <v>56</v>
      </c>
      <c r="L33" s="33"/>
      <c r="M33" s="402"/>
      <c r="N33" s="401"/>
      <c r="P33" s="303"/>
      <c r="Q33" s="303"/>
      <c r="R33" s="304"/>
    </row>
    <row r="34" spans="1:18" x14ac:dyDescent="0.25">
      <c r="A34" s="278" t="s">
        <v>44</v>
      </c>
      <c r="B34" s="279"/>
      <c r="C34" s="281"/>
      <c r="D34" s="311"/>
      <c r="E34" s="462"/>
      <c r="F34" s="462"/>
      <c r="G34" s="318" t="s">
        <v>5</v>
      </c>
      <c r="H34" s="279"/>
      <c r="I34" s="312"/>
      <c r="J34" s="319"/>
      <c r="K34" s="273" t="s">
        <v>46</v>
      </c>
      <c r="L34" s="325"/>
      <c r="M34" s="315"/>
      <c r="P34" s="305"/>
      <c r="Q34" s="305"/>
      <c r="R34" s="306"/>
    </row>
    <row r="35" spans="1:18" x14ac:dyDescent="0.25">
      <c r="A35" s="282" t="s">
        <v>53</v>
      </c>
      <c r="B35" s="157"/>
      <c r="C35" s="284"/>
      <c r="D35" s="314"/>
      <c r="E35" s="463"/>
      <c r="F35" s="463"/>
      <c r="G35" s="320" t="s">
        <v>6</v>
      </c>
      <c r="H35" s="83"/>
      <c r="I35" s="271"/>
      <c r="J35" s="84"/>
      <c r="K35" s="322"/>
      <c r="L35" s="245"/>
      <c r="M35" s="317"/>
      <c r="P35" s="306"/>
      <c r="Q35" s="307"/>
      <c r="R35" s="306"/>
    </row>
    <row r="36" spans="1:18" x14ac:dyDescent="0.25">
      <c r="A36" s="172"/>
      <c r="B36" s="173"/>
      <c r="C36" s="174"/>
      <c r="D36" s="314"/>
      <c r="E36" s="85"/>
      <c r="F36" s="267"/>
      <c r="G36" s="320" t="s">
        <v>7</v>
      </c>
      <c r="H36" s="83"/>
      <c r="I36" s="271"/>
      <c r="J36" s="84"/>
      <c r="K36" s="273" t="s">
        <v>47</v>
      </c>
      <c r="L36" s="325"/>
      <c r="M36" s="313"/>
      <c r="P36" s="305"/>
      <c r="Q36" s="305"/>
      <c r="R36" s="306"/>
    </row>
    <row r="37" spans="1:18" x14ac:dyDescent="0.25">
      <c r="A37" s="148"/>
      <c r="B37" s="116"/>
      <c r="C37" s="149"/>
      <c r="D37" s="314"/>
      <c r="E37" s="85"/>
      <c r="F37" s="267"/>
      <c r="G37" s="320" t="s">
        <v>8</v>
      </c>
      <c r="H37" s="83"/>
      <c r="I37" s="271"/>
      <c r="J37" s="84"/>
      <c r="K37" s="323"/>
      <c r="L37" s="267"/>
      <c r="M37" s="315"/>
      <c r="P37" s="306"/>
      <c r="Q37" s="307"/>
      <c r="R37" s="306"/>
    </row>
    <row r="38" spans="1:18" x14ac:dyDescent="0.25">
      <c r="A38" s="161"/>
      <c r="B38" s="175"/>
      <c r="C38" s="202"/>
      <c r="D38" s="314"/>
      <c r="E38" s="85"/>
      <c r="F38" s="267"/>
      <c r="G38" s="320" t="s">
        <v>9</v>
      </c>
      <c r="H38" s="83"/>
      <c r="I38" s="271"/>
      <c r="J38" s="84"/>
      <c r="K38" s="282"/>
      <c r="L38" s="245"/>
      <c r="M38" s="317"/>
      <c r="P38" s="306"/>
      <c r="Q38" s="307"/>
      <c r="R38" s="306"/>
    </row>
    <row r="39" spans="1:18" x14ac:dyDescent="0.25">
      <c r="A39" s="162"/>
      <c r="B39" s="22"/>
      <c r="C39" s="149"/>
      <c r="D39" s="314"/>
      <c r="E39" s="85"/>
      <c r="F39" s="267"/>
      <c r="G39" s="320" t="s">
        <v>10</v>
      </c>
      <c r="H39" s="83"/>
      <c r="I39" s="271"/>
      <c r="J39" s="84"/>
      <c r="K39" s="273" t="s">
        <v>33</v>
      </c>
      <c r="L39" s="325"/>
      <c r="M39" s="313"/>
      <c r="P39" s="305"/>
      <c r="Q39" s="305"/>
      <c r="R39" s="306"/>
    </row>
    <row r="40" spans="1:18" x14ac:dyDescent="0.25">
      <c r="A40" s="162"/>
      <c r="B40" s="22"/>
      <c r="C40" s="170"/>
      <c r="D40" s="314"/>
      <c r="E40" s="85"/>
      <c r="F40" s="267"/>
      <c r="G40" s="320" t="s">
        <v>11</v>
      </c>
      <c r="H40" s="83"/>
      <c r="I40" s="271"/>
      <c r="J40" s="84"/>
      <c r="K40" s="323"/>
      <c r="L40" s="267"/>
      <c r="M40" s="315"/>
      <c r="P40" s="306"/>
      <c r="Q40" s="307"/>
      <c r="R40" s="306"/>
    </row>
    <row r="41" spans="1:18" x14ac:dyDescent="0.25">
      <c r="A41" s="163"/>
      <c r="B41" s="160"/>
      <c r="C41" s="171"/>
      <c r="D41" s="316"/>
      <c r="E41" s="150"/>
      <c r="F41" s="245"/>
      <c r="G41" s="321" t="s">
        <v>12</v>
      </c>
      <c r="H41" s="157"/>
      <c r="I41" s="275"/>
      <c r="J41" s="152"/>
      <c r="K41" s="282" t="str">
        <f>L4</f>
        <v>Rákóczi Andrea</v>
      </c>
      <c r="L41" s="245"/>
      <c r="M41" s="317"/>
      <c r="P41" s="306"/>
      <c r="Q41" s="307"/>
      <c r="R41" s="308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23" priority="2" stopIfTrue="1" operator="equal">
      <formula>"Bye"</formula>
    </cfRule>
  </conditionalFormatting>
  <conditionalFormatting sqref="R41">
    <cfRule type="expression" dxfId="12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indexed="11"/>
  </sheetPr>
  <dimension ref="A1:AK41"/>
  <sheetViews>
    <sheetView workbookViewId="0">
      <selection activeCell="N19" sqref="N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354"/>
      <c r="M4" s="233" t="str">
        <f>Altalanos!$E$10</f>
        <v>Rákóczi Andrea</v>
      </c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01" t="s">
        <v>64</v>
      </c>
      <c r="B7" s="328">
        <v>2</v>
      </c>
      <c r="C7" s="330">
        <f>IF($B7="","",VLOOKUP($B7,'Lány 3B ELO'!$A$7:$O$22,5))</f>
        <v>0</v>
      </c>
      <c r="D7" s="330">
        <f>IF($B7="","",VLOOKUP($B7,'Lány 3B ELO'!$A$7:$O$22,15))</f>
        <v>0</v>
      </c>
      <c r="E7" s="457" t="str">
        <f>UPPER(IF($B7="","",VLOOKUP($B7,'Lány 3B ELO'!$A$7:$O$22,2)))</f>
        <v>HASANOVIC</v>
      </c>
      <c r="F7" s="457"/>
      <c r="G7" s="457" t="str">
        <f>IF($B7="","",VLOOKUP($B7,'Lány 3B ELO'!$A$7:$O$22,3))</f>
        <v>Leila</v>
      </c>
      <c r="H7" s="457"/>
      <c r="I7" s="331" t="str">
        <f>IF($B7="","",VLOOKUP($B7,'Lány 3B ELO'!$A$7:$O$22,4))</f>
        <v>Mohács Térségi Ált.Isk.</v>
      </c>
      <c r="J7" s="267"/>
      <c r="K7" s="363"/>
      <c r="L7" s="353"/>
      <c r="M7" s="364"/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29"/>
      <c r="C8" s="332"/>
      <c r="D8" s="332"/>
      <c r="E8" s="332"/>
      <c r="F8" s="332"/>
      <c r="G8" s="332"/>
      <c r="H8" s="332"/>
      <c r="I8" s="33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28">
        <v>16</v>
      </c>
      <c r="C9" s="330">
        <f>IF($B9="","",VLOOKUP($B9,'Lány 3B ELO'!$A$7:$O$22,5))</f>
        <v>0</v>
      </c>
      <c r="D9" s="330">
        <f>IF($B9="","",VLOOKUP($B9,'Lány 3B ELO'!$A$7:$O$22,15))</f>
        <v>0</v>
      </c>
      <c r="E9" s="457" t="str">
        <f>UPPER(IF($B9="","",VLOOKUP($B9,'Lány 3B ELO'!$A$7:$O$22,2)))</f>
        <v xml:space="preserve">SZABÓ </v>
      </c>
      <c r="F9" s="457"/>
      <c r="G9" s="457" t="str">
        <f>IF($B9="","",VLOOKUP($B9,'Lány 3B ELO'!$A$7:$O$22,3))</f>
        <v>Kincső</v>
      </c>
      <c r="H9" s="457"/>
      <c r="I9" s="331" t="str">
        <f>IF($B9="","",VLOOKUP($B9,'Lány 3B ELO'!$A$7:$O$22,4))</f>
        <v>Esztergomi Dobó Katalin Gimnázium</v>
      </c>
      <c r="J9" s="267"/>
      <c r="K9" s="363">
        <v>1</v>
      </c>
      <c r="L9" s="353"/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29"/>
      <c r="C10" s="332"/>
      <c r="D10" s="332"/>
      <c r="E10" s="332"/>
      <c r="F10" s="332"/>
      <c r="G10" s="332"/>
      <c r="H10" s="332"/>
      <c r="I10" s="33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28">
        <v>7</v>
      </c>
      <c r="C11" s="330">
        <f>IF($B11="","",VLOOKUP($B11,'Lány 3B ELO'!$A$7:$O$22,5))</f>
        <v>0</v>
      </c>
      <c r="D11" s="330">
        <f>IF($B11="","",VLOOKUP($B11,'Lány 3B ELO'!$A$7:$O$22,15))</f>
        <v>0</v>
      </c>
      <c r="E11" s="457" t="str">
        <f>UPPER(IF($B11="","",VLOOKUP($B11,'Lány 3B ELO'!$A$7:$O$22,2)))</f>
        <v>PLACHY</v>
      </c>
      <c r="F11" s="457"/>
      <c r="G11" s="457" t="str">
        <f>IF($B11="","",VLOOKUP($B11,'Lány 3B ELO'!$A$7:$O$22,3))</f>
        <v>Patrícia</v>
      </c>
      <c r="H11" s="457"/>
      <c r="I11" s="331" t="str">
        <f>IF($B11="","",VLOOKUP($B11,'Lány 3B ELO'!$A$7:$O$22,4))</f>
        <v>Kazincbarcikai Pollack Mihály Általános Iskola</v>
      </c>
      <c r="J11" s="267"/>
      <c r="K11" s="363"/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301"/>
      <c r="B12" s="329"/>
      <c r="C12" s="332"/>
      <c r="D12" s="332"/>
      <c r="E12" s="332"/>
      <c r="F12" s="332"/>
      <c r="G12" s="332"/>
      <c r="H12" s="332"/>
      <c r="I12" s="332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01" t="s">
        <v>71</v>
      </c>
      <c r="B13" s="328"/>
      <c r="C13" s="330" t="str">
        <f>IF($B13="","",VLOOKUP($B13,'Lány 3B ELO'!$A$7:$O$22,5))</f>
        <v/>
      </c>
      <c r="D13" s="330" t="str">
        <f>IF($B13="","",VLOOKUP($B13,'Lány 3B ELO'!$A$7:$O$22,15))</f>
        <v/>
      </c>
      <c r="E13" s="457" t="str">
        <f>UPPER(IF($B13="","",VLOOKUP($B13,'Lány 3B ELO'!$A$7:$O$22,2)))</f>
        <v/>
      </c>
      <c r="F13" s="457"/>
      <c r="G13" s="457" t="str">
        <f>IF($B13="","",VLOOKUP($B13,'Lány 3B ELO'!$A$7:$O$22,3))</f>
        <v/>
      </c>
      <c r="H13" s="457"/>
      <c r="I13" s="331" t="str">
        <f>IF($B13="","",VLOOKUP($B13,'Lány 3B ELO'!$A$7:$O$22,4))</f>
        <v/>
      </c>
      <c r="J13" s="267"/>
      <c r="K13" s="363"/>
      <c r="L13" s="353"/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ht="18.75" customHeight="1" x14ac:dyDescent="0.25">
      <c r="A18" s="267"/>
      <c r="B18" s="455"/>
      <c r="C18" s="455"/>
      <c r="D18" s="456" t="str">
        <f>E7</f>
        <v>HASANOVIC</v>
      </c>
      <c r="E18" s="456"/>
      <c r="F18" s="456" t="str">
        <f>E9</f>
        <v xml:space="preserve">SZABÓ </v>
      </c>
      <c r="G18" s="456"/>
      <c r="H18" s="456" t="str">
        <f>E11</f>
        <v>PLACHY</v>
      </c>
      <c r="I18" s="456"/>
      <c r="J18" s="456" t="str">
        <f>E13</f>
        <v/>
      </c>
      <c r="K18" s="456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ht="18.75" customHeight="1" x14ac:dyDescent="0.25">
      <c r="A19" s="333" t="s">
        <v>64</v>
      </c>
      <c r="B19" s="458" t="str">
        <f>E7</f>
        <v>HASANOVIC</v>
      </c>
      <c r="C19" s="458"/>
      <c r="D19" s="459"/>
      <c r="E19" s="459"/>
      <c r="F19" s="460" t="s">
        <v>535</v>
      </c>
      <c r="G19" s="461"/>
      <c r="H19" s="460" t="s">
        <v>539</v>
      </c>
      <c r="I19" s="461"/>
      <c r="J19" s="465"/>
      <c r="K19" s="465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ht="18.75" customHeight="1" x14ac:dyDescent="0.25">
      <c r="A20" s="333" t="s">
        <v>65</v>
      </c>
      <c r="B20" s="458" t="str">
        <f>E9</f>
        <v xml:space="preserve">SZABÓ </v>
      </c>
      <c r="C20" s="458"/>
      <c r="D20" s="460" t="s">
        <v>534</v>
      </c>
      <c r="E20" s="461"/>
      <c r="F20" s="459"/>
      <c r="G20" s="459"/>
      <c r="H20" s="460" t="s">
        <v>536</v>
      </c>
      <c r="I20" s="461"/>
      <c r="J20" s="461"/>
      <c r="K20" s="461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ht="18.75" customHeight="1" x14ac:dyDescent="0.25">
      <c r="A21" s="333" t="s">
        <v>66</v>
      </c>
      <c r="B21" s="458" t="str">
        <f>E11</f>
        <v>PLACHY</v>
      </c>
      <c r="C21" s="458"/>
      <c r="D21" s="460" t="s">
        <v>538</v>
      </c>
      <c r="E21" s="461"/>
      <c r="F21" s="460" t="s">
        <v>537</v>
      </c>
      <c r="G21" s="461"/>
      <c r="H21" s="459"/>
      <c r="I21" s="459"/>
      <c r="J21" s="461"/>
      <c r="K21" s="461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333" t="s">
        <v>71</v>
      </c>
      <c r="B22" s="458" t="str">
        <f>E13</f>
        <v/>
      </c>
      <c r="C22" s="458"/>
      <c r="D22" s="461"/>
      <c r="E22" s="461"/>
      <c r="F22" s="461"/>
      <c r="G22" s="461"/>
      <c r="H22" s="465"/>
      <c r="I22" s="465"/>
      <c r="J22" s="459"/>
      <c r="K22" s="459"/>
      <c r="L22" s="267"/>
      <c r="M22" s="267"/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9" t="s">
        <v>4</v>
      </c>
      <c r="E33" s="310" t="s">
        <v>45</v>
      </c>
      <c r="F33" s="324"/>
      <c r="G33" s="309" t="s">
        <v>4</v>
      </c>
      <c r="H33" s="310" t="s">
        <v>54</v>
      </c>
      <c r="I33" s="159"/>
      <c r="J33" s="310" t="s">
        <v>55</v>
      </c>
      <c r="K33" s="158" t="s">
        <v>56</v>
      </c>
      <c r="L33" s="33"/>
      <c r="M33" s="324"/>
      <c r="P33" s="303"/>
      <c r="Q33" s="303"/>
      <c r="R33" s="304"/>
    </row>
    <row r="34" spans="1:18" x14ac:dyDescent="0.25">
      <c r="A34" s="278" t="s">
        <v>44</v>
      </c>
      <c r="B34" s="279"/>
      <c r="C34" s="281"/>
      <c r="D34" s="311"/>
      <c r="E34" s="462"/>
      <c r="F34" s="462"/>
      <c r="G34" s="318" t="s">
        <v>5</v>
      </c>
      <c r="H34" s="279"/>
      <c r="I34" s="312"/>
      <c r="J34" s="319"/>
      <c r="K34" s="273" t="s">
        <v>46</v>
      </c>
      <c r="L34" s="325"/>
      <c r="M34" s="313"/>
      <c r="P34" s="305"/>
      <c r="Q34" s="305"/>
      <c r="R34" s="306"/>
    </row>
    <row r="35" spans="1:18" x14ac:dyDescent="0.25">
      <c r="A35" s="282" t="s">
        <v>53</v>
      </c>
      <c r="B35" s="157"/>
      <c r="C35" s="284"/>
      <c r="D35" s="314"/>
      <c r="E35" s="463"/>
      <c r="F35" s="463"/>
      <c r="G35" s="320" t="s">
        <v>6</v>
      </c>
      <c r="H35" s="83"/>
      <c r="I35" s="271"/>
      <c r="J35" s="84"/>
      <c r="K35" s="322"/>
      <c r="L35" s="245"/>
      <c r="M35" s="317"/>
      <c r="P35" s="306"/>
      <c r="Q35" s="307"/>
      <c r="R35" s="306"/>
    </row>
    <row r="36" spans="1:18" x14ac:dyDescent="0.25">
      <c r="A36" s="172"/>
      <c r="B36" s="173"/>
      <c r="C36" s="174"/>
      <c r="D36" s="314"/>
      <c r="E36" s="85"/>
      <c r="F36" s="267"/>
      <c r="G36" s="320" t="s">
        <v>7</v>
      </c>
      <c r="H36" s="83"/>
      <c r="I36" s="271"/>
      <c r="J36" s="84"/>
      <c r="K36" s="273" t="s">
        <v>47</v>
      </c>
      <c r="L36" s="325"/>
      <c r="M36" s="313"/>
      <c r="P36" s="305"/>
      <c r="Q36" s="305"/>
      <c r="R36" s="306"/>
    </row>
    <row r="37" spans="1:18" x14ac:dyDescent="0.25">
      <c r="A37" s="148"/>
      <c r="B37" s="116"/>
      <c r="C37" s="149"/>
      <c r="D37" s="314"/>
      <c r="E37" s="85"/>
      <c r="F37" s="267"/>
      <c r="G37" s="320" t="s">
        <v>8</v>
      </c>
      <c r="H37" s="83"/>
      <c r="I37" s="271"/>
      <c r="J37" s="84"/>
      <c r="K37" s="323"/>
      <c r="L37" s="267"/>
      <c r="M37" s="315"/>
      <c r="P37" s="306"/>
      <c r="Q37" s="307"/>
      <c r="R37" s="306"/>
    </row>
    <row r="38" spans="1:18" x14ac:dyDescent="0.25">
      <c r="A38" s="161"/>
      <c r="B38" s="175"/>
      <c r="C38" s="202"/>
      <c r="D38" s="314"/>
      <c r="E38" s="85"/>
      <c r="F38" s="267"/>
      <c r="G38" s="320" t="s">
        <v>9</v>
      </c>
      <c r="H38" s="83"/>
      <c r="I38" s="271"/>
      <c r="J38" s="84"/>
      <c r="K38" s="282"/>
      <c r="L38" s="245"/>
      <c r="M38" s="317"/>
      <c r="P38" s="306"/>
      <c r="Q38" s="307"/>
      <c r="R38" s="306"/>
    </row>
    <row r="39" spans="1:18" x14ac:dyDescent="0.25">
      <c r="A39" s="162"/>
      <c r="B39" s="22"/>
      <c r="C39" s="149"/>
      <c r="D39" s="314"/>
      <c r="E39" s="85"/>
      <c r="F39" s="267"/>
      <c r="G39" s="320" t="s">
        <v>10</v>
      </c>
      <c r="H39" s="83"/>
      <c r="I39" s="271"/>
      <c r="J39" s="84"/>
      <c r="K39" s="273" t="s">
        <v>33</v>
      </c>
      <c r="L39" s="325"/>
      <c r="M39" s="313"/>
      <c r="P39" s="305"/>
      <c r="Q39" s="305"/>
      <c r="R39" s="306"/>
    </row>
    <row r="40" spans="1:18" x14ac:dyDescent="0.25">
      <c r="A40" s="162"/>
      <c r="B40" s="22"/>
      <c r="C40" s="170"/>
      <c r="D40" s="314"/>
      <c r="E40" s="85"/>
      <c r="F40" s="267"/>
      <c r="G40" s="320" t="s">
        <v>11</v>
      </c>
      <c r="H40" s="83"/>
      <c r="I40" s="271"/>
      <c r="J40" s="84"/>
      <c r="K40" s="323"/>
      <c r="L40" s="267"/>
      <c r="M40" s="315"/>
      <c r="P40" s="306"/>
      <c r="Q40" s="307"/>
      <c r="R40" s="306"/>
    </row>
    <row r="41" spans="1:18" x14ac:dyDescent="0.25">
      <c r="A41" s="163"/>
      <c r="B41" s="160"/>
      <c r="C41" s="171"/>
      <c r="D41" s="316"/>
      <c r="E41" s="150"/>
      <c r="F41" s="245"/>
      <c r="G41" s="321" t="s">
        <v>12</v>
      </c>
      <c r="H41" s="157"/>
      <c r="I41" s="275"/>
      <c r="J41" s="152"/>
      <c r="K41" s="282" t="str">
        <f>M4</f>
        <v>Rákóczi Andrea</v>
      </c>
      <c r="L41" s="245"/>
      <c r="M41" s="317"/>
      <c r="P41" s="306"/>
      <c r="Q41" s="307"/>
      <c r="R41" s="308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21" priority="2" stopIfTrue="1" operator="equal">
      <formula>"Bye"</formula>
    </cfRule>
  </conditionalFormatting>
  <conditionalFormatting sqref="R41">
    <cfRule type="expression" dxfId="1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5">
    <tabColor indexed="11"/>
  </sheetPr>
  <dimension ref="A1:AK47"/>
  <sheetViews>
    <sheetView topLeftCell="A10" workbookViewId="0">
      <selection activeCell="M28" sqref="M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O5" s="341" t="s">
        <v>78</v>
      </c>
      <c r="P5" s="342" t="s">
        <v>84</v>
      </c>
      <c r="R5" s="341" t="s">
        <v>78</v>
      </c>
      <c r="S5" s="403" t="s">
        <v>110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O6" s="343" t="s">
        <v>85</v>
      </c>
      <c r="P6" s="344" t="s">
        <v>80</v>
      </c>
      <c r="R6" s="343" t="s">
        <v>85</v>
      </c>
      <c r="S6" s="404" t="s">
        <v>111</v>
      </c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3</v>
      </c>
      <c r="C7" s="291">
        <f>IF($B7="","",VLOOKUP($B7,'Lány 3B ELO'!$A$7:$O$22,5))</f>
        <v>0</v>
      </c>
      <c r="D7" s="291">
        <f>IF($B7="","",VLOOKUP($B7,'Lány 3B ELO'!$A$7:$O$22,15))</f>
        <v>0</v>
      </c>
      <c r="E7" s="287" t="str">
        <f>UPPER(IF($B7="","",VLOOKUP($B7,'Lány 3B ELO'!$A$7:$O$22,2)))</f>
        <v>REISZ</v>
      </c>
      <c r="F7" s="290"/>
      <c r="G7" s="287" t="str">
        <f>IF($B7="","",VLOOKUP($B7,'Lány 3B ELO'!$A$7:$O$22,3))</f>
        <v>Inez</v>
      </c>
      <c r="H7" s="290"/>
      <c r="I7" s="287" t="str">
        <f>IF($B7="","",VLOOKUP($B7,'Lány 3B ELO'!$A$7:$O$22,4))</f>
        <v>Bólyi Ált. Isk.</v>
      </c>
      <c r="J7" s="267"/>
      <c r="K7" s="363"/>
      <c r="L7" s="353" t="str">
        <f>IF(K7="","",CONCATENATE(VLOOKUP($Y$3,$AB$1:$AK$1,K7)," pont"))</f>
        <v/>
      </c>
      <c r="M7" s="364"/>
      <c r="O7" s="345" t="s">
        <v>86</v>
      </c>
      <c r="P7" s="346" t="s">
        <v>82</v>
      </c>
      <c r="R7" s="345" t="s">
        <v>86</v>
      </c>
      <c r="S7" s="405" t="s">
        <v>87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12</v>
      </c>
      <c r="C9" s="291">
        <f>IF($B9="","",VLOOKUP($B9,'Lány 3B ELO'!$A$7:$O$22,5))</f>
        <v>0</v>
      </c>
      <c r="D9" s="291">
        <f>IF($B9="","",VLOOKUP($B9,'Lány 3B ELO'!$A$7:$O$22,15))</f>
        <v>0</v>
      </c>
      <c r="E9" s="286" t="str">
        <f>UPPER(IF($B9="","",VLOOKUP($B9,'Lány 3B ELO'!$A$7:$O$22,2)))</f>
        <v>PÓS</v>
      </c>
      <c r="F9" s="292"/>
      <c r="G9" s="286" t="str">
        <f>IF($B9="","",VLOOKUP($B9,'Lány 3B ELO'!$A$7:$O$22,3))</f>
        <v>Borbála</v>
      </c>
      <c r="H9" s="292"/>
      <c r="I9" s="286" t="str">
        <f>IF($B9="","",VLOOKUP($B9,'Lány 3B ELO'!$A$7:$O$22,4))</f>
        <v>Gyöngyössolymosi Nagy Gyula Katolikus Általános Iskola és Alapfokú Művészeti Iskola</v>
      </c>
      <c r="J9" s="267"/>
      <c r="K9" s="363"/>
      <c r="L9" s="353" t="str">
        <f>IF(K9="","",CONCATENATE(VLOOKUP($Y$3,$AB$1:$AK$1,K9)," pont"))</f>
        <v/>
      </c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ht="14.4" x14ac:dyDescent="0.3">
      <c r="A11" s="301" t="s">
        <v>66</v>
      </c>
      <c r="B11" s="349"/>
      <c r="C11" s="291">
        <v>0</v>
      </c>
      <c r="D11" s="291">
        <v>0</v>
      </c>
      <c r="E11" s="425" t="s">
        <v>354</v>
      </c>
      <c r="F11" s="292"/>
      <c r="G11" s="425" t="s">
        <v>259</v>
      </c>
      <c r="H11" s="292"/>
      <c r="I11" s="428" t="s">
        <v>336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4</v>
      </c>
      <c r="C13" s="291">
        <f>IF($B13="","",VLOOKUP($B13,'Lány 3B ELO'!$A$7:$O$22,5))</f>
        <v>0</v>
      </c>
      <c r="D13" s="291">
        <f>IF($B13="","",VLOOKUP($B13,'Lány 3B ELO'!$A$7:$O$22,15))</f>
        <v>0</v>
      </c>
      <c r="E13" s="287" t="str">
        <f>UPPER(IF($B13="","",VLOOKUP($B13,'Lány 3B ELO'!$A$7:$O$22,2)))</f>
        <v xml:space="preserve">KACZKÓ </v>
      </c>
      <c r="F13" s="290"/>
      <c r="G13" s="287" t="str">
        <f>IF($B13="","",VLOOKUP($B13,'Lány 3B ELO'!$A$7:$O$22,3))</f>
        <v>Olga</v>
      </c>
      <c r="H13" s="290"/>
      <c r="I13" s="287" t="str">
        <f>IF($B13="","",VLOOKUP($B13,'Lány 3B ELO'!$A$7:$O$22,4))</f>
        <v>Orosháza Református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01" t="s">
        <v>72</v>
      </c>
      <c r="B15" s="349"/>
      <c r="C15" s="291">
        <v>0</v>
      </c>
      <c r="D15" s="291">
        <v>0</v>
      </c>
      <c r="E15" s="425" t="s">
        <v>352</v>
      </c>
      <c r="F15" s="292"/>
      <c r="G15" s="425" t="s">
        <v>327</v>
      </c>
      <c r="H15" s="292"/>
      <c r="I15" s="425" t="s">
        <v>353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10</v>
      </c>
      <c r="C17" s="291">
        <f>IF($B17="","",VLOOKUP($B17,'Lány 3B ELO'!$A$7:$O$22,5))</f>
        <v>0</v>
      </c>
      <c r="D17" s="291">
        <f>IF($B17="","",VLOOKUP($B17,'Lány 3B ELO'!$A$7:$O$22,15))</f>
        <v>0</v>
      </c>
      <c r="E17" s="286" t="str">
        <f>UPPER(IF($B17="","",VLOOKUP($B17,'Lány 3B ELO'!$A$7:$O$22,2)))</f>
        <v>KARI</v>
      </c>
      <c r="F17" s="292"/>
      <c r="G17" s="286" t="str">
        <f>IF($B17="","",VLOOKUP($B17,'Lány 3B ELO'!$A$7:$O$22,3))</f>
        <v>Lilla</v>
      </c>
      <c r="H17" s="292"/>
      <c r="I17" s="286" t="str">
        <f>IF($B17="","",VLOOKUP($B17,'Lány 3B ELO'!$A$7:$O$22,4))</f>
        <v>Berettyóújfalui József Attila Általános Iskola és Alapfokú Művészeti Iskola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 t="str">
        <f>E7</f>
        <v>REISZ</v>
      </c>
      <c r="E22" s="456"/>
      <c r="F22" s="456" t="str">
        <f>E9</f>
        <v>PÓS</v>
      </c>
      <c r="G22" s="456"/>
      <c r="H22" s="456" t="str">
        <f>E11</f>
        <v>ŐRI</v>
      </c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58" t="str">
        <f>E7</f>
        <v>REISZ</v>
      </c>
      <c r="C23" s="458"/>
      <c r="D23" s="459"/>
      <c r="E23" s="459"/>
      <c r="F23" s="460" t="s">
        <v>539</v>
      </c>
      <c r="G23" s="461"/>
      <c r="H23" s="460" t="s">
        <v>539</v>
      </c>
      <c r="I23" s="461"/>
      <c r="J23" s="267"/>
      <c r="K23" s="267"/>
      <c r="L23" s="267"/>
      <c r="M23" s="336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58" t="str">
        <f>E9</f>
        <v>PÓS</v>
      </c>
      <c r="C24" s="458"/>
      <c r="D24" s="460" t="s">
        <v>538</v>
      </c>
      <c r="E24" s="461"/>
      <c r="F24" s="459"/>
      <c r="G24" s="459"/>
      <c r="H24" s="460" t="s">
        <v>553</v>
      </c>
      <c r="I24" s="461"/>
      <c r="J24" s="267"/>
      <c r="K24" s="267"/>
      <c r="L24" s="267"/>
      <c r="M24" s="336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58" t="str">
        <f>E11</f>
        <v>ŐRI</v>
      </c>
      <c r="C25" s="458"/>
      <c r="D25" s="460" t="s">
        <v>538</v>
      </c>
      <c r="E25" s="461"/>
      <c r="F25" s="460" t="s">
        <v>552</v>
      </c>
      <c r="G25" s="461"/>
      <c r="H25" s="459"/>
      <c r="I25" s="459"/>
      <c r="J25" s="267"/>
      <c r="K25" s="267"/>
      <c r="L25" s="267"/>
      <c r="M25" s="336">
        <v>1</v>
      </c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439"/>
      <c r="E26" s="439"/>
      <c r="F26" s="439"/>
      <c r="G26" s="439"/>
      <c r="H26" s="439"/>
      <c r="I26" s="439"/>
      <c r="J26" s="267"/>
      <c r="K26" s="267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55"/>
      <c r="C27" s="455"/>
      <c r="D27" s="465" t="str">
        <f>E13</f>
        <v xml:space="preserve">KACZKÓ </v>
      </c>
      <c r="E27" s="465"/>
      <c r="F27" s="465" t="str">
        <f>E15</f>
        <v>RAKITA</v>
      </c>
      <c r="G27" s="465"/>
      <c r="H27" s="465" t="str">
        <f>E17</f>
        <v>KARI</v>
      </c>
      <c r="I27" s="465"/>
      <c r="J27" s="267"/>
      <c r="K27" s="267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58" t="str">
        <f>E13</f>
        <v xml:space="preserve">KACZKÓ </v>
      </c>
      <c r="C28" s="458"/>
      <c r="D28" s="459"/>
      <c r="E28" s="459"/>
      <c r="F28" s="460" t="s">
        <v>534</v>
      </c>
      <c r="G28" s="461"/>
      <c r="H28" s="460" t="s">
        <v>538</v>
      </c>
      <c r="I28" s="461"/>
      <c r="J28" s="267"/>
      <c r="K28" s="267"/>
      <c r="L28" s="267"/>
      <c r="M28" s="336">
        <v>1</v>
      </c>
    </row>
    <row r="29" spans="1:37" ht="18.75" customHeight="1" x14ac:dyDescent="0.25">
      <c r="A29" s="333" t="s">
        <v>72</v>
      </c>
      <c r="B29" s="458" t="str">
        <f>E15</f>
        <v>RAKITA</v>
      </c>
      <c r="C29" s="458"/>
      <c r="D29" s="460" t="s">
        <v>535</v>
      </c>
      <c r="E29" s="461"/>
      <c r="F29" s="459"/>
      <c r="G29" s="459"/>
      <c r="H29" s="460" t="s">
        <v>538</v>
      </c>
      <c r="I29" s="461"/>
      <c r="J29" s="267"/>
      <c r="K29" s="267"/>
      <c r="L29" s="267"/>
      <c r="M29" s="336"/>
    </row>
    <row r="30" spans="1:37" ht="18.75" customHeight="1" x14ac:dyDescent="0.25">
      <c r="A30" s="333" t="s">
        <v>73</v>
      </c>
      <c r="B30" s="458" t="str">
        <f>E17</f>
        <v>KARI</v>
      </c>
      <c r="C30" s="458"/>
      <c r="D30" s="460" t="s">
        <v>539</v>
      </c>
      <c r="E30" s="461"/>
      <c r="F30" s="460" t="s">
        <v>539</v>
      </c>
      <c r="G30" s="461"/>
      <c r="H30" s="459"/>
      <c r="I30" s="459"/>
      <c r="J30" s="267"/>
      <c r="K30" s="267"/>
      <c r="L30" s="267"/>
      <c r="M30" s="336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 t="s">
        <v>58</v>
      </c>
      <c r="B32" s="267"/>
      <c r="C32" s="468" t="str">
        <f>IF(M23=1,B23,IF(M24=1,B24,IF(M25=1,B25,"")))</f>
        <v>ŐRI</v>
      </c>
      <c r="D32" s="468"/>
      <c r="E32" s="301" t="s">
        <v>75</v>
      </c>
      <c r="F32" s="468" t="str">
        <f>IF(M28=1,B28,IF(M29=1,B29,IF(M30=1,B30,"")))</f>
        <v xml:space="preserve">KACZKÓ </v>
      </c>
      <c r="G32" s="468"/>
      <c r="H32" s="267"/>
      <c r="I32" s="245"/>
      <c r="J32" s="267"/>
      <c r="K32" s="267"/>
      <c r="L32" s="267"/>
      <c r="M32" s="267"/>
    </row>
    <row r="33" spans="1:18" x14ac:dyDescent="0.25">
      <c r="A33" s="267"/>
      <c r="B33" s="267"/>
      <c r="C33" s="267"/>
      <c r="D33" s="267"/>
      <c r="E33" s="267"/>
      <c r="F33" s="301"/>
      <c r="G33" s="301"/>
      <c r="H33" s="267"/>
      <c r="I33" s="267"/>
      <c r="J33" s="267"/>
      <c r="K33" s="267"/>
      <c r="L33" s="267"/>
      <c r="M33" s="267"/>
    </row>
    <row r="34" spans="1:18" x14ac:dyDescent="0.25">
      <c r="A34" s="267" t="s">
        <v>74</v>
      </c>
      <c r="B34" s="267"/>
      <c r="C34" s="468" t="str">
        <f>IF(M23=2,B23,IF(M24=2,B24,IF(M25=2,B25,"")))</f>
        <v/>
      </c>
      <c r="D34" s="468"/>
      <c r="E34" s="301" t="s">
        <v>75</v>
      </c>
      <c r="F34" s="468" t="str">
        <f>IF(M28=2,B28,IF(M29=2,B29,IF(M30=2,B30,"")))</f>
        <v/>
      </c>
      <c r="G34" s="468"/>
      <c r="H34" s="267"/>
      <c r="I34" s="245"/>
      <c r="J34" s="267"/>
      <c r="K34" s="267"/>
      <c r="L34" s="267"/>
      <c r="M34" s="267"/>
    </row>
    <row r="35" spans="1:18" x14ac:dyDescent="0.25">
      <c r="A35" s="267"/>
      <c r="B35" s="267"/>
      <c r="C35" s="301"/>
      <c r="D35" s="301"/>
      <c r="E35" s="301"/>
      <c r="F35" s="301"/>
      <c r="G35" s="301"/>
      <c r="H35" s="267"/>
      <c r="I35" s="267"/>
      <c r="J35" s="267"/>
      <c r="K35" s="267"/>
      <c r="L35" s="267"/>
      <c r="M35" s="267"/>
    </row>
    <row r="36" spans="1:18" x14ac:dyDescent="0.25">
      <c r="A36" s="267" t="s">
        <v>76</v>
      </c>
      <c r="B36" s="267"/>
      <c r="C36" s="468" t="str">
        <f>IF(M23=3,B23,IF(M24=3,B24,IF(M25=3,B25,"")))</f>
        <v/>
      </c>
      <c r="D36" s="468"/>
      <c r="E36" s="301" t="s">
        <v>75</v>
      </c>
      <c r="F36" s="468" t="str">
        <f>IF(M28=3,B28,IF(M29=3,B29,IF(M30=3,B30,"")))</f>
        <v/>
      </c>
      <c r="G36" s="468"/>
      <c r="H36" s="267"/>
      <c r="I36" s="245"/>
      <c r="J36" s="267"/>
      <c r="K36" s="267"/>
      <c r="L36" s="267"/>
      <c r="M36" s="267"/>
    </row>
    <row r="37" spans="1:18" x14ac:dyDescent="0.25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45"/>
      <c r="M38" s="267"/>
    </row>
    <row r="39" spans="1:18" x14ac:dyDescent="0.25">
      <c r="A39" s="136" t="s">
        <v>43</v>
      </c>
      <c r="B39" s="137"/>
      <c r="C39" s="203"/>
      <c r="D39" s="309" t="s">
        <v>4</v>
      </c>
      <c r="E39" s="310" t="s">
        <v>45</v>
      </c>
      <c r="F39" s="324"/>
      <c r="G39" s="309" t="s">
        <v>4</v>
      </c>
      <c r="H39" s="310" t="s">
        <v>54</v>
      </c>
      <c r="I39" s="159"/>
      <c r="J39" s="310" t="s">
        <v>55</v>
      </c>
      <c r="K39" s="158" t="s">
        <v>56</v>
      </c>
      <c r="L39" s="33"/>
      <c r="M39" s="324"/>
      <c r="P39" s="303"/>
      <c r="Q39" s="303"/>
      <c r="R39" s="304"/>
    </row>
    <row r="40" spans="1:18" x14ac:dyDescent="0.25">
      <c r="A40" s="278" t="s">
        <v>44</v>
      </c>
      <c r="B40" s="279"/>
      <c r="C40" s="281"/>
      <c r="D40" s="311">
        <v>1</v>
      </c>
      <c r="E40" s="462" t="str">
        <f>IF(D40&gt;$R$47,,UPPER(VLOOKUP(D40,'Lány 3B ELO'!$A$7:$Q$134,2)))</f>
        <v>BARANYI</v>
      </c>
      <c r="F40" s="462"/>
      <c r="G40" s="318" t="s">
        <v>5</v>
      </c>
      <c r="H40" s="279"/>
      <c r="I40" s="312"/>
      <c r="J40" s="319"/>
      <c r="K40" s="273" t="s">
        <v>46</v>
      </c>
      <c r="L40" s="325"/>
      <c r="M40" s="313"/>
      <c r="P40" s="305"/>
      <c r="Q40" s="305"/>
      <c r="R40" s="306"/>
    </row>
    <row r="41" spans="1:18" x14ac:dyDescent="0.25">
      <c r="A41" s="282" t="s">
        <v>53</v>
      </c>
      <c r="B41" s="157"/>
      <c r="C41" s="284"/>
      <c r="D41" s="314">
        <v>2</v>
      </c>
      <c r="E41" s="463" t="str">
        <f>IF(D41&gt;$R$47,,UPPER(VLOOKUP(D41,'Lány 3B ELO'!$A$7:$Q$134,2)))</f>
        <v>HASANOVIC</v>
      </c>
      <c r="F41" s="463"/>
      <c r="G41" s="320" t="s">
        <v>6</v>
      </c>
      <c r="H41" s="83"/>
      <c r="I41" s="271"/>
      <c r="J41" s="84"/>
      <c r="K41" s="322"/>
      <c r="L41" s="245"/>
      <c r="M41" s="317"/>
      <c r="P41" s="306"/>
      <c r="Q41" s="307"/>
      <c r="R41" s="306"/>
    </row>
    <row r="42" spans="1:18" x14ac:dyDescent="0.25">
      <c r="A42" s="172"/>
      <c r="B42" s="173"/>
      <c r="C42" s="174"/>
      <c r="D42" s="314"/>
      <c r="E42" s="85"/>
      <c r="F42" s="267"/>
      <c r="G42" s="320" t="s">
        <v>7</v>
      </c>
      <c r="H42" s="83"/>
      <c r="I42" s="271"/>
      <c r="J42" s="84"/>
      <c r="K42" s="273" t="s">
        <v>47</v>
      </c>
      <c r="L42" s="325"/>
      <c r="M42" s="313"/>
      <c r="P42" s="305"/>
      <c r="Q42" s="305"/>
      <c r="R42" s="306"/>
    </row>
    <row r="43" spans="1:18" x14ac:dyDescent="0.25">
      <c r="A43" s="148"/>
      <c r="B43" s="116"/>
      <c r="C43" s="149"/>
      <c r="D43" s="314"/>
      <c r="E43" s="85"/>
      <c r="F43" s="267"/>
      <c r="G43" s="320" t="s">
        <v>8</v>
      </c>
      <c r="H43" s="83"/>
      <c r="I43" s="271"/>
      <c r="J43" s="84"/>
      <c r="K43" s="323"/>
      <c r="L43" s="267"/>
      <c r="M43" s="315"/>
      <c r="P43" s="306"/>
      <c r="Q43" s="307"/>
      <c r="R43" s="306"/>
    </row>
    <row r="44" spans="1:18" x14ac:dyDescent="0.25">
      <c r="A44" s="161"/>
      <c r="B44" s="175"/>
      <c r="C44" s="202"/>
      <c r="D44" s="314"/>
      <c r="E44" s="85"/>
      <c r="F44" s="267"/>
      <c r="G44" s="320" t="s">
        <v>9</v>
      </c>
      <c r="H44" s="83"/>
      <c r="I44" s="271"/>
      <c r="J44" s="84"/>
      <c r="K44" s="282"/>
      <c r="L44" s="245"/>
      <c r="M44" s="317"/>
      <c r="P44" s="306"/>
      <c r="Q44" s="307"/>
      <c r="R44" s="306"/>
    </row>
    <row r="45" spans="1:18" x14ac:dyDescent="0.25">
      <c r="A45" s="162"/>
      <c r="B45" s="22"/>
      <c r="C45" s="149"/>
      <c r="D45" s="314"/>
      <c r="E45" s="85"/>
      <c r="F45" s="267"/>
      <c r="G45" s="320" t="s">
        <v>10</v>
      </c>
      <c r="H45" s="83"/>
      <c r="I45" s="271"/>
      <c r="J45" s="84"/>
      <c r="K45" s="273" t="s">
        <v>33</v>
      </c>
      <c r="L45" s="325"/>
      <c r="M45" s="313"/>
      <c r="P45" s="305"/>
      <c r="Q45" s="305"/>
      <c r="R45" s="306"/>
    </row>
    <row r="46" spans="1:18" x14ac:dyDescent="0.25">
      <c r="A46" s="162"/>
      <c r="B46" s="22"/>
      <c r="C46" s="170"/>
      <c r="D46" s="314"/>
      <c r="E46" s="85"/>
      <c r="F46" s="267"/>
      <c r="G46" s="320" t="s">
        <v>11</v>
      </c>
      <c r="H46" s="83"/>
      <c r="I46" s="271"/>
      <c r="J46" s="84"/>
      <c r="K46" s="323"/>
      <c r="L46" s="267"/>
      <c r="M46" s="315"/>
      <c r="P46" s="306"/>
      <c r="Q46" s="307"/>
      <c r="R46" s="306"/>
    </row>
    <row r="47" spans="1:18" x14ac:dyDescent="0.25">
      <c r="A47" s="163"/>
      <c r="B47" s="160"/>
      <c r="C47" s="171"/>
      <c r="D47" s="316"/>
      <c r="E47" s="150"/>
      <c r="F47" s="245"/>
      <c r="G47" s="321" t="s">
        <v>12</v>
      </c>
      <c r="H47" s="157"/>
      <c r="I47" s="275"/>
      <c r="J47" s="152"/>
      <c r="K47" s="282" t="str">
        <f>L4</f>
        <v>Rákóczi Andrea</v>
      </c>
      <c r="L47" s="245"/>
      <c r="M47" s="317"/>
      <c r="P47" s="306"/>
      <c r="Q47" s="307"/>
      <c r="R47" s="308">
        <f>MIN(4,'Lány 3B ELO'!Q5)</f>
        <v>4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119" priority="3" stopIfTrue="1" operator="equal">
      <formula>"Bye"</formula>
    </cfRule>
  </conditionalFormatting>
  <conditionalFormatting sqref="I11">
    <cfRule type="expression" dxfId="118" priority="1" stopIfTrue="1">
      <formula>$Q11&gt;=1</formula>
    </cfRule>
    <cfRule type="expression" dxfId="117" priority="2" stopIfTrue="1">
      <formula>$O11&gt;=1</formula>
    </cfRule>
  </conditionalFormatting>
  <conditionalFormatting sqref="R47">
    <cfRule type="expression" dxfId="116" priority="4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6">
    <tabColor indexed="11"/>
  </sheetPr>
  <dimension ref="A1:AK49"/>
  <sheetViews>
    <sheetView topLeftCell="A7" workbookViewId="0">
      <selection activeCell="N25" sqref="N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5</v>
      </c>
      <c r="C7" s="291">
        <f>IF($B7="","",VLOOKUP($B7,'Lány 3B ELO'!$A$7:$O$22,5))</f>
        <v>0</v>
      </c>
      <c r="D7" s="291">
        <f>IF($B7="","",VLOOKUP($B7,'Lány 3B ELO'!$A$7:$O$22,15))</f>
        <v>0</v>
      </c>
      <c r="E7" s="287" t="str">
        <f>UPPER(IF($B7="","",VLOOKUP($B7,'Lány 3B ELO'!$A$7:$O$22,2)))</f>
        <v xml:space="preserve">DEÁK </v>
      </c>
      <c r="F7" s="290"/>
      <c r="G7" s="287" t="str">
        <f>IF($B7="","",VLOOKUP($B7,'Lány 3B ELO'!$A$7:$O$22,3))</f>
        <v>Hanna</v>
      </c>
      <c r="H7" s="290"/>
      <c r="I7" s="287" t="str">
        <f>IF($B7="","",VLOOKUP($B7,'Lány 3B ELO'!$A$7:$O$22,4))</f>
        <v>Gyula Magvető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110</v>
      </c>
      <c r="S7" s="403" t="s">
        <v>112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111</v>
      </c>
      <c r="S8" s="404" t="s">
        <v>113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14</v>
      </c>
      <c r="C9" s="291">
        <f>IF($B9="","",VLOOKUP($B9,'Lány 3B ELO'!$A$7:$O$22,5))</f>
        <v>0</v>
      </c>
      <c r="D9" s="291">
        <f>IF($B9="","",VLOOKUP($B9,'Lány 3B ELO'!$A$7:$O$22,15))</f>
        <v>0</v>
      </c>
      <c r="E9" s="286" t="str">
        <f>UPPER(IF($B9="","",VLOOKUP($B9,'Lány 3B ELO'!$A$7:$O$22,2)))</f>
        <v>CSATÓ</v>
      </c>
      <c r="F9" s="292"/>
      <c r="G9" s="286" t="str">
        <f>IF($B9="","",VLOOKUP($B9,'Lány 3B ELO'!$A$7:$O$22,3))</f>
        <v>Eszter</v>
      </c>
      <c r="H9" s="292"/>
      <c r="I9" s="286" t="str">
        <f>IF($B9="","",VLOOKUP($B9,'Lány 3B ELO'!$A$7:$O$22,4))</f>
        <v>Mezőtúri II. Rákóczi Ferenc Magyar-Angol Két Tanítási Nyelvű Általános Iskola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87</v>
      </c>
      <c r="S9" s="405" t="s">
        <v>114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ht="13.8" x14ac:dyDescent="0.3">
      <c r="A11" s="301" t="s">
        <v>66</v>
      </c>
      <c r="B11" s="349"/>
      <c r="C11" s="291">
        <v>0</v>
      </c>
      <c r="D11" s="291">
        <v>0</v>
      </c>
      <c r="E11" s="425" t="s">
        <v>355</v>
      </c>
      <c r="F11" s="292"/>
      <c r="G11" s="425" t="s">
        <v>322</v>
      </c>
      <c r="H11" s="292"/>
      <c r="I11" s="426" t="s">
        <v>323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6</v>
      </c>
      <c r="C13" s="291">
        <f>IF($B13="","",VLOOKUP($B13,'Lány 3B ELO'!$A$7:$O$22,5))</f>
        <v>0</v>
      </c>
      <c r="D13" s="291">
        <f>IF($B13="","",VLOOKUP($B13,'Lány 3B ELO'!$A$7:$O$22,15))</f>
        <v>0</v>
      </c>
      <c r="E13" s="287" t="str">
        <f>UPPER(IF($B13="","",VLOOKUP($B13,'Lány 3B ELO'!$A$7:$O$22,2)))</f>
        <v>BUKÓ</v>
      </c>
      <c r="F13" s="290"/>
      <c r="G13" s="287" t="str">
        <f>IF($B13="","",VLOOKUP($B13,'Lány 3B ELO'!$A$7:$O$22,3))</f>
        <v>Lora</v>
      </c>
      <c r="H13" s="290"/>
      <c r="I13" s="287" t="str">
        <f>IF($B13="","",VLOOKUP($B13,'Lány 3B ELO'!$A$7:$O$22,4))</f>
        <v>Kazincbarcikai Pollack Mihály Általános Iskola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ht="13.8" x14ac:dyDescent="0.3">
      <c r="A15" s="301" t="s">
        <v>72</v>
      </c>
      <c r="B15" s="349"/>
      <c r="C15" s="291">
        <v>0</v>
      </c>
      <c r="D15" s="291">
        <v>0</v>
      </c>
      <c r="E15" s="425" t="s">
        <v>356</v>
      </c>
      <c r="F15" s="292"/>
      <c r="G15" s="425" t="s">
        <v>330</v>
      </c>
      <c r="H15" s="292"/>
      <c r="I15" s="426" t="s">
        <v>234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ht="13.8" x14ac:dyDescent="0.3">
      <c r="A17" s="301" t="s">
        <v>73</v>
      </c>
      <c r="B17" s="349"/>
      <c r="C17" s="291">
        <v>0</v>
      </c>
      <c r="D17" s="291">
        <v>0</v>
      </c>
      <c r="E17" s="425" t="s">
        <v>357</v>
      </c>
      <c r="F17" s="292"/>
      <c r="G17" s="425" t="s">
        <v>332</v>
      </c>
      <c r="H17" s="292"/>
      <c r="I17" s="426" t="s">
        <v>222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01" t="s">
        <v>73</v>
      </c>
      <c r="B19" s="349"/>
      <c r="C19" s="291" t="str">
        <f>IF($B19="","",VLOOKUP($B19,'Lány 3B ELO'!$A$7:$O$22,5))</f>
        <v/>
      </c>
      <c r="D19" s="291" t="str">
        <f>IF($B19="","",VLOOKUP($B19,'Lány 3B ELO'!$A$7:$O$22,15))</f>
        <v/>
      </c>
      <c r="E19" s="286" t="str">
        <f>UPPER(IF($B19="","",VLOOKUP($B19,'Lány 3B ELO'!$A$7:$O$22,2)))</f>
        <v/>
      </c>
      <c r="F19" s="292"/>
      <c r="G19" s="286" t="str">
        <f>IF($B19="","",VLOOKUP($B19,'Lány 3B ELO'!$A$7:$O$22,3))</f>
        <v/>
      </c>
      <c r="H19" s="292"/>
      <c r="I19" s="286" t="str">
        <f>IF($B19="","",VLOOKUP($B19,'Lány 3B ELO'!$A$7:$O$22,4))</f>
        <v/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 t="str">
        <f>E7</f>
        <v xml:space="preserve">DEÁK </v>
      </c>
      <c r="E22" s="456"/>
      <c r="F22" s="456" t="str">
        <f>E9</f>
        <v>CSATÓ</v>
      </c>
      <c r="G22" s="456"/>
      <c r="H22" s="456" t="str">
        <f>E11</f>
        <v>JÓZSA</v>
      </c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73" t="str">
        <f>E7</f>
        <v xml:space="preserve">DEÁK </v>
      </c>
      <c r="C23" s="473"/>
      <c r="D23" s="459"/>
      <c r="E23" s="459"/>
      <c r="F23" s="460" t="s">
        <v>537</v>
      </c>
      <c r="G23" s="461"/>
      <c r="H23" s="460" t="s">
        <v>539</v>
      </c>
      <c r="I23" s="461"/>
      <c r="J23" s="439"/>
      <c r="K23" s="439"/>
      <c r="L23" s="267"/>
      <c r="M23" s="336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73" t="str">
        <f>E9</f>
        <v>CSATÓ</v>
      </c>
      <c r="C24" s="473"/>
      <c r="D24" s="460" t="s">
        <v>536</v>
      </c>
      <c r="E24" s="461"/>
      <c r="F24" s="459"/>
      <c r="G24" s="459"/>
      <c r="H24" s="460" t="s">
        <v>539</v>
      </c>
      <c r="I24" s="461"/>
      <c r="J24" s="439"/>
      <c r="K24" s="439"/>
      <c r="L24" s="267"/>
      <c r="M24" s="336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73" t="str">
        <f>E11</f>
        <v>JÓZSA</v>
      </c>
      <c r="C25" s="473"/>
      <c r="D25" s="460" t="s">
        <v>538</v>
      </c>
      <c r="E25" s="461"/>
      <c r="F25" s="460" t="s">
        <v>538</v>
      </c>
      <c r="G25" s="461"/>
      <c r="H25" s="459"/>
      <c r="I25" s="459"/>
      <c r="J25" s="439"/>
      <c r="K25" s="439"/>
      <c r="L25" s="267"/>
      <c r="M25" s="336">
        <v>1</v>
      </c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74"/>
      <c r="C27" s="474"/>
      <c r="D27" s="465" t="str">
        <f>E13</f>
        <v>BUKÓ</v>
      </c>
      <c r="E27" s="465"/>
      <c r="F27" s="465" t="str">
        <f>E15</f>
        <v>SÓLYOM</v>
      </c>
      <c r="G27" s="465"/>
      <c r="H27" s="465" t="str">
        <f>E17</f>
        <v>KISS</v>
      </c>
      <c r="I27" s="465"/>
      <c r="J27" s="465" t="str">
        <f>E19</f>
        <v/>
      </c>
      <c r="K27" s="465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73" t="str">
        <f>E13</f>
        <v>BUKÓ</v>
      </c>
      <c r="C28" s="473"/>
      <c r="D28" s="459"/>
      <c r="E28" s="459"/>
      <c r="F28" s="460" t="s">
        <v>538</v>
      </c>
      <c r="G28" s="461"/>
      <c r="H28" s="460" t="s">
        <v>536</v>
      </c>
      <c r="I28" s="461"/>
      <c r="J28" s="465"/>
      <c r="K28" s="465"/>
      <c r="L28" s="267"/>
      <c r="M28" s="336">
        <v>1</v>
      </c>
    </row>
    <row r="29" spans="1:37" ht="18.75" customHeight="1" x14ac:dyDescent="0.25">
      <c r="A29" s="333" t="s">
        <v>72</v>
      </c>
      <c r="B29" s="473" t="str">
        <f>E15</f>
        <v>SÓLYOM</v>
      </c>
      <c r="C29" s="473"/>
      <c r="D29" s="460" t="s">
        <v>539</v>
      </c>
      <c r="E29" s="461"/>
      <c r="F29" s="459"/>
      <c r="G29" s="459"/>
      <c r="H29" s="460" t="s">
        <v>539</v>
      </c>
      <c r="I29" s="461"/>
      <c r="J29" s="461"/>
      <c r="K29" s="461"/>
      <c r="L29" s="267"/>
      <c r="M29" s="336"/>
    </row>
    <row r="30" spans="1:37" ht="18.75" customHeight="1" x14ac:dyDescent="0.25">
      <c r="A30" s="333" t="s">
        <v>73</v>
      </c>
      <c r="B30" s="473" t="str">
        <f>E17</f>
        <v>KISS</v>
      </c>
      <c r="C30" s="473"/>
      <c r="D30" s="460" t="s">
        <v>537</v>
      </c>
      <c r="E30" s="461"/>
      <c r="F30" s="460" t="s">
        <v>538</v>
      </c>
      <c r="G30" s="461"/>
      <c r="H30" s="459"/>
      <c r="I30" s="459"/>
      <c r="J30" s="461"/>
      <c r="K30" s="461"/>
      <c r="L30" s="267"/>
      <c r="M30" s="336"/>
    </row>
    <row r="31" spans="1:37" ht="18.75" customHeight="1" x14ac:dyDescent="0.25">
      <c r="A31" s="333" t="s">
        <v>77</v>
      </c>
      <c r="B31" s="473" t="str">
        <f>E19</f>
        <v/>
      </c>
      <c r="C31" s="473"/>
      <c r="D31" s="461"/>
      <c r="E31" s="461"/>
      <c r="F31" s="461"/>
      <c r="G31" s="461"/>
      <c r="H31" s="465"/>
      <c r="I31" s="465"/>
      <c r="J31" s="459"/>
      <c r="K31" s="459"/>
      <c r="L31" s="267"/>
      <c r="M31" s="336"/>
    </row>
    <row r="32" spans="1:37" ht="18.75" customHeight="1" x14ac:dyDescent="0.25">
      <c r="A32" s="338"/>
      <c r="B32" s="441"/>
      <c r="C32" s="441"/>
      <c r="D32" s="442"/>
      <c r="E32" s="442"/>
      <c r="F32" s="442"/>
      <c r="G32" s="442"/>
      <c r="H32" s="442"/>
      <c r="I32" s="442"/>
      <c r="J32" s="439"/>
      <c r="K32" s="439"/>
      <c r="L32" s="267"/>
      <c r="M32" s="340"/>
    </row>
    <row r="33" spans="1:18" x14ac:dyDescent="0.25">
      <c r="A33" s="267"/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267"/>
      <c r="M33" s="267"/>
    </row>
    <row r="34" spans="1:18" x14ac:dyDescent="0.25">
      <c r="A34" s="267" t="s">
        <v>58</v>
      </c>
      <c r="B34" s="439"/>
      <c r="C34" s="475" t="str">
        <f>IF(M23=1,B23,IF(M24=1,B24,IF(M25=1,B25,"")))</f>
        <v>JÓZSA</v>
      </c>
      <c r="D34" s="475"/>
      <c r="E34" s="443" t="s">
        <v>75</v>
      </c>
      <c r="F34" s="475" t="str">
        <f>IF(M28=1,B28,IF(M29=1,B29,IF(M30=1,B30,IF(M31=1,B31,""))))</f>
        <v>BUKÓ</v>
      </c>
      <c r="G34" s="475"/>
      <c r="H34" s="439"/>
      <c r="I34" s="444"/>
      <c r="J34" s="439"/>
      <c r="K34" s="439"/>
      <c r="L34" s="267"/>
      <c r="M34" s="267"/>
    </row>
    <row r="35" spans="1:18" x14ac:dyDescent="0.25">
      <c r="A35" s="267"/>
      <c r="B35" s="439"/>
      <c r="C35" s="439"/>
      <c r="D35" s="439"/>
      <c r="E35" s="439"/>
      <c r="F35" s="443"/>
      <c r="G35" s="443"/>
      <c r="H35" s="439"/>
      <c r="I35" s="439"/>
      <c r="J35" s="439"/>
      <c r="K35" s="439"/>
      <c r="L35" s="267"/>
      <c r="M35" s="267"/>
    </row>
    <row r="36" spans="1:18" x14ac:dyDescent="0.25">
      <c r="A36" s="267" t="s">
        <v>74</v>
      </c>
      <c r="B36" s="439"/>
      <c r="C36" s="475" t="str">
        <f>IF(M23=2,B23,IF(M24=2,B24,IF(M25=2,B25,"")))</f>
        <v/>
      </c>
      <c r="D36" s="475"/>
      <c r="E36" s="443" t="s">
        <v>75</v>
      </c>
      <c r="F36" s="475" t="str">
        <f>IF(M28=2,B28,IF(M29=2,B29,IF(M30=2,B30,IF(M31=2,B31,""))))</f>
        <v/>
      </c>
      <c r="G36" s="475"/>
      <c r="H36" s="439"/>
      <c r="I36" s="444"/>
      <c r="J36" s="439"/>
      <c r="K36" s="439"/>
      <c r="L36" s="267"/>
      <c r="M36" s="267"/>
    </row>
    <row r="37" spans="1:18" x14ac:dyDescent="0.25">
      <c r="A37" s="267"/>
      <c r="B37" s="439"/>
      <c r="C37" s="443"/>
      <c r="D37" s="443"/>
      <c r="E37" s="443"/>
      <c r="F37" s="443"/>
      <c r="G37" s="443"/>
      <c r="H37" s="439"/>
      <c r="I37" s="439"/>
      <c r="J37" s="439"/>
      <c r="K37" s="439"/>
      <c r="L37" s="267"/>
      <c r="M37" s="267"/>
    </row>
    <row r="38" spans="1:18" x14ac:dyDescent="0.25">
      <c r="A38" s="267" t="s">
        <v>76</v>
      </c>
      <c r="B38" s="439"/>
      <c r="C38" s="475" t="str">
        <f>IF(M23=3,B23,IF(M24=3,B24,IF(M25=3,B25,"")))</f>
        <v/>
      </c>
      <c r="D38" s="475"/>
      <c r="E38" s="443" t="s">
        <v>75</v>
      </c>
      <c r="F38" s="475" t="str">
        <f>IF(M28=3,B28,IF(M29=3,B29,IF(M30=3,B30,IF(M31=3,B31,""))))</f>
        <v/>
      </c>
      <c r="G38" s="475"/>
      <c r="H38" s="439"/>
      <c r="I38" s="444"/>
      <c r="J38" s="439"/>
      <c r="K38" s="439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36" t="s">
        <v>43</v>
      </c>
      <c r="B41" s="137"/>
      <c r="C41" s="203"/>
      <c r="D41" s="309" t="s">
        <v>4</v>
      </c>
      <c r="E41" s="310" t="s">
        <v>45</v>
      </c>
      <c r="F41" s="324"/>
      <c r="G41" s="309" t="s">
        <v>4</v>
      </c>
      <c r="H41" s="310" t="s">
        <v>54</v>
      </c>
      <c r="I41" s="159"/>
      <c r="J41" s="310" t="s">
        <v>55</v>
      </c>
      <c r="K41" s="158" t="s">
        <v>56</v>
      </c>
      <c r="L41" s="33"/>
      <c r="M41" s="324"/>
      <c r="P41" s="303"/>
      <c r="Q41" s="303"/>
      <c r="R41" s="304"/>
    </row>
    <row r="42" spans="1:18" x14ac:dyDescent="0.25">
      <c r="A42" s="278" t="s">
        <v>44</v>
      </c>
      <c r="B42" s="279"/>
      <c r="C42" s="281"/>
      <c r="D42" s="311">
        <v>1</v>
      </c>
      <c r="E42" s="462" t="str">
        <f>IF(D42&gt;$R$44,,UPPER(VLOOKUP(D42,'Lány 3B ELO'!$A$7:$Q$134,2)))</f>
        <v>BARANYI</v>
      </c>
      <c r="F42" s="462"/>
      <c r="G42" s="318" t="s">
        <v>5</v>
      </c>
      <c r="H42" s="279"/>
      <c r="I42" s="312"/>
      <c r="J42" s="319"/>
      <c r="K42" s="273" t="s">
        <v>46</v>
      </c>
      <c r="L42" s="325"/>
      <c r="M42" s="313"/>
      <c r="P42" s="305"/>
      <c r="Q42" s="305"/>
      <c r="R42" s="306"/>
    </row>
    <row r="43" spans="1:18" x14ac:dyDescent="0.25">
      <c r="A43" s="282" t="s">
        <v>53</v>
      </c>
      <c r="B43" s="157"/>
      <c r="C43" s="284"/>
      <c r="D43" s="314">
        <v>2</v>
      </c>
      <c r="E43" s="463" t="str">
        <f>IF(D43&gt;$R$44,,UPPER(VLOOKUP(D43,'Lány 3B ELO'!$A$7:$Q$134,2)))</f>
        <v>HASANOVIC</v>
      </c>
      <c r="F43" s="463"/>
      <c r="G43" s="320" t="s">
        <v>6</v>
      </c>
      <c r="H43" s="83"/>
      <c r="I43" s="271"/>
      <c r="J43" s="84"/>
      <c r="K43" s="322"/>
      <c r="L43" s="245"/>
      <c r="M43" s="317"/>
      <c r="P43" s="306"/>
      <c r="Q43" s="307"/>
      <c r="R43" s="306"/>
    </row>
    <row r="44" spans="1:18" x14ac:dyDescent="0.25">
      <c r="A44" s="172"/>
      <c r="B44" s="173"/>
      <c r="C44" s="174"/>
      <c r="D44" s="314"/>
      <c r="E44" s="85"/>
      <c r="F44" s="267"/>
      <c r="G44" s="320" t="s">
        <v>7</v>
      </c>
      <c r="H44" s="83"/>
      <c r="I44" s="271"/>
      <c r="J44" s="84"/>
      <c r="K44" s="273" t="s">
        <v>47</v>
      </c>
      <c r="L44" s="325"/>
      <c r="M44" s="313"/>
      <c r="P44" s="305"/>
      <c r="Q44" s="305"/>
      <c r="R44" s="308">
        <f>MIN(4,'Lány 3B ELO'!Q2)</f>
        <v>4</v>
      </c>
    </row>
    <row r="45" spans="1:18" x14ac:dyDescent="0.25">
      <c r="A45" s="148"/>
      <c r="B45" s="116"/>
      <c r="C45" s="149"/>
      <c r="D45" s="314"/>
      <c r="E45" s="85"/>
      <c r="F45" s="267"/>
      <c r="G45" s="320" t="s">
        <v>8</v>
      </c>
      <c r="H45" s="83"/>
      <c r="I45" s="271"/>
      <c r="J45" s="84"/>
      <c r="K45" s="323"/>
      <c r="L45" s="267"/>
      <c r="M45" s="315"/>
      <c r="P45" s="306"/>
      <c r="Q45" s="307"/>
      <c r="R45" s="306"/>
    </row>
    <row r="46" spans="1:18" x14ac:dyDescent="0.25">
      <c r="A46" s="161"/>
      <c r="B46" s="175"/>
      <c r="C46" s="202"/>
      <c r="D46" s="314"/>
      <c r="E46" s="85"/>
      <c r="F46" s="267"/>
      <c r="G46" s="320" t="s">
        <v>9</v>
      </c>
      <c r="H46" s="83"/>
      <c r="I46" s="271"/>
      <c r="J46" s="84"/>
      <c r="K46" s="282"/>
      <c r="L46" s="245"/>
      <c r="M46" s="317"/>
      <c r="P46" s="306"/>
      <c r="Q46" s="307"/>
      <c r="R46" s="306"/>
    </row>
    <row r="47" spans="1:18" x14ac:dyDescent="0.25">
      <c r="A47" s="162"/>
      <c r="B47" s="22"/>
      <c r="C47" s="149"/>
      <c r="D47" s="314"/>
      <c r="E47" s="85"/>
      <c r="F47" s="267"/>
      <c r="G47" s="320" t="s">
        <v>10</v>
      </c>
      <c r="H47" s="83"/>
      <c r="I47" s="271"/>
      <c r="J47" s="84"/>
      <c r="K47" s="273" t="s">
        <v>33</v>
      </c>
      <c r="L47" s="325"/>
      <c r="M47" s="313"/>
      <c r="P47" s="305"/>
      <c r="Q47" s="305"/>
      <c r="R47" s="306"/>
    </row>
    <row r="48" spans="1:18" x14ac:dyDescent="0.25">
      <c r="A48" s="162"/>
      <c r="B48" s="22"/>
      <c r="C48" s="170"/>
      <c r="D48" s="314"/>
      <c r="E48" s="85"/>
      <c r="F48" s="267"/>
      <c r="G48" s="320" t="s">
        <v>11</v>
      </c>
      <c r="H48" s="83"/>
      <c r="I48" s="271"/>
      <c r="J48" s="84"/>
      <c r="K48" s="323"/>
      <c r="L48" s="267"/>
      <c r="M48" s="315"/>
      <c r="P48" s="306"/>
      <c r="Q48" s="307"/>
      <c r="R48" s="306"/>
    </row>
    <row r="49" spans="1:18" x14ac:dyDescent="0.25">
      <c r="A49" s="163"/>
      <c r="B49" s="160"/>
      <c r="C49" s="171"/>
      <c r="D49" s="316"/>
      <c r="E49" s="150"/>
      <c r="F49" s="245"/>
      <c r="G49" s="321" t="s">
        <v>12</v>
      </c>
      <c r="H49" s="157"/>
      <c r="I49" s="275"/>
      <c r="J49" s="152"/>
      <c r="K49" s="282" t="str">
        <f>L4</f>
        <v>Rákóczi Andrea</v>
      </c>
      <c r="L49" s="245"/>
      <c r="M49" s="317"/>
      <c r="P49" s="306"/>
      <c r="Q49" s="307"/>
      <c r="R49" s="308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115" priority="1" stopIfTrue="1" operator="equal">
      <formula>"Bye"</formula>
    </cfRule>
  </conditionalFormatting>
  <conditionalFormatting sqref="R44 R49">
    <cfRule type="expression" dxfId="1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57">
    <tabColor indexed="11"/>
  </sheetPr>
  <dimension ref="A1:AK53"/>
  <sheetViews>
    <sheetView topLeftCell="A17" workbookViewId="0">
      <selection activeCell="Q19" sqref="Q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IF(Y5=1,CONCATENATE(VLOOKUP(Y3,AA16:AH30,2)),CONCATENATE(VLOOKUP(Y3,AA2:AK13,2)))</f>
        <v>#N/A</v>
      </c>
      <c r="AC1" s="362" t="e">
        <f>IF(Y5=1,CONCATENATE(VLOOKUP(Y3,AA16:AK30,3)),CONCATENATE(VLOOKUP(Y3,AA2:AK13,3)))</f>
        <v>#N/A</v>
      </c>
      <c r="AD1" s="362" t="e">
        <f>IF(Y5=1,CONCATENATE(VLOOKUP(Y3,AA16:AK30,4)),CONCATENATE(VLOOKUP(Y3,AA2:AK13,4)))</f>
        <v>#N/A</v>
      </c>
      <c r="AE1" s="362" t="e">
        <f>IF(Y5=1,CONCATENATE(VLOOKUP(Y3,AA16:AK30,5)),CONCATENATE(VLOOKUP(Y3,AA2:AK13,5)))</f>
        <v>#N/A</v>
      </c>
      <c r="AF1" s="362" t="e">
        <f>IF(Y5=1,CONCATENATE(VLOOKUP(Y3,AA16:AK30,6)),CONCATENATE(VLOOKUP(Y3,AA2:AK13,6)))</f>
        <v>#N/A</v>
      </c>
      <c r="AG1" s="362" t="e">
        <f>IF(Y5=1,CONCATENATE(VLOOKUP(Y3,AA16:AK30,7)),CONCATENATE(VLOOKUP(Y3,AA2:AK13,7)))</f>
        <v>#N/A</v>
      </c>
      <c r="AH1" s="362" t="e">
        <f>IF(Y5=1,CONCATENATE(VLOOKUP(Y3,AA16:AK30,8)),CONCATENATE(VLOOKUP(Y3,AA2:AK13,8)))</f>
        <v>#N/A</v>
      </c>
      <c r="AI1" s="362" t="e">
        <f>IF(Y5=1,CONCATENATE(VLOOKUP(Y3,AA16:AK30,9)),CONCATENATE(VLOOKUP(Y3,AA2:AK13,9)))</f>
        <v>#N/A</v>
      </c>
      <c r="AJ1" s="362" t="e">
        <f>IF(Y5=1,CONCATENATE(VLOOKUP(Y3,AA16:AK30,10)),CONCATENATE(VLOOKUP(Y3,AA2:AK13,10)))</f>
        <v>#N/A</v>
      </c>
      <c r="AK1" s="362" t="e">
        <f>IF(Y5=1,CONCATENATE(VLOOKUP(Y3,AA16:AK30,11)),CONCATENATE(VLOOKUP(Y3,AA2:AK13,11)))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13</v>
      </c>
      <c r="C7" s="291">
        <f>IF($B7="","",VLOOKUP($B7,'Lány 3B ELO'!$A$7:$O$22,5))</f>
        <v>0</v>
      </c>
      <c r="D7" s="291">
        <f>IF($B7="","",VLOOKUP($B7,'Lány 3B ELO'!$A$7:$O$22,15))</f>
        <v>0</v>
      </c>
      <c r="E7" s="287" t="str">
        <f>UPPER(IF($B7="","",VLOOKUP($B7,'Lány 3B ELO'!$A$7:$O$22,2)))</f>
        <v>ÁDÁM</v>
      </c>
      <c r="F7" s="290"/>
      <c r="G7" s="287" t="str">
        <f>IF($B7="","",VLOOKUP($B7,'Lány 3B ELO'!$A$7:$O$22,3))</f>
        <v>Lilla Maja</v>
      </c>
      <c r="H7" s="290"/>
      <c r="I7" s="287" t="str">
        <f>IF($B7="","",VLOOKUP($B7,'Lány 3B ELO'!$A$7:$O$22,4))</f>
        <v>Szent Imre Katolikus Általános Iskola és Jó Pásztor Óvoda, Alapfokú Művészeti Iskola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115</v>
      </c>
      <c r="S7" s="403" t="s">
        <v>116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113</v>
      </c>
      <c r="S8" s="404" t="s">
        <v>117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ht="13.8" x14ac:dyDescent="0.3">
      <c r="A9" s="301" t="s">
        <v>65</v>
      </c>
      <c r="B9" s="349"/>
      <c r="C9" s="291">
        <v>0</v>
      </c>
      <c r="D9" s="291">
        <v>0</v>
      </c>
      <c r="E9" s="425" t="s">
        <v>359</v>
      </c>
      <c r="F9" s="292"/>
      <c r="G9" s="425" t="s">
        <v>259</v>
      </c>
      <c r="H9" s="292"/>
      <c r="I9" s="426" t="s">
        <v>325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110</v>
      </c>
      <c r="S9" s="405" t="s">
        <v>118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ht="13.8" x14ac:dyDescent="0.3">
      <c r="A11" s="301" t="s">
        <v>66</v>
      </c>
      <c r="B11" s="349"/>
      <c r="C11" s="291">
        <v>0</v>
      </c>
      <c r="D11" s="291">
        <v>0</v>
      </c>
      <c r="E11" s="425" t="s">
        <v>360</v>
      </c>
      <c r="F11" s="292"/>
      <c r="G11" s="425" t="s">
        <v>339</v>
      </c>
      <c r="H11" s="292"/>
      <c r="I11" s="426" t="s">
        <v>336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96" t="s">
        <v>71</v>
      </c>
      <c r="B13" s="399"/>
      <c r="C13" s="291" t="str">
        <f>IF($B13="","",VLOOKUP($B13,'Lány 3B ELO'!$A$7:$O$22,5))</f>
        <v/>
      </c>
      <c r="D13" s="291" t="str">
        <f>IF($B13="","",VLOOKUP($B13,'Lány 3B ELO'!$A$7:$O$22,15))</f>
        <v/>
      </c>
      <c r="E13" s="286" t="str">
        <f>UPPER(IF($B13="","",VLOOKUP($B13,'Lány 3B ELO'!$A$7:$O$22,2)))</f>
        <v/>
      </c>
      <c r="F13" s="292"/>
      <c r="G13" s="286" t="str">
        <f>IF($B13="","",VLOOKUP($B13,'Lány 3B ELO'!$A$7:$O$22,3))</f>
        <v/>
      </c>
      <c r="H13" s="292"/>
      <c r="I13" s="286" t="str">
        <f>IF($B13="","",VLOOKUP($B13,'Lány 3B ELO'!$A$7:$O$22,4))</f>
        <v/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34" t="s">
        <v>72</v>
      </c>
      <c r="B15" s="398">
        <v>8</v>
      </c>
      <c r="C15" s="291">
        <f>IF($B15="","",VLOOKUP($B15,'Lány 3B ELO'!$A$7:$O$22,5))</f>
        <v>0</v>
      </c>
      <c r="D15" s="397">
        <f>IF($B15="","",VLOOKUP($B15,'Lány 3B ELO'!$A$7:$O$22,15))</f>
        <v>0</v>
      </c>
      <c r="E15" s="287" t="str">
        <f>UPPER(IF($B15="","",VLOOKUP($B15,'Lány 3B ELO'!$A$7:$O$22,2)))</f>
        <v>KÖNYVES-TÓTH</v>
      </c>
      <c r="F15" s="290"/>
      <c r="G15" s="287" t="str">
        <f>IF($B15="","",VLOOKUP($B15,'Lány 3B ELO'!$A$7:$O$22,3))</f>
        <v>Kamilla</v>
      </c>
      <c r="H15" s="290"/>
      <c r="I15" s="287" t="str">
        <f>IF($B15="","",VLOOKUP($B15,'Lány 3B ELO'!$A$7:$O$22,4))</f>
        <v>Bethlen Gábor Általános Iskola és Gimnázium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15</v>
      </c>
      <c r="C17" s="291">
        <f>IF($B17="","",VLOOKUP($B17,'Lány 3B ELO'!$A$7:$O$22,5))</f>
        <v>0</v>
      </c>
      <c r="D17" s="291">
        <f>IF($B17="","",VLOOKUP($B17,'Lány 3B ELO'!$A$7:$O$22,15))</f>
        <v>0</v>
      </c>
      <c r="E17" s="286" t="str">
        <f>UPPER(IF($B17="","",VLOOKUP($B17,'Lány 3B ELO'!$A$7:$O$22,2)))</f>
        <v>NICZMANN</v>
      </c>
      <c r="F17" s="292"/>
      <c r="G17" s="286" t="str">
        <f>IF($B17="","",VLOOKUP($B17,'Lány 3B ELO'!$A$7:$O$22,3))</f>
        <v>Zsófia</v>
      </c>
      <c r="H17" s="292"/>
      <c r="I17" s="286" t="str">
        <f>IF($B17="","",VLOOKUP($B17,'Lány 3B ELO'!$A$7:$O$22,4))</f>
        <v>Kőkúti Általános Iskola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96" t="s">
        <v>77</v>
      </c>
      <c r="B19" s="349"/>
      <c r="C19" s="291">
        <v>0</v>
      </c>
      <c r="D19" s="291">
        <v>0</v>
      </c>
      <c r="E19" s="425" t="s">
        <v>358</v>
      </c>
      <c r="F19" s="292"/>
      <c r="G19" s="425" t="s">
        <v>334</v>
      </c>
      <c r="H19" s="292"/>
      <c r="I19" s="425" t="s">
        <v>335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301"/>
      <c r="B20" s="348"/>
      <c r="C20" s="302"/>
      <c r="D20" s="302"/>
      <c r="E20" s="302"/>
      <c r="F20" s="302"/>
      <c r="G20" s="302"/>
      <c r="H20" s="302"/>
      <c r="I20" s="302"/>
      <c r="J20" s="267"/>
      <c r="K20" s="301"/>
      <c r="L20" s="301"/>
      <c r="M20" s="365"/>
      <c r="Y20" s="351"/>
      <c r="Z20" s="351"/>
      <c r="AA20" s="351" t="s">
        <v>89</v>
      </c>
      <c r="AB20" s="351">
        <v>200</v>
      </c>
      <c r="AC20" s="351">
        <v>150</v>
      </c>
      <c r="AD20" s="351">
        <v>130</v>
      </c>
      <c r="AE20" s="351">
        <v>110</v>
      </c>
      <c r="AF20" s="351">
        <v>95</v>
      </c>
      <c r="AG20" s="351">
        <v>80</v>
      </c>
      <c r="AH20" s="351">
        <v>70</v>
      </c>
      <c r="AI20" s="351">
        <v>60</v>
      </c>
      <c r="AJ20" s="351">
        <v>55</v>
      </c>
      <c r="AK20" s="351">
        <v>50</v>
      </c>
    </row>
    <row r="21" spans="1:37" x14ac:dyDescent="0.25">
      <c r="A21" s="396" t="s">
        <v>108</v>
      </c>
      <c r="B21" s="349"/>
      <c r="C21" s="291" t="str">
        <f>IF($B21="","",VLOOKUP($B21,'Lány 3B ELO'!$A$7:$O$22,5))</f>
        <v/>
      </c>
      <c r="D21" s="291" t="str">
        <f>IF($B21="","",VLOOKUP($B21,'Lány 3B ELO'!$A$7:$O$22,15))</f>
        <v/>
      </c>
      <c r="E21" s="286" t="str">
        <f>UPPER(IF($B21="","",VLOOKUP($B21,'Lány 3B ELO'!$A$7:$O$22,2)))</f>
        <v/>
      </c>
      <c r="F21" s="292"/>
      <c r="G21" s="286" t="str">
        <f>IF($B21="","",VLOOKUP($B21,'Lány 3B ELO'!$A$7:$O$22,3))</f>
        <v/>
      </c>
      <c r="H21" s="292"/>
      <c r="I21" s="286" t="str">
        <f>IF($B21="","",VLOOKUP($B21,'Lány 3B ELO'!$A$7:$O$22,4))</f>
        <v/>
      </c>
      <c r="J21" s="267"/>
      <c r="K21" s="363"/>
      <c r="L21" s="353" t="str">
        <f>IF(K21="","",CONCATENATE(VLOOKUP($Y$3,$AB$1:$AK$1,K21)," pont"))</f>
        <v/>
      </c>
      <c r="M21" s="364"/>
      <c r="Y21" s="351"/>
      <c r="Z21" s="351"/>
      <c r="AA21" s="351" t="s">
        <v>90</v>
      </c>
      <c r="AB21" s="351">
        <v>150</v>
      </c>
      <c r="AC21" s="351">
        <v>120</v>
      </c>
      <c r="AD21" s="351">
        <v>100</v>
      </c>
      <c r="AE21" s="351">
        <v>80</v>
      </c>
      <c r="AF21" s="351">
        <v>70</v>
      </c>
      <c r="AG21" s="351">
        <v>60</v>
      </c>
      <c r="AH21" s="351">
        <v>55</v>
      </c>
      <c r="AI21" s="351">
        <v>50</v>
      </c>
      <c r="AJ21" s="351">
        <v>45</v>
      </c>
      <c r="AK21" s="351">
        <v>40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51"/>
      <c r="Z22" s="351"/>
      <c r="AA22" s="351" t="s">
        <v>91</v>
      </c>
      <c r="AB22" s="351">
        <v>120</v>
      </c>
      <c r="AC22" s="351">
        <v>90</v>
      </c>
      <c r="AD22" s="351">
        <v>65</v>
      </c>
      <c r="AE22" s="351">
        <v>55</v>
      </c>
      <c r="AF22" s="351">
        <v>50</v>
      </c>
      <c r="AG22" s="351">
        <v>45</v>
      </c>
      <c r="AH22" s="351">
        <v>40</v>
      </c>
      <c r="AI22" s="351">
        <v>35</v>
      </c>
      <c r="AJ22" s="351">
        <v>25</v>
      </c>
      <c r="AK22" s="351">
        <v>20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92</v>
      </c>
      <c r="AB23" s="351">
        <v>90</v>
      </c>
      <c r="AC23" s="351">
        <v>60</v>
      </c>
      <c r="AD23" s="351">
        <v>45</v>
      </c>
      <c r="AE23" s="351">
        <v>34</v>
      </c>
      <c r="AF23" s="351">
        <v>27</v>
      </c>
      <c r="AG23" s="351">
        <v>22</v>
      </c>
      <c r="AH23" s="351">
        <v>18</v>
      </c>
      <c r="AI23" s="351">
        <v>15</v>
      </c>
      <c r="AJ23" s="351">
        <v>12</v>
      </c>
      <c r="AK23" s="351">
        <v>9</v>
      </c>
    </row>
    <row r="24" spans="1:37" ht="18.75" customHeight="1" x14ac:dyDescent="0.25">
      <c r="A24" s="267"/>
      <c r="B24" s="455"/>
      <c r="C24" s="455"/>
      <c r="D24" s="456" t="str">
        <f>E7</f>
        <v>ÁDÁM</v>
      </c>
      <c r="E24" s="456"/>
      <c r="F24" s="456" t="str">
        <f>E9</f>
        <v>BRANDHUBER</v>
      </c>
      <c r="G24" s="456"/>
      <c r="H24" s="456" t="str">
        <f>E11</f>
        <v>PÁDÁR</v>
      </c>
      <c r="I24" s="456"/>
      <c r="J24" s="456" t="str">
        <f>E13</f>
        <v/>
      </c>
      <c r="K24" s="456"/>
      <c r="L24" s="267"/>
      <c r="M24" s="335" t="s">
        <v>68</v>
      </c>
      <c r="Y24" s="351"/>
      <c r="Z24" s="351"/>
      <c r="AA24" s="351" t="s">
        <v>93</v>
      </c>
      <c r="AB24" s="351">
        <v>60</v>
      </c>
      <c r="AC24" s="351">
        <v>40</v>
      </c>
      <c r="AD24" s="351">
        <v>30</v>
      </c>
      <c r="AE24" s="351">
        <v>20</v>
      </c>
      <c r="AF24" s="351">
        <v>18</v>
      </c>
      <c r="AG24" s="351">
        <v>15</v>
      </c>
      <c r="AH24" s="351">
        <v>12</v>
      </c>
      <c r="AI24" s="351">
        <v>10</v>
      </c>
      <c r="AJ24" s="351">
        <v>8</v>
      </c>
      <c r="AK24" s="351">
        <v>6</v>
      </c>
    </row>
    <row r="25" spans="1:37" ht="18.75" customHeight="1" x14ac:dyDescent="0.25">
      <c r="A25" s="333" t="s">
        <v>64</v>
      </c>
      <c r="B25" s="458" t="str">
        <f>E7</f>
        <v>ÁDÁM</v>
      </c>
      <c r="C25" s="458"/>
      <c r="D25" s="459"/>
      <c r="E25" s="459"/>
      <c r="F25" s="460" t="s">
        <v>530</v>
      </c>
      <c r="G25" s="461"/>
      <c r="H25" s="460" t="s">
        <v>530</v>
      </c>
      <c r="I25" s="461"/>
      <c r="J25" s="465"/>
      <c r="K25" s="465"/>
      <c r="L25" s="267"/>
      <c r="M25" s="336"/>
      <c r="Y25" s="351"/>
      <c r="Z25" s="351"/>
      <c r="AA25" s="351" t="s">
        <v>94</v>
      </c>
      <c r="AB25" s="351">
        <v>40</v>
      </c>
      <c r="AC25" s="351">
        <v>25</v>
      </c>
      <c r="AD25" s="351">
        <v>18</v>
      </c>
      <c r="AE25" s="351">
        <v>13</v>
      </c>
      <c r="AF25" s="351">
        <v>8</v>
      </c>
      <c r="AG25" s="351">
        <v>7</v>
      </c>
      <c r="AH25" s="351">
        <v>6</v>
      </c>
      <c r="AI25" s="351">
        <v>5</v>
      </c>
      <c r="AJ25" s="351">
        <v>4</v>
      </c>
      <c r="AK25" s="351">
        <v>3</v>
      </c>
    </row>
    <row r="26" spans="1:37" ht="18.75" customHeight="1" x14ac:dyDescent="0.25">
      <c r="A26" s="333" t="s">
        <v>65</v>
      </c>
      <c r="B26" s="458" t="str">
        <f>E9</f>
        <v>BRANDHUBER</v>
      </c>
      <c r="C26" s="458"/>
      <c r="D26" s="460" t="s">
        <v>531</v>
      </c>
      <c r="E26" s="461"/>
      <c r="F26" s="459"/>
      <c r="G26" s="459"/>
      <c r="H26" s="460" t="s">
        <v>534</v>
      </c>
      <c r="I26" s="461"/>
      <c r="J26" s="461"/>
      <c r="K26" s="461"/>
      <c r="L26" s="267"/>
      <c r="M26" s="336">
        <v>1</v>
      </c>
      <c r="Y26" s="351"/>
      <c r="Z26" s="351"/>
      <c r="AA26" s="351" t="s">
        <v>95</v>
      </c>
      <c r="AB26" s="351">
        <v>25</v>
      </c>
      <c r="AC26" s="351">
        <v>15</v>
      </c>
      <c r="AD26" s="351">
        <v>13</v>
      </c>
      <c r="AE26" s="351">
        <v>7</v>
      </c>
      <c r="AF26" s="351">
        <v>6</v>
      </c>
      <c r="AG26" s="351">
        <v>5</v>
      </c>
      <c r="AH26" s="351">
        <v>4</v>
      </c>
      <c r="AI26" s="351">
        <v>3</v>
      </c>
      <c r="AJ26" s="351">
        <v>2</v>
      </c>
      <c r="AK26" s="351">
        <v>1</v>
      </c>
    </row>
    <row r="27" spans="1:37" ht="18.75" customHeight="1" x14ac:dyDescent="0.25">
      <c r="A27" s="333" t="s">
        <v>66</v>
      </c>
      <c r="B27" s="458" t="str">
        <f>E11</f>
        <v>PÁDÁR</v>
      </c>
      <c r="C27" s="458"/>
      <c r="D27" s="460" t="s">
        <v>531</v>
      </c>
      <c r="E27" s="461"/>
      <c r="F27" s="460" t="s">
        <v>535</v>
      </c>
      <c r="G27" s="461"/>
      <c r="H27" s="459"/>
      <c r="I27" s="459"/>
      <c r="J27" s="461"/>
      <c r="K27" s="461"/>
      <c r="L27" s="267"/>
      <c r="M27" s="336"/>
      <c r="Y27" s="351"/>
      <c r="Z27" s="351"/>
      <c r="AA27" s="351" t="s">
        <v>100</v>
      </c>
      <c r="AB27" s="351">
        <v>15</v>
      </c>
      <c r="AC27" s="351">
        <v>10</v>
      </c>
      <c r="AD27" s="351">
        <v>8</v>
      </c>
      <c r="AE27" s="351">
        <v>4</v>
      </c>
      <c r="AF27" s="351">
        <v>3</v>
      </c>
      <c r="AG27" s="351">
        <v>2</v>
      </c>
      <c r="AH27" s="351">
        <v>1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95" t="s">
        <v>71</v>
      </c>
      <c r="B28" s="458" t="str">
        <f>E13</f>
        <v/>
      </c>
      <c r="C28" s="458"/>
      <c r="D28" s="461"/>
      <c r="E28" s="461"/>
      <c r="F28" s="461"/>
      <c r="G28" s="461"/>
      <c r="H28" s="465"/>
      <c r="I28" s="465"/>
      <c r="J28" s="459"/>
      <c r="K28" s="459"/>
      <c r="L28" s="267"/>
      <c r="M28" s="336"/>
      <c r="Y28" s="351"/>
      <c r="Z28" s="351"/>
      <c r="AA28" s="351" t="s">
        <v>100</v>
      </c>
      <c r="AB28" s="351">
        <v>15</v>
      </c>
      <c r="AC28" s="351">
        <v>10</v>
      </c>
      <c r="AD28" s="351">
        <v>8</v>
      </c>
      <c r="AE28" s="351">
        <v>4</v>
      </c>
      <c r="AF28" s="351">
        <v>3</v>
      </c>
      <c r="AG28" s="351">
        <v>2</v>
      </c>
      <c r="AH28" s="351">
        <v>1</v>
      </c>
      <c r="AI28" s="351">
        <v>0</v>
      </c>
      <c r="AJ28" s="351">
        <v>0</v>
      </c>
      <c r="AK28" s="351">
        <v>0</v>
      </c>
    </row>
    <row r="29" spans="1:37" x14ac:dyDescent="0.25">
      <c r="A29" s="267"/>
      <c r="B29" s="267"/>
      <c r="C29" s="267"/>
      <c r="D29" s="439"/>
      <c r="E29" s="439"/>
      <c r="F29" s="439"/>
      <c r="G29" s="439"/>
      <c r="H29" s="439"/>
      <c r="I29" s="439"/>
      <c r="J29" s="439"/>
      <c r="K29" s="439"/>
      <c r="L29" s="267"/>
      <c r="M29" s="337"/>
      <c r="Y29" s="351"/>
      <c r="Z29" s="351"/>
      <c r="AA29" s="351" t="s">
        <v>96</v>
      </c>
      <c r="AB29" s="351">
        <v>10</v>
      </c>
      <c r="AC29" s="351">
        <v>6</v>
      </c>
      <c r="AD29" s="351">
        <v>4</v>
      </c>
      <c r="AE29" s="351">
        <v>2</v>
      </c>
      <c r="AF29" s="351">
        <v>1</v>
      </c>
      <c r="AG29" s="351">
        <v>0</v>
      </c>
      <c r="AH29" s="351">
        <v>0</v>
      </c>
      <c r="AI29" s="351">
        <v>0</v>
      </c>
      <c r="AJ29" s="351">
        <v>0</v>
      </c>
      <c r="AK29" s="351">
        <v>0</v>
      </c>
    </row>
    <row r="30" spans="1:37" ht="18.75" customHeight="1" x14ac:dyDescent="0.25">
      <c r="A30" s="267"/>
      <c r="B30" s="455"/>
      <c r="C30" s="455"/>
      <c r="D30" s="465" t="str">
        <f>E15</f>
        <v>KÖNYVES-TÓTH</v>
      </c>
      <c r="E30" s="465"/>
      <c r="F30" s="465" t="str">
        <f>E17</f>
        <v>NICZMANN</v>
      </c>
      <c r="G30" s="465"/>
      <c r="H30" s="471" t="str">
        <f>E19</f>
        <v>KŐSZEGI</v>
      </c>
      <c r="I30" s="472"/>
      <c r="J30" s="465" t="str">
        <f>E21</f>
        <v/>
      </c>
      <c r="K30" s="465"/>
      <c r="L30" s="267"/>
      <c r="M30" s="337"/>
      <c r="Y30" s="351"/>
      <c r="Z30" s="351"/>
      <c r="AA30" s="351" t="s">
        <v>97</v>
      </c>
      <c r="AB30" s="351">
        <v>3</v>
      </c>
      <c r="AC30" s="351">
        <v>2</v>
      </c>
      <c r="AD30" s="351">
        <v>1</v>
      </c>
      <c r="AE30" s="351">
        <v>0</v>
      </c>
      <c r="AF30" s="351">
        <v>0</v>
      </c>
      <c r="AG30" s="351">
        <v>0</v>
      </c>
      <c r="AH30" s="351">
        <v>0</v>
      </c>
      <c r="AI30" s="351">
        <v>0</v>
      </c>
      <c r="AJ30" s="351">
        <v>0</v>
      </c>
      <c r="AK30" s="351">
        <v>0</v>
      </c>
    </row>
    <row r="31" spans="1:37" ht="18.75" customHeight="1" x14ac:dyDescent="0.25">
      <c r="A31" s="395" t="s">
        <v>72</v>
      </c>
      <c r="B31" s="469" t="str">
        <f>E15</f>
        <v>KÖNYVES-TÓTH</v>
      </c>
      <c r="C31" s="470"/>
      <c r="D31" s="459"/>
      <c r="E31" s="459"/>
      <c r="F31" s="460" t="s">
        <v>554</v>
      </c>
      <c r="G31" s="461"/>
      <c r="H31" s="460" t="s">
        <v>530</v>
      </c>
      <c r="I31" s="461"/>
      <c r="J31" s="465"/>
      <c r="K31" s="465"/>
      <c r="L31" s="267"/>
      <c r="M31" s="336"/>
    </row>
    <row r="32" spans="1:37" ht="18.75" customHeight="1" x14ac:dyDescent="0.25">
      <c r="A32" s="395" t="s">
        <v>73</v>
      </c>
      <c r="B32" s="458" t="str">
        <f>E17</f>
        <v>NICZMANN</v>
      </c>
      <c r="C32" s="458"/>
      <c r="D32" s="460" t="s">
        <v>531</v>
      </c>
      <c r="E32" s="461"/>
      <c r="F32" s="459"/>
      <c r="G32" s="459"/>
      <c r="H32" s="460" t="s">
        <v>538</v>
      </c>
      <c r="I32" s="461"/>
      <c r="J32" s="461"/>
      <c r="K32" s="461"/>
      <c r="L32" s="267"/>
      <c r="M32" s="336">
        <v>1</v>
      </c>
    </row>
    <row r="33" spans="1:18" ht="18.75" customHeight="1" x14ac:dyDescent="0.25">
      <c r="A33" s="395" t="s">
        <v>77</v>
      </c>
      <c r="B33" s="458" t="str">
        <f>E19</f>
        <v>KŐSZEGI</v>
      </c>
      <c r="C33" s="458"/>
      <c r="D33" s="460" t="s">
        <v>531</v>
      </c>
      <c r="E33" s="461"/>
      <c r="F33" s="460" t="s">
        <v>539</v>
      </c>
      <c r="G33" s="461"/>
      <c r="H33" s="459"/>
      <c r="I33" s="459"/>
      <c r="J33" s="461"/>
      <c r="K33" s="461"/>
      <c r="L33" s="267"/>
      <c r="M33" s="336"/>
    </row>
    <row r="34" spans="1:18" ht="18.75" customHeight="1" x14ac:dyDescent="0.25">
      <c r="A34" s="395" t="s">
        <v>108</v>
      </c>
      <c r="B34" s="458" t="str">
        <f>E21</f>
        <v/>
      </c>
      <c r="C34" s="458"/>
      <c r="D34" s="461"/>
      <c r="E34" s="461"/>
      <c r="F34" s="461"/>
      <c r="G34" s="461"/>
      <c r="H34" s="465"/>
      <c r="I34" s="465"/>
      <c r="J34" s="459"/>
      <c r="K34" s="459"/>
      <c r="L34" s="267"/>
      <c r="M34" s="336"/>
    </row>
    <row r="35" spans="1:18" ht="18.75" customHeight="1" x14ac:dyDescent="0.25">
      <c r="A35" s="338"/>
      <c r="B35" s="339"/>
      <c r="C35" s="339"/>
      <c r="D35" s="338"/>
      <c r="E35" s="338"/>
      <c r="F35" s="338"/>
      <c r="G35" s="338"/>
      <c r="H35" s="338"/>
      <c r="I35" s="338"/>
      <c r="J35" s="267"/>
      <c r="K35" s="267"/>
      <c r="L35" s="267"/>
      <c r="M35" s="340"/>
    </row>
    <row r="36" spans="1:18" x14ac:dyDescent="0.2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8" x14ac:dyDescent="0.25">
      <c r="A37" s="267" t="s">
        <v>58</v>
      </c>
      <c r="B37" s="267"/>
      <c r="C37" s="468" t="str">
        <f>IF(M25=1,B25,IF(M26=1,B26,IF(M27=1,B27,IF(M28=1,B28,""))))</f>
        <v>BRANDHUBER</v>
      </c>
      <c r="D37" s="468"/>
      <c r="E37" s="301" t="s">
        <v>75</v>
      </c>
      <c r="F37" s="468" t="str">
        <f>IF(M31=1,B31,IF(M32=1,B32,IF(M33=1,B33,IF(M34=1,B34,""))))</f>
        <v>NICZMANN</v>
      </c>
      <c r="G37" s="468"/>
      <c r="H37" s="267"/>
      <c r="I37" s="245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301"/>
      <c r="G38" s="301"/>
      <c r="H38" s="267"/>
      <c r="I38" s="267"/>
      <c r="J38" s="267"/>
      <c r="K38" s="267"/>
      <c r="L38" s="267"/>
      <c r="M38" s="267"/>
    </row>
    <row r="39" spans="1:18" x14ac:dyDescent="0.25">
      <c r="A39" s="267" t="s">
        <v>74</v>
      </c>
      <c r="B39" s="267"/>
      <c r="C39" s="468" t="str">
        <f>IF(M25=2,B25,IF(M26=2,B26,IF(M27=2,B27,IF(M28=2,B28,""))))</f>
        <v/>
      </c>
      <c r="D39" s="468"/>
      <c r="E39" s="301" t="s">
        <v>75</v>
      </c>
      <c r="F39" s="468" t="str">
        <f>IF(M31=2,B31,IF(M32=2,B32,IF(M33=2,B33,IF(M34=2,B34,""))))</f>
        <v/>
      </c>
      <c r="G39" s="468"/>
      <c r="H39" s="267"/>
      <c r="I39" s="245"/>
      <c r="J39" s="267"/>
      <c r="K39" s="267"/>
      <c r="L39" s="267"/>
      <c r="M39" s="267"/>
    </row>
    <row r="40" spans="1:18" x14ac:dyDescent="0.25">
      <c r="A40" s="267"/>
      <c r="B40" s="267"/>
      <c r="C40" s="301"/>
      <c r="D40" s="301"/>
      <c r="E40" s="301"/>
      <c r="F40" s="301"/>
      <c r="G40" s="301"/>
      <c r="H40" s="267"/>
      <c r="I40" s="267"/>
      <c r="J40" s="267"/>
      <c r="K40" s="267"/>
      <c r="L40" s="267"/>
      <c r="M40" s="267"/>
    </row>
    <row r="41" spans="1:18" x14ac:dyDescent="0.25">
      <c r="A41" s="267" t="s">
        <v>76</v>
      </c>
      <c r="B41" s="267"/>
      <c r="C41" s="468" t="str">
        <f>IF(M25=3,B25,IF(M26=3,B26,IF(M27=3,B27,IF(M28=3,B28,""))))</f>
        <v/>
      </c>
      <c r="D41" s="468"/>
      <c r="E41" s="301" t="s">
        <v>75</v>
      </c>
      <c r="F41" s="468" t="str">
        <f>IF(M31=3,B31,IF(M32=3,B32,IF(M33=3,B33,IF(M34=3,B34,""))))</f>
        <v/>
      </c>
      <c r="G41" s="468"/>
      <c r="H41" s="267"/>
      <c r="I41" s="245"/>
      <c r="J41" s="267"/>
      <c r="K41" s="267"/>
      <c r="L41" s="267"/>
      <c r="M41" s="267"/>
    </row>
    <row r="42" spans="1:18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8" x14ac:dyDescent="0.25">
      <c r="A43" s="302" t="s">
        <v>109</v>
      </c>
      <c r="B43" s="267"/>
      <c r="C43" s="468">
        <f>IF(M25=4,B25,IF(M26=4,B26,IF(M27=4,B27,IF(M28=4,B28,))))</f>
        <v>0</v>
      </c>
      <c r="D43" s="468"/>
      <c r="E43" s="301" t="s">
        <v>75</v>
      </c>
      <c r="F43" s="468" t="str">
        <f>IF(M31=3,B31,IF(M32=3,B32,IF(M33=4,B33,IF(M34=4,B34,""))))</f>
        <v/>
      </c>
      <c r="G43" s="468"/>
      <c r="H43" s="267"/>
      <c r="I43" s="245"/>
      <c r="J43" s="267"/>
      <c r="K43" s="267"/>
      <c r="L43" s="267"/>
      <c r="M43" s="267"/>
    </row>
    <row r="44" spans="1:18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45"/>
      <c r="M44" s="267"/>
      <c r="P44" s="303"/>
      <c r="Q44" s="303"/>
      <c r="R44" s="304"/>
    </row>
    <row r="45" spans="1:18" x14ac:dyDescent="0.25">
      <c r="A45" s="136" t="s">
        <v>43</v>
      </c>
      <c r="B45" s="137"/>
      <c r="C45" s="203"/>
      <c r="D45" s="309" t="s">
        <v>4</v>
      </c>
      <c r="E45" s="310" t="s">
        <v>45</v>
      </c>
      <c r="F45" s="324"/>
      <c r="G45" s="309" t="s">
        <v>4</v>
      </c>
      <c r="H45" s="310" t="s">
        <v>54</v>
      </c>
      <c r="I45" s="159"/>
      <c r="J45" s="310" t="s">
        <v>55</v>
      </c>
      <c r="K45" s="158" t="s">
        <v>56</v>
      </c>
      <c r="L45" s="33"/>
      <c r="M45" s="324"/>
      <c r="P45" s="305"/>
      <c r="Q45" s="305"/>
      <c r="R45" s="306"/>
    </row>
    <row r="46" spans="1:18" x14ac:dyDescent="0.25">
      <c r="A46" s="278" t="s">
        <v>44</v>
      </c>
      <c r="B46" s="279"/>
      <c r="C46" s="281"/>
      <c r="D46" s="311">
        <v>1</v>
      </c>
      <c r="E46" s="462" t="str">
        <f>IF(D46&gt;$R$47,,UPPER(VLOOKUP(D46,'Lány 3B ELO'!$A$7:$Q$134,2)))</f>
        <v>BARANYI</v>
      </c>
      <c r="F46" s="462"/>
      <c r="G46" s="318" t="s">
        <v>5</v>
      </c>
      <c r="H46" s="279"/>
      <c r="I46" s="312"/>
      <c r="J46" s="319"/>
      <c r="K46" s="273" t="s">
        <v>46</v>
      </c>
      <c r="L46" s="325"/>
      <c r="M46" s="313"/>
      <c r="P46" s="306"/>
      <c r="Q46" s="307"/>
      <c r="R46" s="306"/>
    </row>
    <row r="47" spans="1:18" x14ac:dyDescent="0.25">
      <c r="A47" s="282" t="s">
        <v>53</v>
      </c>
      <c r="B47" s="157"/>
      <c r="C47" s="284"/>
      <c r="D47" s="314">
        <v>2</v>
      </c>
      <c r="E47" s="463" t="str">
        <f>IF(D47&gt;$R$47,,UPPER(VLOOKUP(D47,'Lány 3B ELO'!$A$7:$Q$134,2)))</f>
        <v>HASANOVIC</v>
      </c>
      <c r="F47" s="463"/>
      <c r="G47" s="320" t="s">
        <v>6</v>
      </c>
      <c r="H47" s="83"/>
      <c r="I47" s="271"/>
      <c r="J47" s="84"/>
      <c r="K47" s="322"/>
      <c r="L47" s="245"/>
      <c r="M47" s="317"/>
      <c r="P47" s="305"/>
      <c r="Q47" s="305"/>
      <c r="R47" s="308">
        <f>MIN(4,'Lány 3B ELO'!Q2)</f>
        <v>4</v>
      </c>
    </row>
    <row r="48" spans="1:18" x14ac:dyDescent="0.25">
      <c r="A48" s="172"/>
      <c r="B48" s="173"/>
      <c r="C48" s="174"/>
      <c r="D48" s="314"/>
      <c r="E48" s="85"/>
      <c r="F48" s="267"/>
      <c r="G48" s="320" t="s">
        <v>7</v>
      </c>
      <c r="H48" s="83"/>
      <c r="I48" s="271"/>
      <c r="J48" s="84"/>
      <c r="K48" s="273" t="s">
        <v>47</v>
      </c>
      <c r="L48" s="325"/>
      <c r="M48" s="313"/>
      <c r="P48" s="306"/>
      <c r="Q48" s="307"/>
      <c r="R48" s="306"/>
    </row>
    <row r="49" spans="1:18" x14ac:dyDescent="0.25">
      <c r="A49" s="148"/>
      <c r="B49" s="116"/>
      <c r="C49" s="149"/>
      <c r="D49" s="314"/>
      <c r="E49" s="85"/>
      <c r="F49" s="267"/>
      <c r="G49" s="320" t="s">
        <v>8</v>
      </c>
      <c r="H49" s="83"/>
      <c r="I49" s="271"/>
      <c r="J49" s="84"/>
      <c r="K49" s="323"/>
      <c r="L49" s="267"/>
      <c r="M49" s="315"/>
      <c r="P49" s="306"/>
      <c r="Q49" s="307"/>
      <c r="R49" s="306"/>
    </row>
    <row r="50" spans="1:18" x14ac:dyDescent="0.25">
      <c r="A50" s="161"/>
      <c r="B50" s="175"/>
      <c r="C50" s="202"/>
      <c r="D50" s="314"/>
      <c r="E50" s="85"/>
      <c r="F50" s="267"/>
      <c r="G50" s="320" t="s">
        <v>9</v>
      </c>
      <c r="H50" s="83"/>
      <c r="I50" s="271"/>
      <c r="J50" s="84"/>
      <c r="K50" s="282"/>
      <c r="L50" s="245"/>
      <c r="M50" s="317"/>
      <c r="P50" s="305"/>
      <c r="Q50" s="305"/>
      <c r="R50" s="306"/>
    </row>
    <row r="51" spans="1:18" x14ac:dyDescent="0.25">
      <c r="A51" s="162"/>
      <c r="B51" s="22"/>
      <c r="C51" s="149"/>
      <c r="D51" s="314"/>
      <c r="E51" s="85"/>
      <c r="F51" s="267"/>
      <c r="G51" s="320" t="s">
        <v>10</v>
      </c>
      <c r="H51" s="83"/>
      <c r="I51" s="271"/>
      <c r="J51" s="84"/>
      <c r="K51" s="273" t="s">
        <v>33</v>
      </c>
      <c r="L51" s="325"/>
      <c r="M51" s="313"/>
      <c r="P51" s="306"/>
      <c r="Q51" s="307"/>
      <c r="R51" s="306"/>
    </row>
    <row r="52" spans="1:18" x14ac:dyDescent="0.25">
      <c r="A52" s="162"/>
      <c r="B52" s="22"/>
      <c r="C52" s="170"/>
      <c r="D52" s="314"/>
      <c r="E52" s="85"/>
      <c r="F52" s="267"/>
      <c r="G52" s="320" t="s">
        <v>11</v>
      </c>
      <c r="H52" s="83"/>
      <c r="I52" s="271"/>
      <c r="J52" s="84"/>
      <c r="K52" s="323"/>
      <c r="L52" s="267"/>
      <c r="M52" s="315"/>
      <c r="P52" s="306"/>
      <c r="Q52" s="307"/>
      <c r="R52" s="308"/>
    </row>
    <row r="53" spans="1:18" x14ac:dyDescent="0.25">
      <c r="A53" s="163"/>
      <c r="B53" s="160"/>
      <c r="C53" s="171"/>
      <c r="D53" s="316"/>
      <c r="E53" s="150"/>
      <c r="F53" s="245"/>
      <c r="G53" s="321" t="s">
        <v>12</v>
      </c>
      <c r="H53" s="157"/>
      <c r="I53" s="275"/>
      <c r="J53" s="152"/>
      <c r="K53" s="282" t="str">
        <f>L4</f>
        <v>Rákóczi Andrea</v>
      </c>
      <c r="L53" s="245"/>
      <c r="M53" s="31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13" priority="3" stopIfTrue="1" operator="equal">
      <formula>"Bye"</formula>
    </cfRule>
  </conditionalFormatting>
  <conditionalFormatting sqref="I11">
    <cfRule type="expression" dxfId="112" priority="1" stopIfTrue="1">
      <formula>$Q11&gt;=1</formula>
    </cfRule>
    <cfRule type="expression" dxfId="111" priority="2" stopIfTrue="1">
      <formula>$O11&gt;=1</formula>
    </cfRule>
  </conditionalFormatting>
  <conditionalFormatting sqref="R47 R52">
    <cfRule type="expression" dxfId="110" priority="4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7">
    <tabColor indexed="11"/>
  </sheetPr>
  <dimension ref="A1:AS140"/>
  <sheetViews>
    <sheetView workbookViewId="0">
      <selection activeCell="V20" sqref="V20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9" customWidth="1"/>
  </cols>
  <sheetData>
    <row r="1" spans="1:45" s="114" customFormat="1" ht="21.75" customHeight="1" x14ac:dyDescent="0.25">
      <c r="A1" s="215" t="str">
        <f>Altalanos!$A$6</f>
        <v>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62" t="e">
        <f>IF($Y$5=1,CONCATENATE(VLOOKUP($Y$3,$AA$2:$AH$14,2)),CONCATENATE(VLOOKUP($Y$3,$AA$16:$AH$25,2)))</f>
        <v>#N/A</v>
      </c>
      <c r="AC1" s="362" t="e">
        <f>IF($Y$5=1,CONCATENATE(VLOOKUP($Y$3,$AA$2:$AH$14,3)),CONCATENATE(VLOOKUP($Y$3,$AA$16:$AH$25,3)))</f>
        <v>#N/A</v>
      </c>
      <c r="AD1" s="362" t="e">
        <f>IF($Y$5=1,CONCATENATE(VLOOKUP($Y$3,$AA$2:$AH$14,4)),CONCATENATE(VLOOKUP($Y$3,$AA$16:$AH$25,4)))</f>
        <v>#N/A</v>
      </c>
      <c r="AE1" s="362" t="e">
        <f>IF($Y$5=1,CONCATENATE(VLOOKUP($Y$3,$AA$2:$AH$14,5)),CONCATENATE(VLOOKUP($Y$3,$AA$16:$AH$25,5)))</f>
        <v>#N/A</v>
      </c>
      <c r="AF1" s="362" t="e">
        <f>IF($Y$5=1,CONCATENATE(VLOOKUP($Y$3,$AA$2:$AH$14,6)),CONCATENATE(VLOOKUP($Y$3,$AA$16:$AH$25,6)))</f>
        <v>#N/A</v>
      </c>
      <c r="AG1" s="362" t="e">
        <f>IF($Y$5=1,CONCATENATE(VLOOKUP($Y$3,$AA$2:$AH$14,7)),CONCATENATE(VLOOKUP($Y$3,$AA$16:$AH$25,7)))</f>
        <v>#N/A</v>
      </c>
      <c r="AH1" s="362" t="e">
        <f>IF($Y$5=1,CONCATENATE(VLOOKUP($Y$3,$AA$2:$AH$14,8)),CONCATENATE(VLOOKUP($Y$3,$AA$16:$AH$25,8)))</f>
        <v>#N/A</v>
      </c>
      <c r="AI1" s="366"/>
      <c r="AJ1" s="366"/>
      <c r="AK1" s="366"/>
    </row>
    <row r="2" spans="1:45" s="96" customFormat="1" x14ac:dyDescent="0.25">
      <c r="A2" s="222" t="s">
        <v>51</v>
      </c>
      <c r="B2" s="223"/>
      <c r="C2" s="223"/>
      <c r="D2" s="223"/>
      <c r="E2" s="411" t="str">
        <f>Altalanos!$B$8</f>
        <v>3 lány B elo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52"/>
      <c r="Z2" s="351"/>
      <c r="AA2" s="351" t="s">
        <v>64</v>
      </c>
      <c r="AB2" s="342">
        <v>300</v>
      </c>
      <c r="AC2" s="342">
        <v>250</v>
      </c>
      <c r="AD2" s="342">
        <v>200</v>
      </c>
      <c r="AE2" s="342">
        <v>150</v>
      </c>
      <c r="AF2" s="342">
        <v>120</v>
      </c>
      <c r="AG2" s="342">
        <v>90</v>
      </c>
      <c r="AH2" s="342">
        <v>40</v>
      </c>
      <c r="AI2" s="326"/>
      <c r="AJ2" s="326"/>
      <c r="AK2" s="326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51" t="str">
        <f>IF(K4="OB","A",IF(K4="IX","W",IF(K4="","",K4)))</f>
        <v/>
      </c>
      <c r="Z3" s="351"/>
      <c r="AA3" s="351" t="s">
        <v>65</v>
      </c>
      <c r="AB3" s="342">
        <v>280</v>
      </c>
      <c r="AC3" s="342">
        <v>230</v>
      </c>
      <c r="AD3" s="342">
        <v>180</v>
      </c>
      <c r="AE3" s="342">
        <v>140</v>
      </c>
      <c r="AF3" s="342">
        <v>80</v>
      </c>
      <c r="AG3" s="342">
        <v>0</v>
      </c>
      <c r="AH3" s="342">
        <v>0</v>
      </c>
      <c r="AI3" s="326"/>
      <c r="AJ3" s="326"/>
      <c r="AK3" s="326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54" t="str">
        <f>Altalanos!$A$10</f>
        <v>2024.05.27-06.01.</v>
      </c>
      <c r="B4" s="454"/>
      <c r="C4" s="454"/>
      <c r="D4" s="227"/>
      <c r="E4" s="228"/>
      <c r="F4" s="228"/>
      <c r="G4" s="228" t="str">
        <f>Altalanos!$C$10</f>
        <v>Balatonboglár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51"/>
      <c r="Z4" s="351"/>
      <c r="AA4" s="351" t="s">
        <v>88</v>
      </c>
      <c r="AB4" s="342">
        <v>250</v>
      </c>
      <c r="AC4" s="342">
        <v>200</v>
      </c>
      <c r="AD4" s="342">
        <v>150</v>
      </c>
      <c r="AE4" s="342">
        <v>120</v>
      </c>
      <c r="AF4" s="342">
        <v>90</v>
      </c>
      <c r="AG4" s="342">
        <v>60</v>
      </c>
      <c r="AH4" s="342">
        <v>25</v>
      </c>
      <c r="AI4" s="326"/>
      <c r="AJ4" s="326"/>
      <c r="AK4" s="326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51">
        <f>IF(OR(Altalanos!$A$8="F1",Altalanos!$A$8="F2",Altalanos!$A$8="N1",Altalanos!$A$8="N2"),1,2)</f>
        <v>2</v>
      </c>
      <c r="Z5" s="351"/>
      <c r="AA5" s="351" t="s">
        <v>89</v>
      </c>
      <c r="AB5" s="342">
        <v>200</v>
      </c>
      <c r="AC5" s="342">
        <v>150</v>
      </c>
      <c r="AD5" s="342">
        <v>120</v>
      </c>
      <c r="AE5" s="342">
        <v>90</v>
      </c>
      <c r="AF5" s="342">
        <v>60</v>
      </c>
      <c r="AG5" s="342">
        <v>40</v>
      </c>
      <c r="AH5" s="342">
        <v>15</v>
      </c>
      <c r="AI5" s="326"/>
      <c r="AJ5" s="326"/>
      <c r="AK5" s="326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56"/>
      <c r="B6" s="357"/>
      <c r="C6" s="357"/>
      <c r="D6" s="357"/>
      <c r="E6" s="357"/>
      <c r="F6" s="356" t="str">
        <f>IF(Y3="","",CONCATENATE(VLOOKUP(Y3,AB1:AH1,4)," pont"))</f>
        <v/>
      </c>
      <c r="G6" s="358"/>
      <c r="H6" s="5"/>
      <c r="I6" s="358"/>
      <c r="J6" s="359"/>
      <c r="K6" s="357" t="str">
        <f>IF(Y3="","",CONCATENATE(VLOOKUP(Y3,AB1:AH1,3)," pont"))</f>
        <v/>
      </c>
      <c r="L6" s="359"/>
      <c r="M6" s="357" t="str">
        <f>IF(Y3="","",CONCATENATE(VLOOKUP(Y3,AB1:AH1,2)," pont"))</f>
        <v/>
      </c>
      <c r="N6" s="359"/>
      <c r="O6" s="357" t="str">
        <f>IF(Y3="","",CONCATENATE(VLOOKUP(Y3,AB1:AH1,1)," pont"))</f>
        <v/>
      </c>
      <c r="P6" s="359"/>
      <c r="Q6" s="357"/>
      <c r="R6" s="360"/>
      <c r="T6" s="262"/>
      <c r="U6" s="262"/>
      <c r="V6" s="262"/>
      <c r="W6" s="262"/>
      <c r="X6" s="262"/>
      <c r="Y6" s="351"/>
      <c r="Z6" s="351"/>
      <c r="AA6" s="351" t="s">
        <v>90</v>
      </c>
      <c r="AB6" s="342">
        <v>150</v>
      </c>
      <c r="AC6" s="342">
        <v>120</v>
      </c>
      <c r="AD6" s="342">
        <v>90</v>
      </c>
      <c r="AE6" s="342">
        <v>60</v>
      </c>
      <c r="AF6" s="342">
        <v>40</v>
      </c>
      <c r="AG6" s="342">
        <v>25</v>
      </c>
      <c r="AH6" s="342">
        <v>10</v>
      </c>
      <c r="AI6" s="326"/>
      <c r="AJ6" s="326"/>
      <c r="AK6" s="326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3">
      <c r="A7" s="121">
        <v>1</v>
      </c>
      <c r="B7" s="234">
        <v>0</v>
      </c>
      <c r="C7" s="235">
        <v>0</v>
      </c>
      <c r="D7" s="235">
        <v>0</v>
      </c>
      <c r="E7" s="236"/>
      <c r="F7" s="237" t="s">
        <v>354</v>
      </c>
      <c r="G7" s="237" t="s">
        <v>259</v>
      </c>
      <c r="H7" s="237"/>
      <c r="I7" s="428" t="s">
        <v>336</v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51"/>
      <c r="Z7" s="351"/>
      <c r="AA7" s="351" t="s">
        <v>91</v>
      </c>
      <c r="AB7" s="342">
        <v>120</v>
      </c>
      <c r="AC7" s="342">
        <v>90</v>
      </c>
      <c r="AD7" s="342">
        <v>60</v>
      </c>
      <c r="AE7" s="342">
        <v>40</v>
      </c>
      <c r="AF7" s="342">
        <v>25</v>
      </c>
      <c r="AG7" s="342">
        <v>10</v>
      </c>
      <c r="AH7" s="342">
        <v>5</v>
      </c>
      <c r="AI7" s="326"/>
      <c r="AJ7" s="326"/>
      <c r="AK7" s="326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94" t="s">
        <v>0</v>
      </c>
      <c r="J8" s="128" t="s">
        <v>561</v>
      </c>
      <c r="K8" s="244" t="str">
        <f>UPPER(IF(OR(J8="a",J8="as"),F7,IF(OR(J8="b",J8="bs"),F9,)))</f>
        <v>ŐRI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51"/>
      <c r="Z8" s="351"/>
      <c r="AA8" s="351" t="s">
        <v>92</v>
      </c>
      <c r="AB8" s="342">
        <v>90</v>
      </c>
      <c r="AC8" s="342">
        <v>60</v>
      </c>
      <c r="AD8" s="342">
        <v>40</v>
      </c>
      <c r="AE8" s="342">
        <v>25</v>
      </c>
      <c r="AF8" s="342">
        <v>10</v>
      </c>
      <c r="AG8" s="342">
        <v>5</v>
      </c>
      <c r="AH8" s="342">
        <v>2</v>
      </c>
      <c r="AI8" s="326"/>
      <c r="AJ8" s="326"/>
      <c r="AK8" s="326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>
        <f>IF($E9="","",VLOOKUP($E9,'Lány 3B ELO'!$A$7:$O$22,14))</f>
        <v>0</v>
      </c>
      <c r="C9" s="235">
        <f>IF($E9="","",VLOOKUP($E9,'Lány 3B ELO'!$A$7:$O$22,15))</f>
        <v>0</v>
      </c>
      <c r="D9" s="235">
        <f>IF($E9="","",VLOOKUP($E9,'Lány 3B ELO'!$A$7:$O$22,5))</f>
        <v>0</v>
      </c>
      <c r="E9" s="385">
        <v>6</v>
      </c>
      <c r="F9" s="286" t="str">
        <f>UPPER(IF($E9="","",VLOOKUP($E9,'Lány 3B ELO'!$A$7:$O$22,2)))</f>
        <v>BUKÓ</v>
      </c>
      <c r="G9" s="286" t="str">
        <f>IF($E9="","",VLOOKUP($E9,'Lány 3B ELO'!$A$7:$O$22,3))</f>
        <v>Lora</v>
      </c>
      <c r="H9" s="286"/>
      <c r="I9" s="286" t="str">
        <f>IF($E9="","",VLOOKUP($E9,'Lány 3B ELO'!$A$7:$O$22,4))</f>
        <v>Kazincbarcikai Pollack Mihály Általános Iskola</v>
      </c>
      <c r="J9" s="246"/>
      <c r="K9" s="250" t="s">
        <v>536</v>
      </c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51"/>
      <c r="Z9" s="351"/>
      <c r="AA9" s="351" t="s">
        <v>93</v>
      </c>
      <c r="AB9" s="342">
        <v>60</v>
      </c>
      <c r="AC9" s="342">
        <v>40</v>
      </c>
      <c r="AD9" s="342">
        <v>25</v>
      </c>
      <c r="AE9" s="342">
        <v>10</v>
      </c>
      <c r="AF9" s="342">
        <v>5</v>
      </c>
      <c r="AG9" s="342">
        <v>2</v>
      </c>
      <c r="AH9" s="342">
        <v>1</v>
      </c>
      <c r="AI9" s="326"/>
      <c r="AJ9" s="326"/>
      <c r="AK9" s="326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86"/>
      <c r="F10" s="387"/>
      <c r="G10" s="387"/>
      <c r="H10" s="388"/>
      <c r="I10" s="387"/>
      <c r="J10" s="248"/>
      <c r="K10" s="394" t="s">
        <v>0</v>
      </c>
      <c r="L10" s="129" t="s">
        <v>560</v>
      </c>
      <c r="M10" s="244" t="str">
        <f>UPPER(IF(OR(L10="a",L10="as"),K8,IF(OR(L10="b",L10="bs"),K12,)))</f>
        <v>JÓZSA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51"/>
      <c r="Z10" s="351"/>
      <c r="AA10" s="351" t="s">
        <v>94</v>
      </c>
      <c r="AB10" s="342">
        <v>40</v>
      </c>
      <c r="AC10" s="342">
        <v>25</v>
      </c>
      <c r="AD10" s="342">
        <v>15</v>
      </c>
      <c r="AE10" s="342">
        <v>7</v>
      </c>
      <c r="AF10" s="342">
        <v>4</v>
      </c>
      <c r="AG10" s="342">
        <v>1</v>
      </c>
      <c r="AH10" s="342">
        <v>0</v>
      </c>
      <c r="AI10" s="326"/>
      <c r="AJ10" s="326"/>
      <c r="AK10" s="326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>
        <f>IF($E11="","",VLOOKUP($E11,'Lány 3B ELO'!$A$7:$O$22,14))</f>
        <v>0</v>
      </c>
      <c r="C11" s="235">
        <f>IF($E11="","",VLOOKUP($E11,'Lány 3B ELO'!$A$7:$O$22,15))</f>
        <v>0</v>
      </c>
      <c r="D11" s="235">
        <f>IF($E11="","",VLOOKUP($E11,'Lány 3B ELO'!$A$7:$O$22,5))</f>
        <v>0</v>
      </c>
      <c r="E11" s="385">
        <v>5</v>
      </c>
      <c r="F11" s="425" t="s">
        <v>355</v>
      </c>
      <c r="G11" s="425" t="s">
        <v>322</v>
      </c>
      <c r="H11" s="286"/>
      <c r="I11" s="425" t="s">
        <v>556</v>
      </c>
      <c r="J11" s="238"/>
      <c r="K11" s="239"/>
      <c r="L11" s="251"/>
      <c r="M11" s="250" t="s">
        <v>534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51"/>
      <c r="Z11" s="351"/>
      <c r="AA11" s="351" t="s">
        <v>95</v>
      </c>
      <c r="AB11" s="342">
        <v>25</v>
      </c>
      <c r="AC11" s="342">
        <v>15</v>
      </c>
      <c r="AD11" s="342">
        <v>10</v>
      </c>
      <c r="AE11" s="342">
        <v>6</v>
      </c>
      <c r="AF11" s="342">
        <v>3</v>
      </c>
      <c r="AG11" s="342">
        <v>1</v>
      </c>
      <c r="AH11" s="342">
        <v>0</v>
      </c>
      <c r="AI11" s="326"/>
      <c r="AJ11" s="326"/>
      <c r="AK11" s="326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86"/>
      <c r="F12" s="387"/>
      <c r="G12" s="387"/>
      <c r="H12" s="388"/>
      <c r="I12" s="394" t="s">
        <v>0</v>
      </c>
      <c r="J12" s="128" t="s">
        <v>561</v>
      </c>
      <c r="K12" s="244" t="str">
        <f>UPPER(IF(OR(J12="a",J12="as"),F11,IF(OR(J12="b",J12="bs"),F13,)))</f>
        <v>JÓZSA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51"/>
      <c r="Z12" s="351"/>
      <c r="AA12" s="351" t="s">
        <v>100</v>
      </c>
      <c r="AB12" s="342">
        <v>15</v>
      </c>
      <c r="AC12" s="342">
        <v>10</v>
      </c>
      <c r="AD12" s="342">
        <v>6</v>
      </c>
      <c r="AE12" s="342">
        <v>3</v>
      </c>
      <c r="AF12" s="342">
        <v>1</v>
      </c>
      <c r="AG12" s="342">
        <v>0</v>
      </c>
      <c r="AH12" s="342">
        <v>0</v>
      </c>
      <c r="AI12" s="326"/>
      <c r="AJ12" s="326"/>
      <c r="AK12" s="326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>
        <f>IF($E13="","",VLOOKUP($E13,'Lány 3B ELO'!$A$7:$O$22,14))</f>
        <v>0</v>
      </c>
      <c r="C13" s="235">
        <f>IF($E13="","",VLOOKUP($E13,'Lány 3B ELO'!$A$7:$O$22,15))</f>
        <v>0</v>
      </c>
      <c r="D13" s="235">
        <f>IF($E13="","",VLOOKUP($E13,'Lány 3B ELO'!$A$7:$O$22,5))</f>
        <v>0</v>
      </c>
      <c r="E13" s="385">
        <v>16</v>
      </c>
      <c r="F13" s="286" t="str">
        <f>UPPER(IF($E13="","",VLOOKUP($E13,'Lány 3B ELO'!$A$7:$O$22,2)))</f>
        <v xml:space="preserve">SZABÓ </v>
      </c>
      <c r="G13" s="286" t="str">
        <f>IF($E13="","",VLOOKUP($E13,'Lány 3B ELO'!$A$7:$O$22,3))</f>
        <v>Kincső</v>
      </c>
      <c r="H13" s="286"/>
      <c r="I13" s="286" t="str">
        <f>IF($E13="","",VLOOKUP($E13,'Lány 3B ELO'!$A$7:$O$22,4))</f>
        <v>Esztergomi Dobó Katalin Gimnázium</v>
      </c>
      <c r="J13" s="254"/>
      <c r="K13" s="250" t="s">
        <v>534</v>
      </c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51"/>
      <c r="Z13" s="351"/>
      <c r="AA13" s="351" t="s">
        <v>96</v>
      </c>
      <c r="AB13" s="342">
        <v>10</v>
      </c>
      <c r="AC13" s="342">
        <v>6</v>
      </c>
      <c r="AD13" s="342">
        <v>3</v>
      </c>
      <c r="AE13" s="342">
        <v>1</v>
      </c>
      <c r="AF13" s="342">
        <v>0</v>
      </c>
      <c r="AG13" s="342">
        <v>0</v>
      </c>
      <c r="AH13" s="342">
        <v>0</v>
      </c>
      <c r="AI13" s="326"/>
      <c r="AJ13" s="326"/>
      <c r="AK13" s="326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86"/>
      <c r="F14" s="387"/>
      <c r="G14" s="387"/>
      <c r="H14" s="388"/>
      <c r="I14" s="387"/>
      <c r="J14" s="248"/>
      <c r="K14" s="239"/>
      <c r="L14" s="239"/>
      <c r="M14" s="394" t="s">
        <v>0</v>
      </c>
      <c r="N14" s="129" t="s">
        <v>561</v>
      </c>
      <c r="O14" s="244" t="str">
        <f>UPPER(IF(OR(N14="a",N14="as"),M10,IF(OR(N14="b",N14="bs"),M18,)))</f>
        <v>JÓZSA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51"/>
      <c r="Z14" s="351"/>
      <c r="AA14" s="351" t="s">
        <v>97</v>
      </c>
      <c r="AB14" s="342">
        <v>3</v>
      </c>
      <c r="AC14" s="342">
        <v>2</v>
      </c>
      <c r="AD14" s="342">
        <v>1</v>
      </c>
      <c r="AE14" s="342">
        <v>0</v>
      </c>
      <c r="AF14" s="342">
        <v>0</v>
      </c>
      <c r="AG14" s="342">
        <v>0</v>
      </c>
      <c r="AH14" s="342">
        <v>0</v>
      </c>
      <c r="AI14" s="326"/>
      <c r="AJ14" s="326"/>
      <c r="AK14" s="326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>
        <v>0</v>
      </c>
      <c r="C15" s="235">
        <v>0</v>
      </c>
      <c r="D15" s="235">
        <v>0</v>
      </c>
      <c r="E15" s="385"/>
      <c r="F15" s="425" t="s">
        <v>359</v>
      </c>
      <c r="G15" s="425" t="s">
        <v>259</v>
      </c>
      <c r="H15" s="286"/>
      <c r="I15" s="425" t="s">
        <v>555</v>
      </c>
      <c r="J15" s="256"/>
      <c r="K15" s="239"/>
      <c r="L15" s="239"/>
      <c r="M15" s="239"/>
      <c r="N15" s="252"/>
      <c r="O15" s="250" t="s">
        <v>538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26"/>
      <c r="AJ15" s="326"/>
      <c r="AK15" s="326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86"/>
      <c r="F16" s="387"/>
      <c r="G16" s="387"/>
      <c r="H16" s="388"/>
      <c r="I16" s="394" t="s">
        <v>0</v>
      </c>
      <c r="J16" s="128" t="s">
        <v>561</v>
      </c>
      <c r="K16" s="244" t="str">
        <f>UPPER(IF(OR(J16="a",J16="as"),F15,IF(OR(J16="b",J16="bs"),F17,)))</f>
        <v>BRANDHUBER</v>
      </c>
      <c r="L16" s="244"/>
      <c r="M16" s="239"/>
      <c r="N16" s="252"/>
      <c r="O16" s="394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51"/>
      <c r="Z16" s="351"/>
      <c r="AA16" s="351" t="s">
        <v>64</v>
      </c>
      <c r="AB16" s="342">
        <v>150</v>
      </c>
      <c r="AC16" s="342">
        <v>120</v>
      </c>
      <c r="AD16" s="342">
        <v>90</v>
      </c>
      <c r="AE16" s="342">
        <v>60</v>
      </c>
      <c r="AF16" s="342">
        <v>40</v>
      </c>
      <c r="AG16" s="342">
        <v>25</v>
      </c>
      <c r="AH16" s="342">
        <v>15</v>
      </c>
      <c r="AI16" s="326"/>
      <c r="AJ16" s="326"/>
      <c r="AK16" s="326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>
        <f>IF($E17="","",VLOOKUP($E17,'Lány 3B ELO'!$A$7:$O$22,14))</f>
        <v>0</v>
      </c>
      <c r="C17" s="235">
        <f>IF($E17="","",VLOOKUP($E17,'Lány 3B ELO'!$A$7:$O$22,15))</f>
        <v>0</v>
      </c>
      <c r="D17" s="235">
        <f>IF($E17="","",VLOOKUP($E17,'Lány 3B ELO'!$A$7:$O$22,5))</f>
        <v>0</v>
      </c>
      <c r="E17" s="385">
        <v>1</v>
      </c>
      <c r="F17" s="286" t="str">
        <f>UPPER(IF($E17="","",VLOOKUP($E17,'Lány 3B ELO'!$A$7:$O$22,2)))</f>
        <v>BARANYI</v>
      </c>
      <c r="G17" s="286" t="str">
        <f>IF($E17="","",VLOOKUP($E17,'Lány 3B ELO'!$A$7:$O$22,3))</f>
        <v>Petra Réka</v>
      </c>
      <c r="H17" s="286"/>
      <c r="I17" s="286" t="str">
        <f>IF($E17="","",VLOOKUP($E17,'Lány 3B ELO'!$A$7:$O$22,4))</f>
        <v>Kerekegyházi Móra Ferenc Általános Iskola és Alapfokú Művészeti Iskola</v>
      </c>
      <c r="J17" s="246"/>
      <c r="K17" s="239" t="s">
        <v>538</v>
      </c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51"/>
      <c r="Z17" s="351"/>
      <c r="AA17" s="351" t="s">
        <v>88</v>
      </c>
      <c r="AB17" s="342">
        <v>120</v>
      </c>
      <c r="AC17" s="342">
        <v>90</v>
      </c>
      <c r="AD17" s="342">
        <v>60</v>
      </c>
      <c r="AE17" s="342">
        <v>40</v>
      </c>
      <c r="AF17" s="342">
        <v>25</v>
      </c>
      <c r="AG17" s="342">
        <v>15</v>
      </c>
      <c r="AH17" s="342">
        <v>8</v>
      </c>
      <c r="AI17" s="326"/>
      <c r="AJ17" s="326"/>
      <c r="AK17" s="326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86"/>
      <c r="F18" s="387"/>
      <c r="G18" s="387"/>
      <c r="H18" s="388"/>
      <c r="I18" s="387"/>
      <c r="J18" s="248"/>
      <c r="K18" s="394" t="s">
        <v>0</v>
      </c>
      <c r="L18" s="129" t="s">
        <v>561</v>
      </c>
      <c r="M18" s="244" t="str">
        <f>UPPER(IF(OR(L18="a",L18="as"),K16,IF(OR(L18="b",L18="bs"),K20,)))</f>
        <v>BRANDHUBER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51"/>
      <c r="Z18" s="351"/>
      <c r="AA18" s="351" t="s">
        <v>89</v>
      </c>
      <c r="AB18" s="342">
        <v>90</v>
      </c>
      <c r="AC18" s="342">
        <v>60</v>
      </c>
      <c r="AD18" s="342">
        <v>40</v>
      </c>
      <c r="AE18" s="342">
        <v>25</v>
      </c>
      <c r="AF18" s="342">
        <v>15</v>
      </c>
      <c r="AG18" s="342">
        <v>8</v>
      </c>
      <c r="AH18" s="342">
        <v>4</v>
      </c>
      <c r="AI18" s="326"/>
      <c r="AJ18" s="326"/>
      <c r="AK18" s="326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>
        <f>IF($E19="","",VLOOKUP($E19,'Lány 3B ELO'!$A$7:$O$22,14))</f>
        <v>0</v>
      </c>
      <c r="C19" s="235">
        <f>IF($E19="","",VLOOKUP($E19,'Lány 3B ELO'!$A$7:$O$22,15))</f>
        <v>0</v>
      </c>
      <c r="D19" s="235">
        <f>IF($E19="","",VLOOKUP($E19,'Lány 3B ELO'!$A$7:$O$22,5))</f>
        <v>0</v>
      </c>
      <c r="E19" s="385">
        <v>15</v>
      </c>
      <c r="F19" s="286" t="str">
        <f>UPPER(IF($E19="","",VLOOKUP($E19,'Lány 3B ELO'!$A$7:$O$22,2)))</f>
        <v>NICZMANN</v>
      </c>
      <c r="G19" s="286" t="str">
        <f>IF($E19="","",VLOOKUP($E19,'Lány 3B ELO'!$A$7:$O$22,3))</f>
        <v>Zsófia</v>
      </c>
      <c r="H19" s="286"/>
      <c r="I19" s="286" t="str">
        <f>IF($E19="","",VLOOKUP($E19,'Lány 3B ELO'!$A$7:$O$22,4))</f>
        <v>Kőkúti Általános Iskola</v>
      </c>
      <c r="J19" s="238"/>
      <c r="K19" s="239"/>
      <c r="L19" s="251"/>
      <c r="M19" s="250" t="s">
        <v>538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51"/>
      <c r="Z19" s="351"/>
      <c r="AA19" s="351" t="s">
        <v>90</v>
      </c>
      <c r="AB19" s="342">
        <v>60</v>
      </c>
      <c r="AC19" s="342">
        <v>40</v>
      </c>
      <c r="AD19" s="342">
        <v>25</v>
      </c>
      <c r="AE19" s="342">
        <v>15</v>
      </c>
      <c r="AF19" s="342">
        <v>8</v>
      </c>
      <c r="AG19" s="342">
        <v>4</v>
      </c>
      <c r="AH19" s="342">
        <v>2</v>
      </c>
      <c r="AI19" s="326"/>
      <c r="AJ19" s="326"/>
      <c r="AK19" s="326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94" t="s">
        <v>0</v>
      </c>
      <c r="J20" s="128" t="s">
        <v>560</v>
      </c>
      <c r="K20" s="244" t="str">
        <f>UPPER(IF(OR(J20="a",J20="as"),F19,IF(OR(J20="b",J20="bs"),F21,)))</f>
        <v xml:space="preserve">KACZKÓ 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51"/>
      <c r="Z20" s="351"/>
      <c r="AA20" s="351" t="s">
        <v>91</v>
      </c>
      <c r="AB20" s="342">
        <v>40</v>
      </c>
      <c r="AC20" s="342">
        <v>25</v>
      </c>
      <c r="AD20" s="342">
        <v>15</v>
      </c>
      <c r="AE20" s="342">
        <v>8</v>
      </c>
      <c r="AF20" s="342">
        <v>4</v>
      </c>
      <c r="AG20" s="342">
        <v>2</v>
      </c>
      <c r="AH20" s="342">
        <v>1</v>
      </c>
      <c r="AI20" s="326"/>
      <c r="AJ20" s="326"/>
      <c r="AK20" s="326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>
        <f>IF($E21="","",VLOOKUP($E21,'Lány 3B ELO'!$A$7:$O$22,14))</f>
        <v>0</v>
      </c>
      <c r="C21" s="235">
        <f>IF($E21="","",VLOOKUP($E21,'Lány 3B ELO'!$A$7:$O$22,15))</f>
        <v>0</v>
      </c>
      <c r="D21" s="235">
        <f>IF($E21="","",VLOOKUP($E21,'Lány 3B ELO'!$A$7:$O$22,5))</f>
        <v>0</v>
      </c>
      <c r="E21" s="236">
        <v>4</v>
      </c>
      <c r="F21" s="287" t="str">
        <f>UPPER(IF($E21="","",VLOOKUP($E21,'Lány 3B ELO'!$A$7:$O$22,2)))</f>
        <v xml:space="preserve">KACZKÓ </v>
      </c>
      <c r="G21" s="287" t="str">
        <f>IF($E21="","",VLOOKUP($E21,'Lány 3B ELO'!$A$7:$O$22,3))</f>
        <v>Olga</v>
      </c>
      <c r="H21" s="287"/>
      <c r="I21" s="287" t="str">
        <f>IF($E21="","",VLOOKUP($E21,'Lány 3B ELO'!$A$7:$O$22,4))</f>
        <v>Orosháza Református</v>
      </c>
      <c r="J21" s="254"/>
      <c r="K21" s="250">
        <v>45384</v>
      </c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51"/>
      <c r="Z21" s="351"/>
      <c r="AA21" s="351" t="s">
        <v>92</v>
      </c>
      <c r="AB21" s="342">
        <v>25</v>
      </c>
      <c r="AC21" s="342">
        <v>15</v>
      </c>
      <c r="AD21" s="342">
        <v>10</v>
      </c>
      <c r="AE21" s="342">
        <v>6</v>
      </c>
      <c r="AF21" s="342">
        <v>3</v>
      </c>
      <c r="AG21" s="342">
        <v>1</v>
      </c>
      <c r="AH21" s="342">
        <v>0</v>
      </c>
      <c r="AI21" s="326"/>
      <c r="AJ21" s="326"/>
      <c r="AK21" s="326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51"/>
      <c r="Z22" s="351"/>
      <c r="AA22" s="351" t="s">
        <v>93</v>
      </c>
      <c r="AB22" s="342">
        <v>15</v>
      </c>
      <c r="AC22" s="342">
        <v>10</v>
      </c>
      <c r="AD22" s="342">
        <v>6</v>
      </c>
      <c r="AE22" s="342">
        <v>3</v>
      </c>
      <c r="AF22" s="342">
        <v>1</v>
      </c>
      <c r="AG22" s="342">
        <v>0</v>
      </c>
      <c r="AH22" s="342">
        <v>0</v>
      </c>
      <c r="AI22" s="326"/>
      <c r="AJ22" s="326"/>
      <c r="AK22" s="326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51"/>
      <c r="Z23" s="351"/>
      <c r="AA23" s="351" t="s">
        <v>94</v>
      </c>
      <c r="AB23" s="342">
        <v>10</v>
      </c>
      <c r="AC23" s="342">
        <v>6</v>
      </c>
      <c r="AD23" s="342">
        <v>3</v>
      </c>
      <c r="AE23" s="342">
        <v>1</v>
      </c>
      <c r="AF23" s="342">
        <v>0</v>
      </c>
      <c r="AG23" s="342">
        <v>0</v>
      </c>
      <c r="AH23" s="342">
        <v>0</v>
      </c>
      <c r="AI23" s="326"/>
      <c r="AJ23" s="326"/>
      <c r="AK23" s="326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51"/>
      <c r="Z24" s="351"/>
      <c r="AA24" s="351" t="s">
        <v>95</v>
      </c>
      <c r="AB24" s="342">
        <v>6</v>
      </c>
      <c r="AC24" s="342">
        <v>3</v>
      </c>
      <c r="AD24" s="342">
        <v>1</v>
      </c>
      <c r="AE24" s="342">
        <v>0</v>
      </c>
      <c r="AF24" s="342">
        <v>0</v>
      </c>
      <c r="AG24" s="342">
        <v>0</v>
      </c>
      <c r="AH24" s="342">
        <v>0</v>
      </c>
      <c r="AI24" s="326"/>
      <c r="AJ24" s="326"/>
      <c r="AK24" s="326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51"/>
      <c r="Z25" s="351"/>
      <c r="AA25" s="351" t="s">
        <v>100</v>
      </c>
      <c r="AB25" s="342">
        <v>3</v>
      </c>
      <c r="AC25" s="342">
        <v>2</v>
      </c>
      <c r="AD25" s="342">
        <v>1</v>
      </c>
      <c r="AE25" s="342">
        <v>0</v>
      </c>
      <c r="AF25" s="342">
        <v>0</v>
      </c>
      <c r="AG25" s="342">
        <v>0</v>
      </c>
      <c r="AH25" s="342">
        <v>0</v>
      </c>
      <c r="AI25" s="326"/>
      <c r="AJ25" s="326"/>
      <c r="AK25" s="326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6"/>
      <c r="AJ26" s="326"/>
      <c r="AK26" s="326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6"/>
      <c r="AJ27" s="326"/>
      <c r="AK27" s="326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67"/>
      <c r="AJ28" s="367"/>
      <c r="AK28" s="367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67"/>
      <c r="AJ29" s="367"/>
      <c r="AK29" s="367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67"/>
      <c r="AJ30" s="367"/>
      <c r="AK30" s="367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67"/>
      <c r="AJ31" s="367"/>
      <c r="AK31" s="367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67"/>
      <c r="AJ32" s="367"/>
      <c r="AK32" s="367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67"/>
      <c r="AJ33" s="367"/>
      <c r="AK33" s="367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67"/>
      <c r="AJ34" s="367"/>
      <c r="AK34" s="367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67"/>
      <c r="AJ35" s="367"/>
      <c r="AK35" s="367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67"/>
      <c r="AJ36" s="367"/>
      <c r="AK36" s="367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67"/>
      <c r="AJ37" s="367"/>
      <c r="AK37" s="367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67"/>
      <c r="AJ38" s="367"/>
      <c r="AK38" s="367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67"/>
      <c r="AJ39" s="367"/>
      <c r="AK39" s="367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67"/>
      <c r="AJ40" s="367"/>
      <c r="AK40" s="367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67"/>
      <c r="AJ41" s="367"/>
      <c r="AK41" s="367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67"/>
      <c r="AJ42" s="367"/>
      <c r="AK42" s="367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67"/>
      <c r="AJ43" s="367"/>
      <c r="AK43" s="367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67"/>
      <c r="AJ44" s="367"/>
      <c r="AK44" s="367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67"/>
      <c r="AJ45" s="367"/>
      <c r="AK45" s="367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67"/>
      <c r="AJ46" s="367"/>
      <c r="AK46" s="367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67"/>
      <c r="AJ47" s="367"/>
      <c r="AK47" s="367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67"/>
      <c r="AJ48" s="367"/>
      <c r="AK48" s="367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67"/>
      <c r="AJ49" s="367"/>
      <c r="AK49" s="367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67"/>
      <c r="AJ50" s="367"/>
      <c r="AK50" s="367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67"/>
      <c r="AJ51" s="367"/>
      <c r="AK51" s="367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406"/>
      <c r="G52" s="406"/>
      <c r="H52" s="406"/>
      <c r="I52" s="40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67"/>
      <c r="AJ52" s="367"/>
      <c r="AK52" s="367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407"/>
      <c r="G53" s="407"/>
      <c r="H53" s="407"/>
      <c r="I53" s="40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67"/>
      <c r="AJ53" s="367"/>
      <c r="AK53" s="367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8"/>
      <c r="AJ54" s="368"/>
      <c r="AK54" s="368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IF(E55&gt;$R$62,,UPPER(VLOOKUP(E55,'Lány 3B ELO'!$A$7:$Q$134,2)))</f>
        <v>BARANYI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8"/>
      <c r="AJ55" s="368"/>
      <c r="AK55" s="368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IF(E56&gt;$R$62,,UPPER(VLOOKUP(E56,'Lány 3B ELO'!$A$7:$Q$134,2)))</f>
        <v>HASANOVIC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8"/>
      <c r="AJ56" s="368"/>
      <c r="AK56" s="368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8"/>
      <c r="AJ57" s="368"/>
      <c r="AK57" s="368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8"/>
      <c r="AJ58" s="368"/>
      <c r="AK58" s="368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8"/>
      <c r="AJ59" s="368"/>
      <c r="AK59" s="368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8"/>
      <c r="AJ60" s="368"/>
      <c r="AK60" s="368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8"/>
      <c r="AJ61" s="368"/>
      <c r="AK61" s="368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MIN(4,'Lány 3B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8"/>
      <c r="AJ62" s="368"/>
      <c r="AK62" s="368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109" priority="9" stopIfTrue="1" operator="equal">
      <formula>"QA"</formula>
    </cfRule>
    <cfRule type="cellIs" dxfId="108" priority="10" stopIfTrue="1" operator="equal">
      <formula>"DA"</formula>
    </cfRule>
  </conditionalFormatting>
  <conditionalFormatting sqref="E7 E21">
    <cfRule type="expression" dxfId="107" priority="7" stopIfTrue="1">
      <formula>$E7&lt;5</formula>
    </cfRule>
  </conditionalFormatting>
  <conditionalFormatting sqref="E22 E24 E26 E28 E30 E32 E34 E36 E38 E40 E42 E44 E46 E48 E50 E52">
    <cfRule type="expression" dxfId="106" priority="15" stopIfTrue="1">
      <formula>AND($E22&lt;9,$C22&gt;0)</formula>
    </cfRule>
  </conditionalFormatting>
  <conditionalFormatting sqref="F7 F9 F11 F13 F15 F17 F19 F21:F22">
    <cfRule type="cellIs" dxfId="105" priority="6" stopIfTrue="1" operator="equal">
      <formula>"Bye"</formula>
    </cfRule>
  </conditionalFormatting>
  <conditionalFormatting sqref="F24 F26 F28 F30 F32 F34 F36 F38 F40 F42 F44 F46 F48 F50">
    <cfRule type="cellIs" dxfId="104" priority="13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3" priority="14" stopIfTrue="1">
      <formula>AND($E22&lt;9,$C22&gt;0)</formula>
    </cfRule>
  </conditionalFormatting>
  <conditionalFormatting sqref="H7 H9 H11 H13 H15 H17 H19 H21">
    <cfRule type="expression" dxfId="102" priority="19" stopIfTrue="1">
      <formula>AND($E7&lt;9,$C7&gt;0)</formula>
    </cfRule>
  </conditionalFormatting>
  <conditionalFormatting sqref="I7">
    <cfRule type="expression" dxfId="101" priority="1" stopIfTrue="1">
      <formula>$Q7&gt;=1</formula>
    </cfRule>
    <cfRule type="expression" dxfId="100" priority="2" stopIfTrue="1">
      <formula>$O7&gt;=1</formula>
    </cfRule>
  </conditionalFormatting>
  <conditionalFormatting sqref="I8 K10 I12 M14 I16 K18 I20 I23 K25 I27 M29 I31 K33 I35 I39 K41 I43 M45 I47 K49 I51">
    <cfRule type="expression" dxfId="99" priority="16" stopIfTrue="1">
      <formula>AND($O$1="CU",I8="Umpire")</formula>
    </cfRule>
    <cfRule type="expression" dxfId="98" priority="17" stopIfTrue="1">
      <formula>AND($O$1="CU",I8&lt;&gt;"Umpire",J8&lt;&gt;"")</formula>
    </cfRule>
    <cfRule type="expression" dxfId="97" priority="18" stopIfTrue="1">
      <formula>AND($O$1="CU",I8&lt;&gt;"Umpire")</formula>
    </cfRule>
  </conditionalFormatting>
  <conditionalFormatting sqref="J8 L10 J12 N14 J16 L18 J20 R62">
    <cfRule type="expression" dxfId="96" priority="8" stopIfTrue="1">
      <formula>$O$1="CU"</formula>
    </cfRule>
  </conditionalFormatting>
  <conditionalFormatting sqref="K8 M10 K12 O14 K16 M18 K20 K23 M25 K27 O29 K31 M33 K35 K39 M41 K43 O45 K47 M49 K51">
    <cfRule type="expression" dxfId="95" priority="11" stopIfTrue="1">
      <formula>J8="as"</formula>
    </cfRule>
    <cfRule type="expression" dxfId="94" priority="12" stopIfTrue="1">
      <formula>J8="bs"</formula>
    </cfRule>
  </conditionalFormatting>
  <conditionalFormatting sqref="O16">
    <cfRule type="expression" dxfId="93" priority="3" stopIfTrue="1">
      <formula>AND($O$1="CU",O16="Umpire")</formula>
    </cfRule>
    <cfRule type="expression" dxfId="92" priority="4" stopIfTrue="1">
      <formula>AND($O$1="CU",O16&lt;&gt;"Umpire",P16&lt;&gt;"")</formula>
    </cfRule>
    <cfRule type="expression" dxfId="91" priority="5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E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15" sqref="B15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78.33203125" style="40" bestFit="1" customWidth="1"/>
    <col min="5" max="5" width="12.109375" style="389" customWidth="1"/>
    <col min="6" max="6" width="6.109375" style="91" hidden="1" customWidth="1"/>
    <col min="7" max="7" width="29.8867187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Diákolimpia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410" t="str">
        <f>Altalanos!$C$8</f>
        <v>3 fiú A elo</v>
      </c>
      <c r="D2" s="103"/>
      <c r="E2" s="195" t="s">
        <v>34</v>
      </c>
      <c r="F2" s="92"/>
      <c r="G2" s="92"/>
      <c r="H2" s="378"/>
      <c r="I2" s="378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72" t="s">
        <v>50</v>
      </c>
      <c r="B3" s="376"/>
      <c r="C3" s="376"/>
      <c r="D3" s="376"/>
      <c r="E3" s="376"/>
      <c r="F3" s="376"/>
      <c r="G3" s="376"/>
      <c r="H3" s="376"/>
      <c r="I3" s="377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91" t="s">
        <v>30</v>
      </c>
      <c r="I4" s="382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2024.05.27-06.01.</v>
      </c>
      <c r="B5" s="189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92"/>
      <c r="J5" s="110"/>
      <c r="K5" s="82"/>
      <c r="L5" s="82"/>
      <c r="M5" s="82"/>
      <c r="N5" s="110"/>
      <c r="O5" s="90"/>
      <c r="P5" s="90"/>
      <c r="Q5" s="400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107</v>
      </c>
      <c r="H6" s="379" t="s">
        <v>37</v>
      </c>
      <c r="I6" s="380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3">
      <c r="A7" s="185">
        <v>1</v>
      </c>
      <c r="B7" s="413" t="s">
        <v>129</v>
      </c>
      <c r="C7" s="414" t="s">
        <v>130</v>
      </c>
      <c r="D7" s="415" t="s">
        <v>131</v>
      </c>
      <c r="E7" s="198"/>
      <c r="F7" s="373"/>
      <c r="G7" s="374"/>
      <c r="H7" s="94"/>
      <c r="I7" s="94"/>
      <c r="J7" s="182"/>
      <c r="K7" s="180"/>
      <c r="L7" s="184"/>
      <c r="M7" s="180"/>
      <c r="N7" s="177"/>
      <c r="O7" s="94"/>
      <c r="P7" s="111"/>
      <c r="Q7" s="95"/>
    </row>
    <row r="8" spans="1:17" s="11" customFormat="1" ht="18.899999999999999" customHeight="1" x14ac:dyDescent="0.3">
      <c r="A8" s="185">
        <v>2</v>
      </c>
      <c r="B8" s="414" t="s">
        <v>132</v>
      </c>
      <c r="C8" s="414" t="s">
        <v>133</v>
      </c>
      <c r="D8" s="416" t="s">
        <v>134</v>
      </c>
      <c r="E8" s="198"/>
      <c r="F8" s="375"/>
      <c r="G8" s="209"/>
      <c r="H8" s="94"/>
      <c r="I8" s="94"/>
      <c r="J8" s="182"/>
      <c r="K8" s="180"/>
      <c r="L8" s="184"/>
      <c r="M8" s="180"/>
      <c r="N8" s="177"/>
      <c r="O8" s="94"/>
      <c r="P8" s="111"/>
      <c r="Q8" s="95"/>
    </row>
    <row r="9" spans="1:17" s="11" customFormat="1" ht="18.899999999999999" customHeight="1" x14ac:dyDescent="0.3">
      <c r="A9" s="185">
        <v>3</v>
      </c>
      <c r="B9" s="414" t="s">
        <v>135</v>
      </c>
      <c r="C9" s="414" t="s">
        <v>136</v>
      </c>
      <c r="D9" s="414" t="s">
        <v>137</v>
      </c>
      <c r="E9" s="198"/>
      <c r="F9" s="375"/>
      <c r="G9" s="209"/>
      <c r="H9" s="94"/>
      <c r="I9" s="94"/>
      <c r="J9" s="182"/>
      <c r="K9" s="180"/>
      <c r="L9" s="184"/>
      <c r="M9" s="180"/>
      <c r="N9" s="177"/>
      <c r="O9" s="94"/>
      <c r="P9" s="384"/>
      <c r="Q9" s="205"/>
    </row>
    <row r="10" spans="1:17" s="11" customFormat="1" ht="18.899999999999999" customHeight="1" x14ac:dyDescent="0.3">
      <c r="A10" s="185">
        <v>4</v>
      </c>
      <c r="B10" s="414" t="s">
        <v>138</v>
      </c>
      <c r="C10" s="414" t="s">
        <v>139</v>
      </c>
      <c r="D10" s="414" t="s">
        <v>137</v>
      </c>
      <c r="E10" s="198"/>
      <c r="F10" s="375"/>
      <c r="G10" s="209"/>
      <c r="H10" s="94"/>
      <c r="I10" s="94"/>
      <c r="J10" s="182"/>
      <c r="K10" s="180"/>
      <c r="L10" s="184"/>
      <c r="M10" s="180"/>
      <c r="N10" s="177"/>
      <c r="O10" s="94"/>
      <c r="P10" s="383"/>
      <c r="Q10" s="381"/>
    </row>
    <row r="11" spans="1:17" s="11" customFormat="1" ht="18.899999999999999" customHeight="1" x14ac:dyDescent="0.3">
      <c r="A11" s="185">
        <v>5</v>
      </c>
      <c r="B11" s="417" t="s">
        <v>140</v>
      </c>
      <c r="C11" s="417" t="s">
        <v>341</v>
      </c>
      <c r="D11" s="415" t="s">
        <v>141</v>
      </c>
      <c r="E11" s="198"/>
      <c r="F11" s="375"/>
      <c r="G11" s="209"/>
      <c r="H11" s="94"/>
      <c r="I11" s="94"/>
      <c r="J11" s="182"/>
      <c r="K11" s="180"/>
      <c r="L11" s="184"/>
      <c r="M11" s="180"/>
      <c r="N11" s="177"/>
      <c r="O11" s="94"/>
      <c r="P11" s="383"/>
      <c r="Q11" s="381"/>
    </row>
    <row r="12" spans="1:17" s="11" customFormat="1" ht="18.899999999999999" customHeight="1" x14ac:dyDescent="0.3">
      <c r="A12" s="185">
        <v>6</v>
      </c>
      <c r="B12" s="417" t="s">
        <v>142</v>
      </c>
      <c r="C12" s="417" t="s">
        <v>342</v>
      </c>
      <c r="D12" s="415" t="s">
        <v>143</v>
      </c>
      <c r="E12" s="198"/>
      <c r="F12" s="375"/>
      <c r="G12" s="209"/>
      <c r="H12" s="94"/>
      <c r="I12" s="94"/>
      <c r="J12" s="182"/>
      <c r="K12" s="180"/>
      <c r="L12" s="184"/>
      <c r="M12" s="180"/>
      <c r="N12" s="177"/>
      <c r="O12" s="94"/>
      <c r="P12" s="383"/>
      <c r="Q12" s="381"/>
    </row>
    <row r="13" spans="1:17" s="11" customFormat="1" ht="18.899999999999999" customHeight="1" x14ac:dyDescent="0.25">
      <c r="A13" s="185">
        <v>7</v>
      </c>
      <c r="B13" s="418" t="s">
        <v>144</v>
      </c>
      <c r="C13" s="418" t="s">
        <v>145</v>
      </c>
      <c r="D13" s="418" t="s">
        <v>146</v>
      </c>
      <c r="E13" s="198"/>
      <c r="F13" s="375"/>
      <c r="G13" s="209"/>
      <c r="H13" s="94"/>
      <c r="I13" s="94"/>
      <c r="J13" s="182"/>
      <c r="K13" s="180"/>
      <c r="L13" s="184"/>
      <c r="M13" s="180"/>
      <c r="N13" s="177"/>
      <c r="O13" s="94"/>
      <c r="P13" s="383"/>
      <c r="Q13" s="381"/>
    </row>
    <row r="14" spans="1:17" s="11" customFormat="1" ht="18.899999999999999" customHeight="1" x14ac:dyDescent="0.3">
      <c r="A14" s="185">
        <v>8</v>
      </c>
      <c r="B14" s="419" t="s">
        <v>147</v>
      </c>
      <c r="C14" s="419" t="s">
        <v>148</v>
      </c>
      <c r="D14" s="419" t="s">
        <v>149</v>
      </c>
      <c r="E14" s="198"/>
      <c r="F14" s="375"/>
      <c r="G14" s="209"/>
      <c r="H14" s="94"/>
      <c r="I14" s="94"/>
      <c r="J14" s="182"/>
      <c r="K14" s="180"/>
      <c r="L14" s="184"/>
      <c r="M14" s="180"/>
      <c r="N14" s="177"/>
      <c r="O14" s="94"/>
      <c r="P14" s="383"/>
      <c r="Q14" s="381"/>
    </row>
    <row r="15" spans="1:17" s="11" customFormat="1" ht="18.899999999999999" customHeight="1" x14ac:dyDescent="0.3">
      <c r="A15" s="185">
        <v>9</v>
      </c>
      <c r="B15" s="414" t="s">
        <v>152</v>
      </c>
      <c r="C15" s="418" t="s">
        <v>153</v>
      </c>
      <c r="D15" s="418" t="s">
        <v>150</v>
      </c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3">
      <c r="A16" s="185">
        <v>10</v>
      </c>
      <c r="B16" s="414" t="s">
        <v>154</v>
      </c>
      <c r="C16" s="418" t="s">
        <v>155</v>
      </c>
      <c r="D16" s="418" t="s">
        <v>151</v>
      </c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420" t="s">
        <v>156</v>
      </c>
      <c r="C17" s="420" t="s">
        <v>157</v>
      </c>
      <c r="D17" s="421" t="s">
        <v>158</v>
      </c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3">
      <c r="A18" s="185">
        <v>12</v>
      </c>
      <c r="B18" s="414" t="s">
        <v>159</v>
      </c>
      <c r="C18" s="414" t="s">
        <v>160</v>
      </c>
      <c r="D18" s="414" t="s">
        <v>161</v>
      </c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3">
      <c r="A19" s="185">
        <v>13</v>
      </c>
      <c r="B19" s="417" t="s">
        <v>162</v>
      </c>
      <c r="C19" s="414" t="s">
        <v>163</v>
      </c>
      <c r="D19" s="415" t="s">
        <v>164</v>
      </c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3">
      <c r="A20" s="185">
        <v>14</v>
      </c>
      <c r="B20" s="414" t="s">
        <v>165</v>
      </c>
      <c r="C20" s="414" t="s">
        <v>166</v>
      </c>
      <c r="D20" s="415" t="s">
        <v>167</v>
      </c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3">
      <c r="A21" s="185">
        <v>15</v>
      </c>
      <c r="B21" s="414" t="s">
        <v>168</v>
      </c>
      <c r="C21" s="414" t="s">
        <v>169</v>
      </c>
      <c r="D21" s="414" t="s">
        <v>170</v>
      </c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3">
      <c r="A22" s="185">
        <v>16</v>
      </c>
      <c r="B22" s="414" t="s">
        <v>171</v>
      </c>
      <c r="C22" s="414" t="s">
        <v>172</v>
      </c>
      <c r="D22" s="414" t="s">
        <v>170</v>
      </c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3">
      <c r="A23" s="185">
        <v>17</v>
      </c>
      <c r="B23" s="414" t="s">
        <v>173</v>
      </c>
      <c r="C23" s="414" t="s">
        <v>174</v>
      </c>
      <c r="D23" s="416" t="s">
        <v>175</v>
      </c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423" t="s">
        <v>343</v>
      </c>
      <c r="C24" s="423" t="s">
        <v>139</v>
      </c>
      <c r="D24" s="423" t="s">
        <v>344</v>
      </c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418" t="s">
        <v>345</v>
      </c>
      <c r="C25" s="418" t="s">
        <v>346</v>
      </c>
      <c r="D25" s="418" t="s">
        <v>347</v>
      </c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408"/>
      <c r="F28" s="393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409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90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75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75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75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75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75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75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75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75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75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75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75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75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75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75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75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75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75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75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75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75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75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75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75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75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75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75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75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75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75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75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75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75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75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75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75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75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75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75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75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75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75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75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75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75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75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75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75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75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75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75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75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75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75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75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75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75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75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75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75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75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75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75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75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75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75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75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75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75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75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75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75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75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75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75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75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75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75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75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75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75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75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75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75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75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75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75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75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75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75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75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75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75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75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75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75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75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75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75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75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75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75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75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75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75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75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75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75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75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75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75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75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75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75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75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75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75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75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75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75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A25 A26:D156">
    <cfRule type="expression" dxfId="90" priority="20" stopIfTrue="1">
      <formula>$Q7&gt;=1</formula>
    </cfRule>
  </conditionalFormatting>
  <conditionalFormatting sqref="B13:D13">
    <cfRule type="expression" dxfId="89" priority="6" stopIfTrue="1">
      <formula>$S13&gt;=1</formula>
    </cfRule>
  </conditionalFormatting>
  <conditionalFormatting sqref="B15:D16">
    <cfRule type="expression" dxfId="88" priority="5" stopIfTrue="1">
      <formula>$S15&gt;=1</formula>
    </cfRule>
  </conditionalFormatting>
  <conditionalFormatting sqref="B24:D24">
    <cfRule type="expression" dxfId="87" priority="1" stopIfTrue="1">
      <formula>$S24&gt;=1</formula>
    </cfRule>
  </conditionalFormatting>
  <conditionalFormatting sqref="B25:D25">
    <cfRule type="expression" dxfId="86" priority="2" stopIfTrue="1">
      <formula>$S25&gt;=1</formula>
    </cfRule>
  </conditionalFormatting>
  <conditionalFormatting sqref="B26:D37">
    <cfRule type="expression" dxfId="85" priority="7" stopIfTrue="1">
      <formula>$Q26&gt;=1</formula>
    </cfRule>
  </conditionalFormatting>
  <conditionalFormatting sqref="D19:D20">
    <cfRule type="expression" dxfId="84" priority="3" stopIfTrue="1">
      <formula>$Q19&gt;=1</formula>
    </cfRule>
    <cfRule type="expression" dxfId="83" priority="4" stopIfTrue="1">
      <formula>$O19&gt;=1</formula>
    </cfRule>
  </conditionalFormatting>
  <conditionalFormatting sqref="E7:E14">
    <cfRule type="expression" dxfId="82" priority="12" stopIfTrue="1">
      <formula>AND(ROUNDDOWN(($A$4-E7)/365.25,0)&lt;=13,G7&lt;&gt;"OK")</formula>
    </cfRule>
    <cfRule type="expression" dxfId="81" priority="13" stopIfTrue="1">
      <formula>AND(ROUNDDOWN(($A$4-E7)/365.25,0)&lt;=14,G7&lt;&gt;"OK")</formula>
    </cfRule>
    <cfRule type="expression" dxfId="80" priority="14" stopIfTrue="1">
      <formula>AND(ROUNDDOWN(($A$4-E7)/365.25,0)&lt;=17,G7&lt;&gt;"OK")</formula>
    </cfRule>
    <cfRule type="expression" dxfId="79" priority="17" stopIfTrue="1">
      <formula>AND(ROUNDDOWN(($A$4-E7)/365.25,0)&lt;=13,G7&lt;&gt;"OK")</formula>
    </cfRule>
    <cfRule type="expression" dxfId="78" priority="18" stopIfTrue="1">
      <formula>AND(ROUNDDOWN(($A$4-E7)/365.25,0)&lt;=14,G7&lt;&gt;"OK")</formula>
    </cfRule>
    <cfRule type="expression" dxfId="77" priority="19" stopIfTrue="1">
      <formula>AND(ROUNDDOWN(($A$4-E7)/365.25,0)&lt;=17,G7&lt;&gt;"OK")</formula>
    </cfRule>
  </conditionalFormatting>
  <conditionalFormatting sqref="E7:E27 E29:E37">
    <cfRule type="expression" dxfId="76" priority="8" stopIfTrue="1">
      <formula>AND(ROUNDDOWN(($A$4-E7)/365.25,0)&lt;=13,G7&lt;&gt;"OK")</formula>
    </cfRule>
    <cfRule type="expression" dxfId="75" priority="9" stopIfTrue="1">
      <formula>AND(ROUNDDOWN(($A$4-E7)/365.25,0)&lt;=14,G7&lt;&gt;"OK")</formula>
    </cfRule>
    <cfRule type="expression" dxfId="74" priority="10" stopIfTrue="1">
      <formula>AND(ROUNDDOWN(($A$4-E7)/365.25,0)&lt;=17,G7&lt;&gt;"OK")</formula>
    </cfRule>
  </conditionalFormatting>
  <conditionalFormatting sqref="E7:E156">
    <cfRule type="expression" dxfId="73" priority="22" stopIfTrue="1">
      <formula>AND(ROUNDDOWN(($A$4-E7)/365.25,0)&lt;=13,G7&lt;&gt;"OK")</formula>
    </cfRule>
    <cfRule type="expression" dxfId="72" priority="23" stopIfTrue="1">
      <formula>AND(ROUNDDOWN(($A$4-E7)/365.25,0)&lt;=14,G7&lt;&gt;"OK")</formula>
    </cfRule>
    <cfRule type="expression" dxfId="71" priority="24" stopIfTrue="1">
      <formula>AND(ROUNDDOWN(($A$4-E7)/365.25,0)&lt;=17,G7&lt;&gt;"OK")</formula>
    </cfRule>
  </conditionalFormatting>
  <conditionalFormatting sqref="J7:J156">
    <cfRule type="cellIs" dxfId="70" priority="1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4">
    <tabColor indexed="11"/>
  </sheetPr>
  <dimension ref="A1:AK41"/>
  <sheetViews>
    <sheetView workbookViewId="0">
      <selection activeCell="P22" sqref="P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Altalanos!$C$8</f>
        <v>3 fiú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354"/>
      <c r="M4" s="233" t="str">
        <f>Altalanos!$E$10</f>
        <v>Rákóczi Andrea</v>
      </c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01" t="s">
        <v>64</v>
      </c>
      <c r="B7" s="328">
        <v>1</v>
      </c>
      <c r="C7" s="330">
        <f>IF($B7="","",VLOOKUP($B7,'Fiú 3A ELO'!$A$7:$O$22,5))</f>
        <v>0</v>
      </c>
      <c r="D7" s="330">
        <f>IF($B7="","",VLOOKUP($B7,'Fiú 3A ELO'!$A$7:$O$22,15))</f>
        <v>0</v>
      </c>
      <c r="E7" s="457" t="str">
        <f>UPPER(IF($B7="","",VLOOKUP($B7,'Fiú 3A ELO'!$A$7:$O$22,2)))</f>
        <v>BOKOR</v>
      </c>
      <c r="F7" s="457"/>
      <c r="G7" s="457" t="str">
        <f>IF($B7="","",VLOOKUP($B7,'Fiú 3A ELO'!$A$7:$O$22,3))</f>
        <v>György</v>
      </c>
      <c r="H7" s="457"/>
      <c r="I7" s="331" t="str">
        <f>IF($B7="","",VLOOKUP($B7,'Fiú 3A ELO'!$A$7:$O$22,4))</f>
        <v>Szent Imre Katolikus Óvoda és Általános Iskola</v>
      </c>
      <c r="J7" s="267"/>
      <c r="K7" s="447" t="s">
        <v>564</v>
      </c>
      <c r="L7" s="353"/>
      <c r="M7" s="364"/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29"/>
      <c r="C8" s="332"/>
      <c r="D8" s="332"/>
      <c r="E8" s="332"/>
      <c r="F8" s="332"/>
      <c r="G8" s="332"/>
      <c r="H8" s="332"/>
      <c r="I8" s="33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28">
        <v>10</v>
      </c>
      <c r="C9" s="330">
        <f>IF($B9="","",VLOOKUP($B9,'Fiú 3A ELO'!$A$7:$O$22,5))</f>
        <v>0</v>
      </c>
      <c r="D9" s="330">
        <f>IF($B9="","",VLOOKUP($B9,'Fiú 3A ELO'!$A$7:$O$22,15))</f>
        <v>0</v>
      </c>
      <c r="E9" s="457" t="str">
        <f>UPPER(IF($B9="","",VLOOKUP($B9,'Fiú 3A ELO'!$A$7:$O$22,2)))</f>
        <v>ESCOBAR JANOVICS</v>
      </c>
      <c r="F9" s="457"/>
      <c r="G9" s="457" t="str">
        <f>IF($B9="","",VLOOKUP($B9,'Fiú 3A ELO'!$A$7:$O$22,3))</f>
        <v>Albert</v>
      </c>
      <c r="H9" s="457"/>
      <c r="I9" s="331" t="str">
        <f>IF($B9="","",VLOOKUP($B9,'Fiú 3A ELO'!$A$7:$O$22,4))</f>
        <v>Szfvári Felsővárosi Ált Isk.</v>
      </c>
      <c r="J9" s="267"/>
      <c r="K9" s="447" t="s">
        <v>565</v>
      </c>
      <c r="L9" s="353"/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29"/>
      <c r="C10" s="332"/>
      <c r="D10" s="332"/>
      <c r="E10" s="332"/>
      <c r="F10" s="332"/>
      <c r="G10" s="332"/>
      <c r="H10" s="332"/>
      <c r="I10" s="33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28">
        <v>14</v>
      </c>
      <c r="C11" s="330">
        <f>IF($B11="","",VLOOKUP($B11,'Fiú 3A ELO'!$A$7:$O$22,5))</f>
        <v>0</v>
      </c>
      <c r="D11" s="330">
        <f>IF($B11="","",VLOOKUP($B11,'Fiú 3A ELO'!$A$7:$O$22,15))</f>
        <v>0</v>
      </c>
      <c r="E11" s="457" t="str">
        <f>UPPER(IF($B11="","",VLOOKUP($B11,'Fiú 3A ELO'!$A$7:$O$22,2)))</f>
        <v>KARÁTH</v>
      </c>
      <c r="F11" s="457"/>
      <c r="G11" s="457" t="str">
        <f>IF($B11="","",VLOOKUP($B11,'Fiú 3A ELO'!$A$7:$O$22,3))</f>
        <v>Gábor</v>
      </c>
      <c r="H11" s="457"/>
      <c r="I11" s="331" t="str">
        <f>IF($B11="","",VLOOKUP($B11,'Fiú 3A ELO'!$A$7:$O$22,4))</f>
        <v>Szombathelyi Neumann János Általános Iskola</v>
      </c>
      <c r="J11" s="267"/>
      <c r="K11" s="447" t="s">
        <v>566</v>
      </c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301"/>
      <c r="B12" s="329"/>
      <c r="C12" s="332"/>
      <c r="D12" s="332"/>
      <c r="E12" s="332"/>
      <c r="F12" s="332"/>
      <c r="G12" s="332"/>
      <c r="H12" s="332"/>
      <c r="I12" s="332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01" t="s">
        <v>71</v>
      </c>
      <c r="B13" s="328"/>
      <c r="C13" s="330">
        <v>0</v>
      </c>
      <c r="D13" s="330">
        <v>0</v>
      </c>
      <c r="E13" s="476" t="s">
        <v>361</v>
      </c>
      <c r="F13" s="457"/>
      <c r="G13" s="476" t="s">
        <v>362</v>
      </c>
      <c r="H13" s="457"/>
      <c r="I13" s="427" t="s">
        <v>363</v>
      </c>
      <c r="J13" s="267"/>
      <c r="K13" s="447" t="s">
        <v>567</v>
      </c>
      <c r="L13" s="353"/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ht="18.75" customHeight="1" x14ac:dyDescent="0.25">
      <c r="A18" s="267"/>
      <c r="B18" s="455"/>
      <c r="C18" s="455"/>
      <c r="D18" s="456" t="str">
        <f>E7</f>
        <v>BOKOR</v>
      </c>
      <c r="E18" s="456"/>
      <c r="F18" s="456" t="str">
        <f>E9</f>
        <v>ESCOBAR JANOVICS</v>
      </c>
      <c r="G18" s="456"/>
      <c r="H18" s="456" t="str">
        <f>E11</f>
        <v>KARÁTH</v>
      </c>
      <c r="I18" s="456"/>
      <c r="J18" s="456" t="str">
        <f>E13</f>
        <v>VADÁSZ</v>
      </c>
      <c r="K18" s="456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ht="18.75" customHeight="1" x14ac:dyDescent="0.25">
      <c r="A19" s="333" t="s">
        <v>64</v>
      </c>
      <c r="B19" s="458" t="str">
        <f>E7</f>
        <v>BOKOR</v>
      </c>
      <c r="C19" s="458"/>
      <c r="D19" s="459"/>
      <c r="E19" s="459"/>
      <c r="F19" s="460" t="s">
        <v>538</v>
      </c>
      <c r="G19" s="461"/>
      <c r="H19" s="460" t="s">
        <v>534</v>
      </c>
      <c r="I19" s="461"/>
      <c r="J19" s="464" t="s">
        <v>536</v>
      </c>
      <c r="K19" s="465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ht="18.75" customHeight="1" x14ac:dyDescent="0.25">
      <c r="A20" s="333" t="s">
        <v>65</v>
      </c>
      <c r="B20" s="458" t="str">
        <f>E9</f>
        <v>ESCOBAR JANOVICS</v>
      </c>
      <c r="C20" s="458"/>
      <c r="D20" s="460" t="s">
        <v>539</v>
      </c>
      <c r="E20" s="461"/>
      <c r="F20" s="459"/>
      <c r="G20" s="459"/>
      <c r="H20" s="460" t="s">
        <v>538</v>
      </c>
      <c r="I20" s="461"/>
      <c r="J20" s="460" t="s">
        <v>551</v>
      </c>
      <c r="K20" s="461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ht="18.75" customHeight="1" x14ac:dyDescent="0.25">
      <c r="A21" s="333" t="s">
        <v>66</v>
      </c>
      <c r="B21" s="458" t="str">
        <f>E11</f>
        <v>KARÁTH</v>
      </c>
      <c r="C21" s="458"/>
      <c r="D21" s="460" t="s">
        <v>535</v>
      </c>
      <c r="E21" s="461"/>
      <c r="F21" s="460" t="s">
        <v>539</v>
      </c>
      <c r="G21" s="461"/>
      <c r="H21" s="459"/>
      <c r="I21" s="459"/>
      <c r="J21" s="460" t="s">
        <v>539</v>
      </c>
      <c r="K21" s="461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333" t="s">
        <v>71</v>
      </c>
      <c r="B22" s="458" t="str">
        <f>E13</f>
        <v>VADÁSZ</v>
      </c>
      <c r="C22" s="458"/>
      <c r="D22" s="460" t="s">
        <v>537</v>
      </c>
      <c r="E22" s="461"/>
      <c r="F22" s="460" t="s">
        <v>550</v>
      </c>
      <c r="G22" s="461"/>
      <c r="H22" s="464" t="s">
        <v>538</v>
      </c>
      <c r="I22" s="465"/>
      <c r="J22" s="459"/>
      <c r="K22" s="459"/>
      <c r="L22" s="267"/>
      <c r="M22" s="267"/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9" t="s">
        <v>4</v>
      </c>
      <c r="E33" s="310" t="s">
        <v>45</v>
      </c>
      <c r="F33" s="324"/>
      <c r="G33" s="309" t="s">
        <v>4</v>
      </c>
      <c r="H33" s="310" t="s">
        <v>54</v>
      </c>
      <c r="I33" s="159"/>
      <c r="J33" s="310" t="s">
        <v>55</v>
      </c>
      <c r="K33" s="158" t="s">
        <v>56</v>
      </c>
      <c r="L33" s="33"/>
      <c r="M33" s="324"/>
      <c r="P33" s="303"/>
      <c r="Q33" s="303"/>
      <c r="R33" s="304"/>
    </row>
    <row r="34" spans="1:18" x14ac:dyDescent="0.25">
      <c r="A34" s="278" t="s">
        <v>44</v>
      </c>
      <c r="B34" s="279"/>
      <c r="C34" s="281"/>
      <c r="D34" s="311"/>
      <c r="E34" s="462"/>
      <c r="F34" s="462"/>
      <c r="G34" s="318" t="s">
        <v>5</v>
      </c>
      <c r="H34" s="279"/>
      <c r="I34" s="312"/>
      <c r="J34" s="319"/>
      <c r="K34" s="273" t="s">
        <v>46</v>
      </c>
      <c r="L34" s="325"/>
      <c r="M34" s="313"/>
      <c r="P34" s="305"/>
      <c r="Q34" s="305"/>
      <c r="R34" s="306"/>
    </row>
    <row r="35" spans="1:18" x14ac:dyDescent="0.25">
      <c r="A35" s="282" t="s">
        <v>53</v>
      </c>
      <c r="B35" s="157"/>
      <c r="C35" s="284"/>
      <c r="D35" s="314"/>
      <c r="E35" s="463"/>
      <c r="F35" s="463"/>
      <c r="G35" s="320" t="s">
        <v>6</v>
      </c>
      <c r="H35" s="83"/>
      <c r="I35" s="271"/>
      <c r="J35" s="84"/>
      <c r="K35" s="322"/>
      <c r="L35" s="245"/>
      <c r="M35" s="317"/>
      <c r="P35" s="306"/>
      <c r="Q35" s="307"/>
      <c r="R35" s="306"/>
    </row>
    <row r="36" spans="1:18" x14ac:dyDescent="0.25">
      <c r="A36" s="172"/>
      <c r="B36" s="173"/>
      <c r="C36" s="174"/>
      <c r="D36" s="314"/>
      <c r="E36" s="85"/>
      <c r="F36" s="267"/>
      <c r="G36" s="320" t="s">
        <v>7</v>
      </c>
      <c r="H36" s="83"/>
      <c r="I36" s="271"/>
      <c r="J36" s="84"/>
      <c r="K36" s="273" t="s">
        <v>47</v>
      </c>
      <c r="L36" s="325"/>
      <c r="M36" s="313"/>
      <c r="P36" s="305"/>
      <c r="Q36" s="305"/>
      <c r="R36" s="306"/>
    </row>
    <row r="37" spans="1:18" x14ac:dyDescent="0.25">
      <c r="A37" s="148"/>
      <c r="B37" s="116"/>
      <c r="C37" s="149"/>
      <c r="D37" s="314"/>
      <c r="E37" s="85"/>
      <c r="F37" s="267"/>
      <c r="G37" s="320" t="s">
        <v>8</v>
      </c>
      <c r="H37" s="83"/>
      <c r="I37" s="271"/>
      <c r="J37" s="84"/>
      <c r="K37" s="323"/>
      <c r="L37" s="267"/>
      <c r="M37" s="315"/>
      <c r="P37" s="306"/>
      <c r="Q37" s="307"/>
      <c r="R37" s="306"/>
    </row>
    <row r="38" spans="1:18" x14ac:dyDescent="0.25">
      <c r="A38" s="161"/>
      <c r="B38" s="175"/>
      <c r="C38" s="202"/>
      <c r="D38" s="314"/>
      <c r="E38" s="85"/>
      <c r="F38" s="267"/>
      <c r="G38" s="320" t="s">
        <v>9</v>
      </c>
      <c r="H38" s="83"/>
      <c r="I38" s="271"/>
      <c r="J38" s="84"/>
      <c r="K38" s="282"/>
      <c r="L38" s="245"/>
      <c r="M38" s="317"/>
      <c r="P38" s="306"/>
      <c r="Q38" s="307"/>
      <c r="R38" s="306"/>
    </row>
    <row r="39" spans="1:18" x14ac:dyDescent="0.25">
      <c r="A39" s="162"/>
      <c r="B39" s="22"/>
      <c r="C39" s="149"/>
      <c r="D39" s="314"/>
      <c r="E39" s="85"/>
      <c r="F39" s="267"/>
      <c r="G39" s="320" t="s">
        <v>10</v>
      </c>
      <c r="H39" s="83"/>
      <c r="I39" s="271"/>
      <c r="J39" s="84"/>
      <c r="K39" s="273" t="s">
        <v>33</v>
      </c>
      <c r="L39" s="325"/>
      <c r="M39" s="313"/>
      <c r="P39" s="305"/>
      <c r="Q39" s="305"/>
      <c r="R39" s="306"/>
    </row>
    <row r="40" spans="1:18" x14ac:dyDescent="0.25">
      <c r="A40" s="162"/>
      <c r="B40" s="22"/>
      <c r="C40" s="170"/>
      <c r="D40" s="314"/>
      <c r="E40" s="85"/>
      <c r="F40" s="267"/>
      <c r="G40" s="320" t="s">
        <v>11</v>
      </c>
      <c r="H40" s="83"/>
      <c r="I40" s="271"/>
      <c r="J40" s="84"/>
      <c r="K40" s="323"/>
      <c r="L40" s="267"/>
      <c r="M40" s="315"/>
      <c r="P40" s="306"/>
      <c r="Q40" s="307"/>
      <c r="R40" s="306"/>
    </row>
    <row r="41" spans="1:18" x14ac:dyDescent="0.25">
      <c r="A41" s="163"/>
      <c r="B41" s="160"/>
      <c r="C41" s="171"/>
      <c r="D41" s="316"/>
      <c r="E41" s="150"/>
      <c r="F41" s="245"/>
      <c r="G41" s="321" t="s">
        <v>12</v>
      </c>
      <c r="H41" s="157"/>
      <c r="I41" s="275"/>
      <c r="J41" s="152"/>
      <c r="K41" s="282" t="str">
        <f>M4</f>
        <v>Rákóczi Andrea</v>
      </c>
      <c r="L41" s="245"/>
      <c r="M41" s="317"/>
      <c r="P41" s="306"/>
      <c r="Q41" s="307"/>
      <c r="R41" s="30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69" priority="2" stopIfTrue="1" operator="equal">
      <formula>"Bye"</formula>
    </cfRule>
  </conditionalFormatting>
  <conditionalFormatting sqref="R41">
    <cfRule type="expression" dxfId="6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7">
    <tabColor indexed="11"/>
  </sheetPr>
  <dimension ref="A1:AK49"/>
  <sheetViews>
    <sheetView topLeftCell="A16" workbookViewId="0">
      <selection activeCell="R25" sqref="R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Altalanos!$C$8</f>
        <v>3 fiú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2</v>
      </c>
      <c r="C7" s="291">
        <f>IF($B7="","",VLOOKUP($B7,'Fiú 3A ELO'!$A$7:$O$22,5))</f>
        <v>0</v>
      </c>
      <c r="D7" s="291">
        <f>IF($B7="","",VLOOKUP($B7,'Fiú 3A ELO'!$A$7:$O$22,15))</f>
        <v>0</v>
      </c>
      <c r="E7" s="287" t="str">
        <f>UPPER(IF($B7="","",VLOOKUP($B7,'Fiú 3A ELO'!$A$7:$O$22,2)))</f>
        <v>MAKRAI</v>
      </c>
      <c r="F7" s="290"/>
      <c r="G7" s="287" t="str">
        <f>IF($B7="","",VLOOKUP($B7,'Fiú 3A ELO'!$A$7:$O$22,3))</f>
        <v>Balázs</v>
      </c>
      <c r="H7" s="290"/>
      <c r="I7" s="287" t="str">
        <f>IF($B7="","",VLOOKUP($B7,'Fiú 3A ELO'!$A$7:$O$22,4))</f>
        <v>Kazincbarcikai Pollack Mihály Általános Iskola</v>
      </c>
      <c r="J7" s="267"/>
      <c r="K7" s="447" t="s">
        <v>564</v>
      </c>
      <c r="L7" s="353"/>
      <c r="M7" s="364"/>
      <c r="Q7" s="341" t="s">
        <v>78</v>
      </c>
      <c r="R7" s="403" t="s">
        <v>110</v>
      </c>
      <c r="S7" s="403" t="s">
        <v>112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111</v>
      </c>
      <c r="S8" s="404" t="s">
        <v>113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16</v>
      </c>
      <c r="C9" s="291">
        <f>IF($B9="","",VLOOKUP($B9,'Fiú 3A ELO'!$A$7:$O$22,5))</f>
        <v>0</v>
      </c>
      <c r="D9" s="291">
        <f>IF($B9="","",VLOOKUP($B9,'Fiú 3A ELO'!$A$7:$O$22,15))</f>
        <v>0</v>
      </c>
      <c r="E9" s="286" t="str">
        <f>UPPER(IF($B9="","",VLOOKUP($B9,'Fiú 3A ELO'!$A$7:$O$22,2)))</f>
        <v>TÖRTELI</v>
      </c>
      <c r="F9" s="292"/>
      <c r="G9" s="286" t="str">
        <f>IF($B9="","",VLOOKUP($B9,'Fiú 3A ELO'!$A$7:$O$22,3))</f>
        <v>Bence Zalán</v>
      </c>
      <c r="H9" s="292"/>
      <c r="I9" s="286" t="str">
        <f>IF($B9="","",VLOOKUP($B9,'Fiú 3A ELO'!$A$7:$O$22,4))</f>
        <v>Balatonfüredi Református Általános Iskola és Óvoda</v>
      </c>
      <c r="J9" s="267"/>
      <c r="K9" s="447" t="s">
        <v>565</v>
      </c>
      <c r="L9" s="353"/>
      <c r="M9" s="364"/>
      <c r="Q9" s="345" t="s">
        <v>86</v>
      </c>
      <c r="R9" s="405" t="s">
        <v>87</v>
      </c>
      <c r="S9" s="405" t="s">
        <v>114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49">
        <v>6</v>
      </c>
      <c r="C11" s="291">
        <f>IF($B11="","",VLOOKUP($B11,'Fiú 3A ELO'!$A$7:$O$22,5))</f>
        <v>0</v>
      </c>
      <c r="D11" s="291">
        <f>IF($B11="","",VLOOKUP($B11,'Fiú 3A ELO'!$A$7:$O$22,15))</f>
        <v>0</v>
      </c>
      <c r="E11" s="286" t="str">
        <f>UPPER(IF($B11="","",VLOOKUP($B11,'Fiú 3A ELO'!$A$7:$O$22,2)))</f>
        <v xml:space="preserve">MAROSI </v>
      </c>
      <c r="F11" s="292"/>
      <c r="G11" s="286" t="str">
        <f>IF($B11="","",VLOOKUP($B11,'Fiú 3A ELO'!$A$7:$O$22,3))</f>
        <v xml:space="preserve">Péter           </v>
      </c>
      <c r="H11" s="292"/>
      <c r="I11" s="286" t="str">
        <f>IF($B11="","",VLOOKUP($B11,'Fiú 3A ELO'!$A$7:$O$22,4))</f>
        <v>Podmaniczky János Evangélikus Óvoda és Általános Iskola</v>
      </c>
      <c r="J11" s="267"/>
      <c r="K11" s="447" t="s">
        <v>567</v>
      </c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3</v>
      </c>
      <c r="C13" s="291">
        <f>IF($B13="","",VLOOKUP($B13,'Fiú 3A ELO'!$A$7:$O$22,5))</f>
        <v>0</v>
      </c>
      <c r="D13" s="291">
        <f>IF($B13="","",VLOOKUP($B13,'Fiú 3A ELO'!$A$7:$O$22,15))</f>
        <v>0</v>
      </c>
      <c r="E13" s="287" t="str">
        <f>UPPER(IF($B13="","",VLOOKUP($B13,'Fiú 3A ELO'!$A$7:$O$22,2)))</f>
        <v xml:space="preserve">BAGDI </v>
      </c>
      <c r="F13" s="290"/>
      <c r="G13" s="287" t="str">
        <f>IF($B13="","",VLOOKUP($B13,'Fiú 3A ELO'!$A$7:$O$22,3))</f>
        <v>Barnabás</v>
      </c>
      <c r="H13" s="290"/>
      <c r="I13" s="287" t="str">
        <f>IF($B13="","",VLOOKUP($B13,'Fiú 3A ELO'!$A$7:$O$22,4))</f>
        <v>Gyula Implom</v>
      </c>
      <c r="J13" s="267"/>
      <c r="K13" s="363"/>
      <c r="L13" s="353"/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01" t="s">
        <v>72</v>
      </c>
      <c r="B15" s="349"/>
      <c r="C15" s="291">
        <v>0</v>
      </c>
      <c r="D15" s="291">
        <v>0</v>
      </c>
      <c r="E15" s="425" t="s">
        <v>364</v>
      </c>
      <c r="F15" s="292"/>
      <c r="G15" s="425" t="s">
        <v>139</v>
      </c>
      <c r="H15" s="292"/>
      <c r="I15" s="425" t="s">
        <v>365</v>
      </c>
      <c r="J15" s="267"/>
      <c r="K15" s="363"/>
      <c r="L15" s="353"/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15</v>
      </c>
      <c r="C17" s="291">
        <f>IF($B17="","",VLOOKUP($B17,'Fiú 3A ELO'!$A$7:$O$22,5))</f>
        <v>0</v>
      </c>
      <c r="D17" s="291">
        <f>IF($B17="","",VLOOKUP($B17,'Fiú 3A ELO'!$A$7:$O$22,15))</f>
        <v>0</v>
      </c>
      <c r="E17" s="286" t="str">
        <f>UPPER(IF($B17="","",VLOOKUP($B17,'Fiú 3A ELO'!$A$7:$O$22,2)))</f>
        <v>VÁRADY-FANDL</v>
      </c>
      <c r="F17" s="292"/>
      <c r="G17" s="286" t="str">
        <f>IF($B17="","",VLOOKUP($B17,'Fiú 3A ELO'!$A$7:$O$22,3))</f>
        <v>Áron</v>
      </c>
      <c r="H17" s="292"/>
      <c r="I17" s="286" t="str">
        <f>IF($B17="","",VLOOKUP($B17,'Fiú 3A ELO'!$A$7:$O$22,4))</f>
        <v>Balatonfüredi Református Általános Iskola és Óvoda</v>
      </c>
      <c r="J17" s="267"/>
      <c r="K17" s="363"/>
      <c r="L17" s="353"/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01" t="s">
        <v>73</v>
      </c>
      <c r="B19" s="349">
        <v>11</v>
      </c>
      <c r="C19" s="291">
        <f>IF($B19="","",VLOOKUP($B19,'Fiú 3A ELO'!$A$7:$O$22,5))</f>
        <v>0</v>
      </c>
      <c r="D19" s="291">
        <f>IF($B19="","",VLOOKUP($B19,'Fiú 3A ELO'!$A$7:$O$22,15))</f>
        <v>0</v>
      </c>
      <c r="E19" s="286" t="str">
        <f>UPPER(IF($B19="","",VLOOKUP($B19,'Fiú 3A ELO'!$A$7:$O$22,2)))</f>
        <v>KOVÁCS</v>
      </c>
      <c r="F19" s="292"/>
      <c r="G19" s="286" t="str">
        <f>IF($B19="","",VLOOKUP($B19,'Fiú 3A ELO'!$A$7:$O$22,3))</f>
        <v>Szilárd</v>
      </c>
      <c r="H19" s="292"/>
      <c r="I19" s="286" t="str">
        <f>IF($B19="","",VLOOKUP($B19,'Fiú 3A ELO'!$A$7:$O$22,4))</f>
        <v>Jászberényi Nagyboldogasszony Katolikus Óvoda, Kéttannyelvű Általános Iskola és Gimnázium</v>
      </c>
      <c r="J19" s="267"/>
      <c r="K19" s="363"/>
      <c r="L19" s="353"/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 t="str">
        <f>E7</f>
        <v>MAKRAI</v>
      </c>
      <c r="E22" s="456"/>
      <c r="F22" s="456" t="str">
        <f>E9</f>
        <v>TÖRTELI</v>
      </c>
      <c r="G22" s="456"/>
      <c r="H22" s="456" t="str">
        <f>E11</f>
        <v xml:space="preserve">MAROSI </v>
      </c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58" t="str">
        <f>E7</f>
        <v>MAKRAI</v>
      </c>
      <c r="C23" s="458"/>
      <c r="D23" s="459"/>
      <c r="E23" s="459"/>
      <c r="F23" s="460" t="s">
        <v>538</v>
      </c>
      <c r="G23" s="461"/>
      <c r="H23" s="460" t="s">
        <v>534</v>
      </c>
      <c r="I23" s="461"/>
      <c r="J23" s="439"/>
      <c r="K23" s="439"/>
      <c r="L23" s="267"/>
      <c r="M23" s="336" t="s">
        <v>564</v>
      </c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58" t="str">
        <f>E9</f>
        <v>TÖRTELI</v>
      </c>
      <c r="C24" s="458"/>
      <c r="D24" s="460" t="s">
        <v>539</v>
      </c>
      <c r="E24" s="461"/>
      <c r="F24" s="459"/>
      <c r="G24" s="459"/>
      <c r="H24" s="460" t="s">
        <v>539</v>
      </c>
      <c r="I24" s="461"/>
      <c r="J24" s="439"/>
      <c r="K24" s="439"/>
      <c r="L24" s="267"/>
      <c r="M24" s="336" t="s">
        <v>565</v>
      </c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58" t="str">
        <f>E11</f>
        <v xml:space="preserve">MAROSI </v>
      </c>
      <c r="C25" s="458"/>
      <c r="D25" s="460" t="s">
        <v>535</v>
      </c>
      <c r="E25" s="461"/>
      <c r="F25" s="460" t="s">
        <v>538</v>
      </c>
      <c r="G25" s="461"/>
      <c r="H25" s="459"/>
      <c r="I25" s="459"/>
      <c r="J25" s="439"/>
      <c r="K25" s="439"/>
      <c r="L25" s="267"/>
      <c r="M25" s="336" t="s">
        <v>567</v>
      </c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439"/>
      <c r="E26" s="439"/>
      <c r="F26" s="439"/>
      <c r="G26" s="439"/>
      <c r="H26" s="439"/>
      <c r="I26" s="439"/>
      <c r="J26" s="439"/>
      <c r="K26" s="439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55"/>
      <c r="C27" s="455"/>
      <c r="D27" s="465" t="str">
        <f>E13</f>
        <v xml:space="preserve">BAGDI </v>
      </c>
      <c r="E27" s="465"/>
      <c r="F27" s="465" t="str">
        <f>E15</f>
        <v>VIG</v>
      </c>
      <c r="G27" s="465"/>
      <c r="H27" s="465" t="str">
        <f>E17</f>
        <v>VÁRADY-FANDL</v>
      </c>
      <c r="I27" s="465"/>
      <c r="J27" s="465" t="str">
        <f>E19</f>
        <v>KOVÁCS</v>
      </c>
      <c r="K27" s="465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58" t="str">
        <f>E13</f>
        <v xml:space="preserve">BAGDI </v>
      </c>
      <c r="C28" s="458"/>
      <c r="D28" s="459"/>
      <c r="E28" s="459"/>
      <c r="F28" s="460" t="s">
        <v>536</v>
      </c>
      <c r="G28" s="461"/>
      <c r="H28" s="460" t="s">
        <v>544</v>
      </c>
      <c r="I28" s="461"/>
      <c r="J28" s="464" t="s">
        <v>538</v>
      </c>
      <c r="K28" s="465"/>
      <c r="L28" s="267"/>
      <c r="M28" s="336" t="s">
        <v>564</v>
      </c>
    </row>
    <row r="29" spans="1:37" ht="18.75" customHeight="1" x14ac:dyDescent="0.25">
      <c r="A29" s="333" t="s">
        <v>72</v>
      </c>
      <c r="B29" s="458" t="str">
        <f>E15</f>
        <v>VIG</v>
      </c>
      <c r="C29" s="458"/>
      <c r="D29" s="460" t="s">
        <v>537</v>
      </c>
      <c r="E29" s="461"/>
      <c r="F29" s="459"/>
      <c r="G29" s="459"/>
      <c r="H29" s="460" t="s">
        <v>536</v>
      </c>
      <c r="I29" s="461"/>
      <c r="J29" s="460" t="s">
        <v>536</v>
      </c>
      <c r="K29" s="461"/>
      <c r="L29" s="267"/>
      <c r="M29" s="336" t="s">
        <v>567</v>
      </c>
    </row>
    <row r="30" spans="1:37" ht="18.75" customHeight="1" x14ac:dyDescent="0.25">
      <c r="A30" s="333" t="s">
        <v>73</v>
      </c>
      <c r="B30" s="458" t="str">
        <f>E17</f>
        <v>VÁRADY-FANDL</v>
      </c>
      <c r="C30" s="458"/>
      <c r="D30" s="460" t="s">
        <v>545</v>
      </c>
      <c r="E30" s="461"/>
      <c r="F30" s="460" t="s">
        <v>537</v>
      </c>
      <c r="G30" s="461"/>
      <c r="H30" s="459"/>
      <c r="I30" s="459"/>
      <c r="J30" s="460" t="s">
        <v>531</v>
      </c>
      <c r="K30" s="461"/>
      <c r="L30" s="267"/>
      <c r="M30" s="336" t="s">
        <v>565</v>
      </c>
    </row>
    <row r="31" spans="1:37" ht="18.75" customHeight="1" x14ac:dyDescent="0.25">
      <c r="A31" s="333" t="s">
        <v>77</v>
      </c>
      <c r="B31" s="458" t="str">
        <f>E19</f>
        <v>KOVÁCS</v>
      </c>
      <c r="C31" s="458"/>
      <c r="D31" s="460" t="s">
        <v>539</v>
      </c>
      <c r="E31" s="461"/>
      <c r="F31" s="460" t="s">
        <v>537</v>
      </c>
      <c r="G31" s="461"/>
      <c r="H31" s="464" t="s">
        <v>530</v>
      </c>
      <c r="I31" s="465"/>
      <c r="J31" s="459"/>
      <c r="K31" s="459"/>
      <c r="L31" s="267"/>
      <c r="M31" s="336" t="s">
        <v>566</v>
      </c>
    </row>
    <row r="32" spans="1:37" ht="18.75" customHeight="1" x14ac:dyDescent="0.25">
      <c r="A32" s="338"/>
      <c r="B32" s="339"/>
      <c r="C32" s="339"/>
      <c r="D32" s="338"/>
      <c r="E32" s="338"/>
      <c r="F32" s="338"/>
      <c r="G32" s="338"/>
      <c r="H32" s="338"/>
      <c r="I32" s="338"/>
      <c r="J32" s="267"/>
      <c r="K32" s="267"/>
      <c r="L32" s="267"/>
      <c r="M32" s="340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58</v>
      </c>
      <c r="B34" s="267"/>
      <c r="C34" s="468" t="str">
        <f>IF(M23=1,B23,IF(M24=1,B24,IF(M25=1,B25,"")))</f>
        <v/>
      </c>
      <c r="D34" s="468"/>
      <c r="E34" s="301" t="s">
        <v>75</v>
      </c>
      <c r="F34" s="468" t="str">
        <f>IF(M28=1,B28,IF(M29=1,B29,IF(M30=1,B30,IF(M31=1,B31,""))))</f>
        <v/>
      </c>
      <c r="G34" s="468"/>
      <c r="H34" s="267"/>
      <c r="I34" s="245"/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301"/>
      <c r="G35" s="301"/>
      <c r="H35" s="267"/>
      <c r="I35" s="267"/>
      <c r="J35" s="267"/>
      <c r="K35" s="267"/>
      <c r="L35" s="267"/>
      <c r="M35" s="267"/>
    </row>
    <row r="36" spans="1:18" x14ac:dyDescent="0.25">
      <c r="A36" s="267" t="s">
        <v>74</v>
      </c>
      <c r="B36" s="267"/>
      <c r="C36" s="468" t="str">
        <f>IF(M23=2,B23,IF(M24=2,B24,IF(M25=2,B25,"")))</f>
        <v/>
      </c>
      <c r="D36" s="468"/>
      <c r="E36" s="301" t="s">
        <v>75</v>
      </c>
      <c r="F36" s="468" t="str">
        <f>IF(M28=2,B28,IF(M29=2,B29,IF(M30=2,B30,IF(M31=2,B31,""))))</f>
        <v/>
      </c>
      <c r="G36" s="468"/>
      <c r="H36" s="267"/>
      <c r="I36" s="245"/>
      <c r="J36" s="267"/>
      <c r="K36" s="267"/>
      <c r="L36" s="267"/>
      <c r="M36" s="267"/>
    </row>
    <row r="37" spans="1:18" x14ac:dyDescent="0.25">
      <c r="A37" s="267"/>
      <c r="B37" s="267"/>
      <c r="C37" s="301"/>
      <c r="D37" s="301"/>
      <c r="E37" s="301"/>
      <c r="F37" s="301"/>
      <c r="G37" s="301"/>
      <c r="H37" s="267"/>
      <c r="I37" s="267"/>
      <c r="J37" s="267"/>
      <c r="K37" s="267"/>
      <c r="L37" s="267"/>
      <c r="M37" s="267"/>
    </row>
    <row r="38" spans="1:18" x14ac:dyDescent="0.25">
      <c r="A38" s="267" t="s">
        <v>76</v>
      </c>
      <c r="B38" s="267"/>
      <c r="C38" s="468" t="str">
        <f>IF(M23=3,B23,IF(M24=3,B24,IF(M25=3,B25,"")))</f>
        <v/>
      </c>
      <c r="D38" s="468"/>
      <c r="E38" s="301" t="s">
        <v>75</v>
      </c>
      <c r="F38" s="468" t="str">
        <f>IF(M28=3,B28,IF(M29=3,B29,IF(M30=3,B30,IF(M31=3,B31,""))))</f>
        <v/>
      </c>
      <c r="G38" s="468"/>
      <c r="H38" s="267"/>
      <c r="I38" s="245"/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36" t="s">
        <v>43</v>
      </c>
      <c r="B41" s="137"/>
      <c r="C41" s="203"/>
      <c r="D41" s="309" t="s">
        <v>4</v>
      </c>
      <c r="E41" s="310" t="s">
        <v>45</v>
      </c>
      <c r="F41" s="324"/>
      <c r="G41" s="309" t="s">
        <v>4</v>
      </c>
      <c r="H41" s="310" t="s">
        <v>54</v>
      </c>
      <c r="I41" s="159"/>
      <c r="J41" s="310" t="s">
        <v>55</v>
      </c>
      <c r="K41" s="158" t="s">
        <v>56</v>
      </c>
      <c r="L41" s="33"/>
      <c r="M41" s="324"/>
      <c r="P41" s="303"/>
      <c r="Q41" s="303"/>
      <c r="R41" s="304"/>
    </row>
    <row r="42" spans="1:18" x14ac:dyDescent="0.25">
      <c r="A42" s="278" t="s">
        <v>44</v>
      </c>
      <c r="B42" s="279"/>
      <c r="C42" s="281"/>
      <c r="D42" s="311">
        <v>1</v>
      </c>
      <c r="E42" s="462" t="str">
        <f>IF(D42&gt;$R$44,,UPPER(VLOOKUP(D42,'Fiú 3A ELO'!$A$7:$Q$134,2)))</f>
        <v>BOKOR</v>
      </c>
      <c r="F42" s="462"/>
      <c r="G42" s="318" t="s">
        <v>5</v>
      </c>
      <c r="H42" s="279"/>
      <c r="I42" s="312"/>
      <c r="J42" s="319"/>
      <c r="K42" s="273" t="s">
        <v>46</v>
      </c>
      <c r="L42" s="325"/>
      <c r="M42" s="313"/>
      <c r="P42" s="305"/>
      <c r="Q42" s="305"/>
      <c r="R42" s="306"/>
    </row>
    <row r="43" spans="1:18" x14ac:dyDescent="0.25">
      <c r="A43" s="282" t="s">
        <v>53</v>
      </c>
      <c r="B43" s="157"/>
      <c r="C43" s="284"/>
      <c r="D43" s="314">
        <v>2</v>
      </c>
      <c r="E43" s="463" t="str">
        <f>IF(D43&gt;$R$44,,UPPER(VLOOKUP(D43,'Fiú 3A ELO'!$A$7:$Q$134,2)))</f>
        <v>MAKRAI</v>
      </c>
      <c r="F43" s="463"/>
      <c r="G43" s="320" t="s">
        <v>6</v>
      </c>
      <c r="H43" s="83"/>
      <c r="I43" s="271"/>
      <c r="J43" s="84"/>
      <c r="K43" s="322"/>
      <c r="L43" s="245"/>
      <c r="M43" s="317"/>
      <c r="P43" s="306"/>
      <c r="Q43" s="307"/>
      <c r="R43" s="306"/>
    </row>
    <row r="44" spans="1:18" x14ac:dyDescent="0.25">
      <c r="A44" s="172"/>
      <c r="B44" s="173"/>
      <c r="C44" s="174"/>
      <c r="D44" s="314"/>
      <c r="E44" s="85"/>
      <c r="F44" s="267"/>
      <c r="G44" s="320" t="s">
        <v>7</v>
      </c>
      <c r="H44" s="83"/>
      <c r="I44" s="271"/>
      <c r="J44" s="84"/>
      <c r="K44" s="273" t="s">
        <v>47</v>
      </c>
      <c r="L44" s="325"/>
      <c r="M44" s="313"/>
      <c r="P44" s="305"/>
      <c r="Q44" s="305"/>
      <c r="R44" s="308">
        <f>MIN(4,'Fiú 3A ELO'!Q2)</f>
        <v>4</v>
      </c>
    </row>
    <row r="45" spans="1:18" x14ac:dyDescent="0.25">
      <c r="A45" s="148"/>
      <c r="B45" s="116"/>
      <c r="C45" s="149"/>
      <c r="D45" s="314"/>
      <c r="E45" s="85"/>
      <c r="F45" s="267"/>
      <c r="G45" s="320" t="s">
        <v>8</v>
      </c>
      <c r="H45" s="83"/>
      <c r="I45" s="271"/>
      <c r="J45" s="84"/>
      <c r="K45" s="323"/>
      <c r="L45" s="267"/>
      <c r="M45" s="315"/>
      <c r="P45" s="306"/>
      <c r="Q45" s="307"/>
      <c r="R45" s="306"/>
    </row>
    <row r="46" spans="1:18" x14ac:dyDescent="0.25">
      <c r="A46" s="161"/>
      <c r="B46" s="175"/>
      <c r="C46" s="202"/>
      <c r="D46" s="314"/>
      <c r="E46" s="85"/>
      <c r="F46" s="267"/>
      <c r="G46" s="320" t="s">
        <v>9</v>
      </c>
      <c r="H46" s="83"/>
      <c r="I46" s="271"/>
      <c r="J46" s="84"/>
      <c r="K46" s="282"/>
      <c r="L46" s="245"/>
      <c r="M46" s="317"/>
      <c r="P46" s="306"/>
      <c r="Q46" s="307"/>
      <c r="R46" s="306"/>
    </row>
    <row r="47" spans="1:18" x14ac:dyDescent="0.25">
      <c r="A47" s="162"/>
      <c r="B47" s="22"/>
      <c r="C47" s="149"/>
      <c r="D47" s="314"/>
      <c r="E47" s="85"/>
      <c r="F47" s="267"/>
      <c r="G47" s="320" t="s">
        <v>10</v>
      </c>
      <c r="H47" s="83"/>
      <c r="I47" s="271"/>
      <c r="J47" s="84"/>
      <c r="K47" s="273" t="s">
        <v>33</v>
      </c>
      <c r="L47" s="325"/>
      <c r="M47" s="313"/>
      <c r="P47" s="305"/>
      <c r="Q47" s="305"/>
      <c r="R47" s="306"/>
    </row>
    <row r="48" spans="1:18" x14ac:dyDescent="0.25">
      <c r="A48" s="162"/>
      <c r="B48" s="22"/>
      <c r="C48" s="170"/>
      <c r="D48" s="314"/>
      <c r="E48" s="85"/>
      <c r="F48" s="267"/>
      <c r="G48" s="320" t="s">
        <v>11</v>
      </c>
      <c r="H48" s="83"/>
      <c r="I48" s="271"/>
      <c r="J48" s="84"/>
      <c r="K48" s="323"/>
      <c r="L48" s="267"/>
      <c r="M48" s="315"/>
      <c r="P48" s="306"/>
      <c r="Q48" s="307"/>
      <c r="R48" s="306"/>
    </row>
    <row r="49" spans="1:18" x14ac:dyDescent="0.25">
      <c r="A49" s="163"/>
      <c r="B49" s="160"/>
      <c r="C49" s="171"/>
      <c r="D49" s="316"/>
      <c r="E49" s="150"/>
      <c r="F49" s="245"/>
      <c r="G49" s="321" t="s">
        <v>12</v>
      </c>
      <c r="H49" s="157"/>
      <c r="I49" s="275"/>
      <c r="J49" s="152"/>
      <c r="K49" s="282" t="str">
        <f>L4</f>
        <v>Rákóczi Andrea</v>
      </c>
      <c r="L49" s="245"/>
      <c r="M49" s="317"/>
      <c r="P49" s="306"/>
      <c r="Q49" s="307"/>
      <c r="R49" s="308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67" priority="1" stopIfTrue="1" operator="equal">
      <formula>"Bye"</formula>
    </cfRule>
  </conditionalFormatting>
  <conditionalFormatting sqref="R44 R49">
    <cfRule type="expression" dxfId="6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8">
    <tabColor indexed="11"/>
  </sheetPr>
  <dimension ref="A1:AK53"/>
  <sheetViews>
    <sheetView topLeftCell="A20" workbookViewId="0">
      <selection activeCell="M33" sqref="M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IF(Y5=1,CONCATENATE(VLOOKUP(Y3,AA16:AH30,2)),CONCATENATE(VLOOKUP(Y3,AA2:AK13,2)))</f>
        <v>#N/A</v>
      </c>
      <c r="AC1" s="362" t="e">
        <f>IF(Y5=1,CONCATENATE(VLOOKUP(Y3,AA16:AK30,3)),CONCATENATE(VLOOKUP(Y3,AA2:AK13,3)))</f>
        <v>#N/A</v>
      </c>
      <c r="AD1" s="362" t="e">
        <f>IF(Y5=1,CONCATENATE(VLOOKUP(Y3,AA16:AK30,4)),CONCATENATE(VLOOKUP(Y3,AA2:AK13,4)))</f>
        <v>#N/A</v>
      </c>
      <c r="AE1" s="362" t="e">
        <f>IF(Y5=1,CONCATENATE(VLOOKUP(Y3,AA16:AK30,5)),CONCATENATE(VLOOKUP(Y3,AA2:AK13,5)))</f>
        <v>#N/A</v>
      </c>
      <c r="AF1" s="362" t="e">
        <f>IF(Y5=1,CONCATENATE(VLOOKUP(Y3,AA16:AK30,6)),CONCATENATE(VLOOKUP(Y3,AA2:AK13,6)))</f>
        <v>#N/A</v>
      </c>
      <c r="AG1" s="362" t="e">
        <f>IF(Y5=1,CONCATENATE(VLOOKUP(Y3,AA16:AK30,7)),CONCATENATE(VLOOKUP(Y3,AA2:AK13,7)))</f>
        <v>#N/A</v>
      </c>
      <c r="AH1" s="362" t="e">
        <f>IF(Y5=1,CONCATENATE(VLOOKUP(Y3,AA16:AK30,8)),CONCATENATE(VLOOKUP(Y3,AA2:AK13,8)))</f>
        <v>#N/A</v>
      </c>
      <c r="AI1" s="362" t="e">
        <f>IF(Y5=1,CONCATENATE(VLOOKUP(Y3,AA16:AK30,9)),CONCATENATE(VLOOKUP(Y3,AA2:AK13,9)))</f>
        <v>#N/A</v>
      </c>
      <c r="AJ1" s="362" t="e">
        <f>IF(Y5=1,CONCATENATE(VLOOKUP(Y3,AA16:AK30,10)),CONCATENATE(VLOOKUP(Y3,AA2:AK13,10)))</f>
        <v>#N/A</v>
      </c>
      <c r="AK1" s="362" t="e">
        <f>IF(Y5=1,CONCATENATE(VLOOKUP(Y3,AA16:AK30,11)),CONCATENATE(VLOOKUP(Y3,AA2:AK13,11)))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Altalanos!$C$8</f>
        <v>3 fiú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5</v>
      </c>
      <c r="C7" s="291">
        <f>IF($B7="","",VLOOKUP($B7,'Fiú 3A ELO'!$A$7:$O$22,5))</f>
        <v>0</v>
      </c>
      <c r="D7" s="291">
        <f>IF($B7="","",VLOOKUP($B7,'Fiú 3A ELO'!$A$7:$O$22,15))</f>
        <v>0</v>
      </c>
      <c r="E7" s="287" t="str">
        <f>UPPER(IF($B7="","",VLOOKUP($B7,'Fiú 3A ELO'!$A$7:$O$22,2)))</f>
        <v xml:space="preserve">ALMAI </v>
      </c>
      <c r="F7" s="290"/>
      <c r="G7" s="287" t="str">
        <f>IF($B7="","",VLOOKUP($B7,'Fiú 3A ELO'!$A$7:$O$22,3))</f>
        <v xml:space="preserve">Sámuel       </v>
      </c>
      <c r="H7" s="290"/>
      <c r="I7" s="287" t="str">
        <f>IF($B7="","",VLOOKUP($B7,'Fiú 3A ELO'!$A$7:$O$22,4))</f>
        <v>Budapest XIII. Kerületi Gárdonyi Géza Általános Iskola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115</v>
      </c>
      <c r="S7" s="403" t="s">
        <v>116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113</v>
      </c>
      <c r="S8" s="404" t="s">
        <v>117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4</v>
      </c>
      <c r="C9" s="291">
        <f>IF($B9="","",VLOOKUP($B9,'Fiú 3A ELO'!$A$7:$O$22,5))</f>
        <v>0</v>
      </c>
      <c r="D9" s="291">
        <f>IF($B9="","",VLOOKUP($B9,'Fiú 3A ELO'!$A$7:$O$22,15))</f>
        <v>0</v>
      </c>
      <c r="E9" s="286" t="str">
        <f>UPPER(IF($B9="","",VLOOKUP($B9,'Fiú 3A ELO'!$A$7:$O$22,2)))</f>
        <v xml:space="preserve">DOMOKOS </v>
      </c>
      <c r="F9" s="292"/>
      <c r="G9" s="286" t="str">
        <f>IF($B9="","",VLOOKUP($B9,'Fiú 3A ELO'!$A$7:$O$22,3))</f>
        <v>Arnold</v>
      </c>
      <c r="H9" s="292"/>
      <c r="I9" s="286" t="str">
        <f>IF($B9="","",VLOOKUP($B9,'Fiú 3A ELO'!$A$7:$O$22,4))</f>
        <v>Gyula Implom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110</v>
      </c>
      <c r="S9" s="405" t="s">
        <v>118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49">
        <v>8</v>
      </c>
      <c r="C11" s="291">
        <f>IF($B11="","",VLOOKUP($B11,'Fiú 3A ELO'!$A$7:$O$22,5))</f>
        <v>0</v>
      </c>
      <c r="D11" s="291">
        <f>IF($B11="","",VLOOKUP($B11,'Fiú 3A ELO'!$A$7:$O$22,15))</f>
        <v>0</v>
      </c>
      <c r="E11" s="286" t="str">
        <f>UPPER(IF($B11="","",VLOOKUP($B11,'Fiú 3A ELO'!$A$7:$O$22,2)))</f>
        <v>SZILÁGYI</v>
      </c>
      <c r="F11" s="292"/>
      <c r="G11" s="286" t="str">
        <f>IF($B11="","",VLOOKUP($B11,'Fiú 3A ELO'!$A$7:$O$22,3))</f>
        <v>Dénes</v>
      </c>
      <c r="H11" s="292"/>
      <c r="I11" s="286" t="str">
        <f>IF($B11="","",VLOOKUP($B11,'Fiú 3A ELO'!$A$7:$O$22,4))</f>
        <v>Lilla Téri Általános Iskola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96" t="s">
        <v>71</v>
      </c>
      <c r="B13" s="399"/>
      <c r="C13" s="291">
        <v>0</v>
      </c>
      <c r="D13" s="291">
        <v>0</v>
      </c>
      <c r="E13" s="425" t="s">
        <v>366</v>
      </c>
      <c r="F13" s="292"/>
      <c r="G13" s="425" t="s">
        <v>174</v>
      </c>
      <c r="H13" s="292"/>
      <c r="I13" s="425" t="s">
        <v>367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34" t="s">
        <v>72</v>
      </c>
      <c r="B15" s="398">
        <v>13</v>
      </c>
      <c r="C15" s="291">
        <f>IF($B15="","",VLOOKUP($B15,'Fiú 3A ELO'!$A$7:$O$22,5))</f>
        <v>0</v>
      </c>
      <c r="D15" s="397">
        <f>IF($B15="","",VLOOKUP($B15,'Fiú 3A ELO'!$A$7:$O$22,15))</f>
        <v>0</v>
      </c>
      <c r="E15" s="287" t="str">
        <f>UPPER(IF($B15="","",VLOOKUP($B15,'Fiú 3A ELO'!$A$7:$O$22,2)))</f>
        <v>MARTON</v>
      </c>
      <c r="F15" s="290"/>
      <c r="G15" s="287" t="str">
        <f>IF($B15="","",VLOOKUP($B15,'Fiú 3A ELO'!$A$7:$O$22,3))</f>
        <v>Zsombor</v>
      </c>
      <c r="H15" s="290"/>
      <c r="I15" s="287" t="str">
        <f>IF($B15="","",VLOOKUP($B15,'Fiú 3A ELO'!$A$7:$O$22,4))</f>
        <v>Kőszegi Béri Balog Ádám Általános Iskola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12</v>
      </c>
      <c r="C17" s="291">
        <f>IF($B17="","",VLOOKUP($B17,'Fiú 3A ELO'!$A$7:$O$22,5))</f>
        <v>0</v>
      </c>
      <c r="D17" s="291">
        <f>IF($B17="","",VLOOKUP($B17,'Fiú 3A ELO'!$A$7:$O$22,15))</f>
        <v>0</v>
      </c>
      <c r="E17" s="286" t="str">
        <f>UPPER(IF($B17="","",VLOOKUP($B17,'Fiú 3A ELO'!$A$7:$O$22,2)))</f>
        <v>MÉSZÁROS</v>
      </c>
      <c r="F17" s="292"/>
      <c r="G17" s="286" t="str">
        <f>IF($B17="","",VLOOKUP($B17,'Fiú 3A ELO'!$A$7:$O$22,3))</f>
        <v>Dávid</v>
      </c>
      <c r="H17" s="292"/>
      <c r="I17" s="286" t="str">
        <f>IF($B17="","",VLOOKUP($B17,'Fiú 3A ELO'!$A$7:$O$22,4))</f>
        <v>Vaszary János Általános Iskola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96" t="s">
        <v>77</v>
      </c>
      <c r="B19" s="349">
        <v>7</v>
      </c>
      <c r="C19" s="291">
        <f>IF($B19="","",VLOOKUP($B19,'Fiú 3A ELO'!$A$7:$O$22,5))</f>
        <v>0</v>
      </c>
      <c r="D19" s="291">
        <f>IF($B19="","",VLOOKUP($B19,'Fiú 3A ELO'!$A$7:$O$22,15))</f>
        <v>0</v>
      </c>
      <c r="E19" s="286" t="str">
        <f>UPPER(IF($B19="","",VLOOKUP($B19,'Fiú 3A ELO'!$A$7:$O$22,2)))</f>
        <v>NAGY</v>
      </c>
      <c r="F19" s="292"/>
      <c r="G19" s="286" t="str">
        <f>IF($B19="","",VLOOKUP($B19,'Fiú 3A ELO'!$A$7:$O$22,3))</f>
        <v>Bence Bertalan</v>
      </c>
      <c r="H19" s="292"/>
      <c r="I19" s="286" t="str">
        <f>IF($B19="","",VLOOKUP($B19,'Fiú 3A ELO'!$A$7:$O$22,4))</f>
        <v>Szentesi Koszta J.Ált.Isk.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301"/>
      <c r="B20" s="348"/>
      <c r="C20" s="302"/>
      <c r="D20" s="302"/>
      <c r="E20" s="302"/>
      <c r="F20" s="302"/>
      <c r="G20" s="302"/>
      <c r="H20" s="302"/>
      <c r="I20" s="302"/>
      <c r="J20" s="267"/>
      <c r="K20" s="301"/>
      <c r="L20" s="301"/>
      <c r="M20" s="365"/>
      <c r="Y20" s="351"/>
      <c r="Z20" s="351"/>
      <c r="AA20" s="351" t="s">
        <v>89</v>
      </c>
      <c r="AB20" s="351">
        <v>200</v>
      </c>
      <c r="AC20" s="351">
        <v>150</v>
      </c>
      <c r="AD20" s="351">
        <v>130</v>
      </c>
      <c r="AE20" s="351">
        <v>110</v>
      </c>
      <c r="AF20" s="351">
        <v>95</v>
      </c>
      <c r="AG20" s="351">
        <v>80</v>
      </c>
      <c r="AH20" s="351">
        <v>70</v>
      </c>
      <c r="AI20" s="351">
        <v>60</v>
      </c>
      <c r="AJ20" s="351">
        <v>55</v>
      </c>
      <c r="AK20" s="351">
        <v>50</v>
      </c>
    </row>
    <row r="21" spans="1:37" x14ac:dyDescent="0.25">
      <c r="A21" s="396" t="s">
        <v>108</v>
      </c>
      <c r="B21" s="349">
        <v>9</v>
      </c>
      <c r="C21" s="291">
        <f>IF($B21="","",VLOOKUP($B21,'Fiú 3A ELO'!$A$7:$O$22,5))</f>
        <v>0</v>
      </c>
      <c r="D21" s="291">
        <f>IF($B21="","",VLOOKUP($B21,'Fiú 3A ELO'!$A$7:$O$22,15))</f>
        <v>0</v>
      </c>
      <c r="E21" s="286" t="str">
        <f>UPPER(IF($B21="","",VLOOKUP($B21,'Fiú 3A ELO'!$A$7:$O$22,2)))</f>
        <v>ZSIRAI</v>
      </c>
      <c r="F21" s="292"/>
      <c r="G21" s="286" t="str">
        <f>IF($B21="","",VLOOKUP($B21,'Fiú 3A ELO'!$A$7:$O$22,3))</f>
        <v>Noé</v>
      </c>
      <c r="H21" s="292"/>
      <c r="I21" s="286" t="str">
        <f>IF($B21="","",VLOOKUP($B21,'Fiú 3A ELO'!$A$7:$O$22,4))</f>
        <v>Szfvári Hétvezér Ált Isk.</v>
      </c>
      <c r="J21" s="267"/>
      <c r="K21" s="363"/>
      <c r="L21" s="353" t="str">
        <f>IF(K21="","",CONCATENATE(VLOOKUP($Y$3,$AB$1:$AK$1,K21)," pont"))</f>
        <v/>
      </c>
      <c r="M21" s="364"/>
      <c r="Y21" s="351"/>
      <c r="Z21" s="351"/>
      <c r="AA21" s="351" t="s">
        <v>90</v>
      </c>
      <c r="AB21" s="351">
        <v>150</v>
      </c>
      <c r="AC21" s="351">
        <v>120</v>
      </c>
      <c r="AD21" s="351">
        <v>100</v>
      </c>
      <c r="AE21" s="351">
        <v>80</v>
      </c>
      <c r="AF21" s="351">
        <v>70</v>
      </c>
      <c r="AG21" s="351">
        <v>60</v>
      </c>
      <c r="AH21" s="351">
        <v>55</v>
      </c>
      <c r="AI21" s="351">
        <v>50</v>
      </c>
      <c r="AJ21" s="351">
        <v>45</v>
      </c>
      <c r="AK21" s="351">
        <v>40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51"/>
      <c r="Z22" s="351"/>
      <c r="AA22" s="351" t="s">
        <v>91</v>
      </c>
      <c r="AB22" s="351">
        <v>120</v>
      </c>
      <c r="AC22" s="351">
        <v>90</v>
      </c>
      <c r="AD22" s="351">
        <v>65</v>
      </c>
      <c r="AE22" s="351">
        <v>55</v>
      </c>
      <c r="AF22" s="351">
        <v>50</v>
      </c>
      <c r="AG22" s="351">
        <v>45</v>
      </c>
      <c r="AH22" s="351">
        <v>40</v>
      </c>
      <c r="AI22" s="351">
        <v>35</v>
      </c>
      <c r="AJ22" s="351">
        <v>25</v>
      </c>
      <c r="AK22" s="351">
        <v>20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92</v>
      </c>
      <c r="AB23" s="351">
        <v>90</v>
      </c>
      <c r="AC23" s="351">
        <v>60</v>
      </c>
      <c r="AD23" s="351">
        <v>45</v>
      </c>
      <c r="AE23" s="351">
        <v>34</v>
      </c>
      <c r="AF23" s="351">
        <v>27</v>
      </c>
      <c r="AG23" s="351">
        <v>22</v>
      </c>
      <c r="AH23" s="351">
        <v>18</v>
      </c>
      <c r="AI23" s="351">
        <v>15</v>
      </c>
      <c r="AJ23" s="351">
        <v>12</v>
      </c>
      <c r="AK23" s="351">
        <v>9</v>
      </c>
    </row>
    <row r="24" spans="1:37" ht="18.75" customHeight="1" x14ac:dyDescent="0.25">
      <c r="A24" s="267"/>
      <c r="B24" s="455"/>
      <c r="C24" s="455"/>
      <c r="D24" s="456" t="str">
        <f>E7</f>
        <v xml:space="preserve">ALMAI </v>
      </c>
      <c r="E24" s="456"/>
      <c r="F24" s="456" t="str">
        <f>E9</f>
        <v xml:space="preserve">DOMOKOS </v>
      </c>
      <c r="G24" s="456"/>
      <c r="H24" s="456" t="str">
        <f>E11</f>
        <v>SZILÁGYI</v>
      </c>
      <c r="I24" s="456"/>
      <c r="J24" s="456" t="str">
        <f>E13</f>
        <v>FERINCZ</v>
      </c>
      <c r="K24" s="456"/>
      <c r="L24" s="267"/>
      <c r="M24" s="335" t="s">
        <v>68</v>
      </c>
      <c r="Y24" s="351"/>
      <c r="Z24" s="351"/>
      <c r="AA24" s="351" t="s">
        <v>93</v>
      </c>
      <c r="AB24" s="351">
        <v>60</v>
      </c>
      <c r="AC24" s="351">
        <v>40</v>
      </c>
      <c r="AD24" s="351">
        <v>30</v>
      </c>
      <c r="AE24" s="351">
        <v>20</v>
      </c>
      <c r="AF24" s="351">
        <v>18</v>
      </c>
      <c r="AG24" s="351">
        <v>15</v>
      </c>
      <c r="AH24" s="351">
        <v>12</v>
      </c>
      <c r="AI24" s="351">
        <v>10</v>
      </c>
      <c r="AJ24" s="351">
        <v>8</v>
      </c>
      <c r="AK24" s="351">
        <v>6</v>
      </c>
    </row>
    <row r="25" spans="1:37" ht="18.75" customHeight="1" x14ac:dyDescent="0.25">
      <c r="A25" s="333" t="s">
        <v>64</v>
      </c>
      <c r="B25" s="458" t="str">
        <f>E7</f>
        <v xml:space="preserve">ALMAI </v>
      </c>
      <c r="C25" s="458"/>
      <c r="D25" s="459"/>
      <c r="E25" s="459"/>
      <c r="F25" s="460" t="s">
        <v>534</v>
      </c>
      <c r="G25" s="461"/>
      <c r="H25" s="460" t="s">
        <v>538</v>
      </c>
      <c r="I25" s="461"/>
      <c r="J25" s="464" t="s">
        <v>531</v>
      </c>
      <c r="K25" s="465"/>
      <c r="L25" s="267"/>
      <c r="M25" s="336" t="s">
        <v>564</v>
      </c>
      <c r="Y25" s="351"/>
      <c r="Z25" s="351"/>
      <c r="AA25" s="351" t="s">
        <v>94</v>
      </c>
      <c r="AB25" s="351">
        <v>40</v>
      </c>
      <c r="AC25" s="351">
        <v>25</v>
      </c>
      <c r="AD25" s="351">
        <v>18</v>
      </c>
      <c r="AE25" s="351">
        <v>13</v>
      </c>
      <c r="AF25" s="351">
        <v>8</v>
      </c>
      <c r="AG25" s="351">
        <v>7</v>
      </c>
      <c r="AH25" s="351">
        <v>6</v>
      </c>
      <c r="AI25" s="351">
        <v>5</v>
      </c>
      <c r="AJ25" s="351">
        <v>4</v>
      </c>
      <c r="AK25" s="351">
        <v>3</v>
      </c>
    </row>
    <row r="26" spans="1:37" ht="18.75" customHeight="1" x14ac:dyDescent="0.25">
      <c r="A26" s="333" t="s">
        <v>65</v>
      </c>
      <c r="B26" s="458" t="str">
        <f>E9</f>
        <v xml:space="preserve">DOMOKOS </v>
      </c>
      <c r="C26" s="458"/>
      <c r="D26" s="460" t="s">
        <v>535</v>
      </c>
      <c r="E26" s="461"/>
      <c r="F26" s="459"/>
      <c r="G26" s="459"/>
      <c r="H26" s="460" t="s">
        <v>538</v>
      </c>
      <c r="I26" s="461"/>
      <c r="J26" s="460" t="s">
        <v>531</v>
      </c>
      <c r="K26" s="461"/>
      <c r="L26" s="267"/>
      <c r="M26" s="336" t="s">
        <v>567</v>
      </c>
      <c r="Y26" s="351"/>
      <c r="Z26" s="351"/>
      <c r="AA26" s="351" t="s">
        <v>95</v>
      </c>
      <c r="AB26" s="351">
        <v>25</v>
      </c>
      <c r="AC26" s="351">
        <v>15</v>
      </c>
      <c r="AD26" s="351">
        <v>13</v>
      </c>
      <c r="AE26" s="351">
        <v>7</v>
      </c>
      <c r="AF26" s="351">
        <v>6</v>
      </c>
      <c r="AG26" s="351">
        <v>5</v>
      </c>
      <c r="AH26" s="351">
        <v>4</v>
      </c>
      <c r="AI26" s="351">
        <v>3</v>
      </c>
      <c r="AJ26" s="351">
        <v>2</v>
      </c>
      <c r="AK26" s="351">
        <v>1</v>
      </c>
    </row>
    <row r="27" spans="1:37" ht="18.75" customHeight="1" x14ac:dyDescent="0.25">
      <c r="A27" s="333" t="s">
        <v>66</v>
      </c>
      <c r="B27" s="458" t="str">
        <f>E11</f>
        <v>SZILÁGYI</v>
      </c>
      <c r="C27" s="458"/>
      <c r="D27" s="460" t="s">
        <v>539</v>
      </c>
      <c r="E27" s="461"/>
      <c r="F27" s="460" t="s">
        <v>539</v>
      </c>
      <c r="G27" s="461"/>
      <c r="H27" s="459"/>
      <c r="I27" s="459"/>
      <c r="J27" s="460" t="s">
        <v>531</v>
      </c>
      <c r="K27" s="461"/>
      <c r="L27" s="267"/>
      <c r="M27" s="336" t="s">
        <v>565</v>
      </c>
      <c r="Y27" s="351"/>
      <c r="Z27" s="351"/>
      <c r="AA27" s="351" t="s">
        <v>100</v>
      </c>
      <c r="AB27" s="351">
        <v>15</v>
      </c>
      <c r="AC27" s="351">
        <v>10</v>
      </c>
      <c r="AD27" s="351">
        <v>8</v>
      </c>
      <c r="AE27" s="351">
        <v>4</v>
      </c>
      <c r="AF27" s="351">
        <v>3</v>
      </c>
      <c r="AG27" s="351">
        <v>2</v>
      </c>
      <c r="AH27" s="351">
        <v>1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95" t="s">
        <v>71</v>
      </c>
      <c r="B28" s="458" t="str">
        <f>E13</f>
        <v>FERINCZ</v>
      </c>
      <c r="C28" s="458"/>
      <c r="D28" s="460" t="s">
        <v>530</v>
      </c>
      <c r="E28" s="461"/>
      <c r="F28" s="460" t="s">
        <v>530</v>
      </c>
      <c r="G28" s="461"/>
      <c r="H28" s="464" t="s">
        <v>563</v>
      </c>
      <c r="I28" s="465"/>
      <c r="J28" s="459"/>
      <c r="K28" s="459"/>
      <c r="L28" s="267"/>
      <c r="M28" s="336" t="s">
        <v>566</v>
      </c>
      <c r="Y28" s="351"/>
      <c r="Z28" s="351"/>
      <c r="AA28" s="351" t="s">
        <v>100</v>
      </c>
      <c r="AB28" s="351">
        <v>15</v>
      </c>
      <c r="AC28" s="351">
        <v>10</v>
      </c>
      <c r="AD28" s="351">
        <v>8</v>
      </c>
      <c r="AE28" s="351">
        <v>4</v>
      </c>
      <c r="AF28" s="351">
        <v>3</v>
      </c>
      <c r="AG28" s="351">
        <v>2</v>
      </c>
      <c r="AH28" s="351">
        <v>1</v>
      </c>
      <c r="AI28" s="351">
        <v>0</v>
      </c>
      <c r="AJ28" s="351">
        <v>0</v>
      </c>
      <c r="AK28" s="351">
        <v>0</v>
      </c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337"/>
      <c r="Y29" s="351"/>
      <c r="Z29" s="351"/>
      <c r="AA29" s="351" t="s">
        <v>96</v>
      </c>
      <c r="AB29" s="351">
        <v>10</v>
      </c>
      <c r="AC29" s="351">
        <v>6</v>
      </c>
      <c r="AD29" s="351">
        <v>4</v>
      </c>
      <c r="AE29" s="351">
        <v>2</v>
      </c>
      <c r="AF29" s="351">
        <v>1</v>
      </c>
      <c r="AG29" s="351">
        <v>0</v>
      </c>
      <c r="AH29" s="351">
        <v>0</v>
      </c>
      <c r="AI29" s="351">
        <v>0</v>
      </c>
      <c r="AJ29" s="351">
        <v>0</v>
      </c>
      <c r="AK29" s="351">
        <v>0</v>
      </c>
    </row>
    <row r="30" spans="1:37" ht="18.75" customHeight="1" x14ac:dyDescent="0.25">
      <c r="A30" s="267"/>
      <c r="B30" s="455"/>
      <c r="C30" s="455"/>
      <c r="D30" s="456" t="str">
        <f>E15</f>
        <v>MARTON</v>
      </c>
      <c r="E30" s="456"/>
      <c r="F30" s="456" t="str">
        <f>E17</f>
        <v>MÉSZÁROS</v>
      </c>
      <c r="G30" s="456"/>
      <c r="H30" s="480" t="str">
        <f>E19</f>
        <v>NAGY</v>
      </c>
      <c r="I30" s="481"/>
      <c r="J30" s="456" t="str">
        <f>E21</f>
        <v>ZSIRAI</v>
      </c>
      <c r="K30" s="456"/>
      <c r="L30" s="267"/>
      <c r="M30" s="337"/>
      <c r="Y30" s="351"/>
      <c r="Z30" s="351"/>
      <c r="AA30" s="351" t="s">
        <v>97</v>
      </c>
      <c r="AB30" s="351">
        <v>3</v>
      </c>
      <c r="AC30" s="351">
        <v>2</v>
      </c>
      <c r="AD30" s="351">
        <v>1</v>
      </c>
      <c r="AE30" s="351">
        <v>0</v>
      </c>
      <c r="AF30" s="351">
        <v>0</v>
      </c>
      <c r="AG30" s="351">
        <v>0</v>
      </c>
      <c r="AH30" s="351">
        <v>0</v>
      </c>
      <c r="AI30" s="351">
        <v>0</v>
      </c>
      <c r="AJ30" s="351">
        <v>0</v>
      </c>
      <c r="AK30" s="351">
        <v>0</v>
      </c>
    </row>
    <row r="31" spans="1:37" ht="18.75" customHeight="1" x14ac:dyDescent="0.25">
      <c r="A31" s="395" t="s">
        <v>72</v>
      </c>
      <c r="B31" s="469" t="str">
        <f>E15</f>
        <v>MARTON</v>
      </c>
      <c r="C31" s="470"/>
      <c r="D31" s="467"/>
      <c r="E31" s="467"/>
      <c r="F31" s="477" t="s">
        <v>538</v>
      </c>
      <c r="G31" s="466"/>
      <c r="H31" s="477" t="s">
        <v>538</v>
      </c>
      <c r="I31" s="466"/>
      <c r="J31" s="479" t="s">
        <v>538</v>
      </c>
      <c r="K31" s="456"/>
      <c r="L31" s="267"/>
      <c r="M31" s="336" t="s">
        <v>564</v>
      </c>
    </row>
    <row r="32" spans="1:37" ht="18.75" customHeight="1" x14ac:dyDescent="0.25">
      <c r="A32" s="395" t="s">
        <v>73</v>
      </c>
      <c r="B32" s="458" t="str">
        <f>E17</f>
        <v>MÉSZÁROS</v>
      </c>
      <c r="C32" s="458"/>
      <c r="D32" s="460" t="s">
        <v>539</v>
      </c>
      <c r="E32" s="461"/>
      <c r="F32" s="459"/>
      <c r="G32" s="459"/>
      <c r="H32" s="460" t="s">
        <v>538</v>
      </c>
      <c r="I32" s="461"/>
      <c r="J32" s="460" t="s">
        <v>538</v>
      </c>
      <c r="K32" s="461"/>
      <c r="L32" s="267"/>
      <c r="M32" s="336" t="s">
        <v>567</v>
      </c>
    </row>
    <row r="33" spans="1:18" ht="18.75" customHeight="1" x14ac:dyDescent="0.25">
      <c r="A33" s="395" t="s">
        <v>77</v>
      </c>
      <c r="B33" s="458" t="str">
        <f>E19</f>
        <v>NAGY</v>
      </c>
      <c r="C33" s="458"/>
      <c r="D33" s="460" t="s">
        <v>539</v>
      </c>
      <c r="E33" s="461"/>
      <c r="F33" s="460" t="s">
        <v>539</v>
      </c>
      <c r="G33" s="461"/>
      <c r="H33" s="459"/>
      <c r="I33" s="459"/>
      <c r="J33" s="460" t="s">
        <v>551</v>
      </c>
      <c r="K33" s="461"/>
      <c r="L33" s="267"/>
      <c r="M33" s="336" t="s">
        <v>566</v>
      </c>
    </row>
    <row r="34" spans="1:18" ht="18.75" customHeight="1" x14ac:dyDescent="0.25">
      <c r="A34" s="395" t="s">
        <v>108</v>
      </c>
      <c r="B34" s="458" t="str">
        <f>E21</f>
        <v>ZSIRAI</v>
      </c>
      <c r="C34" s="458"/>
      <c r="D34" s="477" t="s">
        <v>539</v>
      </c>
      <c r="E34" s="466"/>
      <c r="F34" s="478" t="s">
        <v>539</v>
      </c>
      <c r="G34" s="466"/>
      <c r="H34" s="479" t="s">
        <v>550</v>
      </c>
      <c r="I34" s="456"/>
      <c r="J34" s="467"/>
      <c r="K34" s="467"/>
      <c r="L34" s="267"/>
      <c r="M34" s="336" t="s">
        <v>565</v>
      </c>
    </row>
    <row r="35" spans="1:18" ht="18.75" customHeight="1" x14ac:dyDescent="0.25">
      <c r="A35" s="338"/>
      <c r="B35" s="339"/>
      <c r="C35" s="339"/>
      <c r="D35" s="338"/>
      <c r="E35" s="338"/>
      <c r="F35" s="338"/>
      <c r="G35" s="338"/>
      <c r="H35" s="338"/>
      <c r="I35" s="338"/>
      <c r="J35" s="267"/>
      <c r="K35" s="267"/>
      <c r="L35" s="267"/>
      <c r="M35" s="340"/>
    </row>
    <row r="36" spans="1:18" x14ac:dyDescent="0.2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8" x14ac:dyDescent="0.25">
      <c r="A37" s="267" t="s">
        <v>58</v>
      </c>
      <c r="B37" s="267"/>
      <c r="C37" s="468" t="str">
        <f>IF(M25=1,B25,IF(M26=1,B26,IF(M27=1,B27,IF(M28=1,B28,""))))</f>
        <v/>
      </c>
      <c r="D37" s="468"/>
      <c r="E37" s="301" t="s">
        <v>75</v>
      </c>
      <c r="F37" s="468" t="str">
        <f>IF(M31=1,B31,IF(M32=1,B32,IF(M33=1,B33,IF(M34=1,B34,""))))</f>
        <v/>
      </c>
      <c r="G37" s="468"/>
      <c r="H37" s="267"/>
      <c r="I37" s="245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301"/>
      <c r="G38" s="301"/>
      <c r="H38" s="267"/>
      <c r="I38" s="267"/>
      <c r="J38" s="267"/>
      <c r="K38" s="267"/>
      <c r="L38" s="267"/>
      <c r="M38" s="267"/>
    </row>
    <row r="39" spans="1:18" x14ac:dyDescent="0.25">
      <c r="A39" s="267" t="s">
        <v>74</v>
      </c>
      <c r="B39" s="267"/>
      <c r="C39" s="468" t="str">
        <f>IF(M25=2,B25,IF(M26=2,B26,IF(M27=2,B27,IF(M28=2,B28,""))))</f>
        <v/>
      </c>
      <c r="D39" s="468"/>
      <c r="E39" s="301" t="s">
        <v>75</v>
      </c>
      <c r="F39" s="468" t="str">
        <f>IF(M31=2,B31,IF(M32=2,B32,IF(M33=2,B33,IF(M34=2,B34,""))))</f>
        <v/>
      </c>
      <c r="G39" s="468"/>
      <c r="H39" s="267"/>
      <c r="I39" s="245"/>
      <c r="J39" s="267"/>
      <c r="K39" s="267"/>
      <c r="L39" s="267"/>
      <c r="M39" s="267"/>
    </row>
    <row r="40" spans="1:18" x14ac:dyDescent="0.25">
      <c r="A40" s="267"/>
      <c r="B40" s="267"/>
      <c r="C40" s="301"/>
      <c r="D40" s="301"/>
      <c r="E40" s="301"/>
      <c r="F40" s="301"/>
      <c r="G40" s="301"/>
      <c r="H40" s="267"/>
      <c r="I40" s="267"/>
      <c r="J40" s="267"/>
      <c r="K40" s="267"/>
      <c r="L40" s="267"/>
      <c r="M40" s="267"/>
    </row>
    <row r="41" spans="1:18" x14ac:dyDescent="0.25">
      <c r="A41" s="267" t="s">
        <v>76</v>
      </c>
      <c r="B41" s="267"/>
      <c r="C41" s="468" t="str">
        <f>IF(M25=3,B25,IF(M26=3,B26,IF(M27=3,B27,IF(M28=3,B28,""))))</f>
        <v/>
      </c>
      <c r="D41" s="468"/>
      <c r="E41" s="301" t="s">
        <v>75</v>
      </c>
      <c r="F41" s="468" t="str">
        <f>IF(M31=3,B31,IF(M32=3,B32,IF(M33=3,B33,IF(M34=3,B34,""))))</f>
        <v/>
      </c>
      <c r="G41" s="468"/>
      <c r="H41" s="267"/>
      <c r="I41" s="245"/>
      <c r="J41" s="267"/>
      <c r="K41" s="267"/>
      <c r="L41" s="267"/>
      <c r="M41" s="267"/>
    </row>
    <row r="42" spans="1:18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8" x14ac:dyDescent="0.25">
      <c r="A43" s="302" t="s">
        <v>109</v>
      </c>
      <c r="B43" s="267"/>
      <c r="C43" s="468">
        <f>IF(M25=4,B25,IF(M26=4,B26,IF(M27=4,B27,IF(M28=4,B28,))))</f>
        <v>0</v>
      </c>
      <c r="D43" s="468"/>
      <c r="E43" s="301" t="s">
        <v>75</v>
      </c>
      <c r="F43" s="468" t="str">
        <f>IF(M31=3,B31,IF(M32=3,B32,IF(M33=4,B33,IF(M34=4,B34,""))))</f>
        <v/>
      </c>
      <c r="G43" s="468"/>
      <c r="H43" s="267"/>
      <c r="I43" s="245"/>
      <c r="J43" s="267"/>
      <c r="K43" s="267"/>
      <c r="L43" s="267"/>
      <c r="M43" s="267"/>
    </row>
    <row r="44" spans="1:18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45"/>
      <c r="M44" s="267"/>
      <c r="P44" s="303"/>
      <c r="Q44" s="303"/>
      <c r="R44" s="304"/>
    </row>
    <row r="45" spans="1:18" x14ac:dyDescent="0.25">
      <c r="A45" s="136" t="s">
        <v>43</v>
      </c>
      <c r="B45" s="137"/>
      <c r="C45" s="203"/>
      <c r="D45" s="309" t="s">
        <v>4</v>
      </c>
      <c r="E45" s="310" t="s">
        <v>45</v>
      </c>
      <c r="F45" s="324"/>
      <c r="G45" s="309" t="s">
        <v>4</v>
      </c>
      <c r="H45" s="310" t="s">
        <v>54</v>
      </c>
      <c r="I45" s="159"/>
      <c r="J45" s="310" t="s">
        <v>55</v>
      </c>
      <c r="K45" s="158" t="s">
        <v>56</v>
      </c>
      <c r="L45" s="33"/>
      <c r="M45" s="324"/>
      <c r="P45" s="305"/>
      <c r="Q45" s="305"/>
      <c r="R45" s="306"/>
    </row>
    <row r="46" spans="1:18" x14ac:dyDescent="0.25">
      <c r="A46" s="278" t="s">
        <v>44</v>
      </c>
      <c r="B46" s="279"/>
      <c r="C46" s="281"/>
      <c r="D46" s="311">
        <v>1</v>
      </c>
      <c r="E46" s="462" t="str">
        <f>IF(D46&gt;$R$47,,UPPER(VLOOKUP(D46,'Fiú 3A ELO'!$A$7:$Q$134,2)))</f>
        <v>BOKOR</v>
      </c>
      <c r="F46" s="462"/>
      <c r="G46" s="318" t="s">
        <v>5</v>
      </c>
      <c r="H46" s="279"/>
      <c r="I46" s="312"/>
      <c r="J46" s="319"/>
      <c r="K46" s="273" t="s">
        <v>46</v>
      </c>
      <c r="L46" s="325"/>
      <c r="M46" s="313"/>
      <c r="P46" s="306"/>
      <c r="Q46" s="307"/>
      <c r="R46" s="306"/>
    </row>
    <row r="47" spans="1:18" x14ac:dyDescent="0.25">
      <c r="A47" s="282" t="s">
        <v>53</v>
      </c>
      <c r="B47" s="157"/>
      <c r="C47" s="284"/>
      <c r="D47" s="314">
        <v>2</v>
      </c>
      <c r="E47" s="463" t="str">
        <f>IF(D47&gt;$R$47,,UPPER(VLOOKUP(D47,'Fiú 3A ELO'!$A$7:$Q$134,2)))</f>
        <v>MAKRAI</v>
      </c>
      <c r="F47" s="463"/>
      <c r="G47" s="320" t="s">
        <v>6</v>
      </c>
      <c r="H47" s="83"/>
      <c r="I47" s="271"/>
      <c r="J47" s="84"/>
      <c r="K47" s="322"/>
      <c r="L47" s="245"/>
      <c r="M47" s="317"/>
      <c r="P47" s="305"/>
      <c r="Q47" s="305"/>
      <c r="R47" s="308">
        <f>MIN(4,'Fiú 3A ELO'!Q2)</f>
        <v>4</v>
      </c>
    </row>
    <row r="48" spans="1:18" x14ac:dyDescent="0.25">
      <c r="A48" s="172"/>
      <c r="B48" s="173"/>
      <c r="C48" s="174"/>
      <c r="D48" s="314"/>
      <c r="E48" s="85"/>
      <c r="F48" s="267"/>
      <c r="G48" s="320" t="s">
        <v>7</v>
      </c>
      <c r="H48" s="83"/>
      <c r="I48" s="271"/>
      <c r="J48" s="84"/>
      <c r="K48" s="273" t="s">
        <v>47</v>
      </c>
      <c r="L48" s="325"/>
      <c r="M48" s="313"/>
      <c r="P48" s="306"/>
      <c r="Q48" s="307"/>
      <c r="R48" s="306"/>
    </row>
    <row r="49" spans="1:18" x14ac:dyDescent="0.25">
      <c r="A49" s="148"/>
      <c r="B49" s="116"/>
      <c r="C49" s="149"/>
      <c r="D49" s="314"/>
      <c r="E49" s="85"/>
      <c r="F49" s="267"/>
      <c r="G49" s="320" t="s">
        <v>8</v>
      </c>
      <c r="H49" s="83"/>
      <c r="I49" s="271"/>
      <c r="J49" s="84"/>
      <c r="K49" s="323"/>
      <c r="L49" s="267"/>
      <c r="M49" s="315"/>
      <c r="P49" s="306"/>
      <c r="Q49" s="307"/>
      <c r="R49" s="306"/>
    </row>
    <row r="50" spans="1:18" x14ac:dyDescent="0.25">
      <c r="A50" s="161"/>
      <c r="B50" s="175"/>
      <c r="C50" s="202"/>
      <c r="D50" s="314"/>
      <c r="E50" s="85"/>
      <c r="F50" s="267"/>
      <c r="G50" s="320" t="s">
        <v>9</v>
      </c>
      <c r="H50" s="83"/>
      <c r="I50" s="271"/>
      <c r="J50" s="84"/>
      <c r="K50" s="282"/>
      <c r="L50" s="245"/>
      <c r="M50" s="317"/>
      <c r="P50" s="305"/>
      <c r="Q50" s="305"/>
      <c r="R50" s="306"/>
    </row>
    <row r="51" spans="1:18" x14ac:dyDescent="0.25">
      <c r="A51" s="162"/>
      <c r="B51" s="22"/>
      <c r="C51" s="149"/>
      <c r="D51" s="314"/>
      <c r="E51" s="85"/>
      <c r="F51" s="267"/>
      <c r="G51" s="320" t="s">
        <v>10</v>
      </c>
      <c r="H51" s="83"/>
      <c r="I51" s="271"/>
      <c r="J51" s="84"/>
      <c r="K51" s="273" t="s">
        <v>33</v>
      </c>
      <c r="L51" s="325"/>
      <c r="M51" s="313"/>
      <c r="P51" s="306"/>
      <c r="Q51" s="307"/>
      <c r="R51" s="306"/>
    </row>
    <row r="52" spans="1:18" x14ac:dyDescent="0.25">
      <c r="A52" s="162"/>
      <c r="B52" s="22"/>
      <c r="C52" s="170"/>
      <c r="D52" s="314"/>
      <c r="E52" s="85"/>
      <c r="F52" s="267"/>
      <c r="G52" s="320" t="s">
        <v>11</v>
      </c>
      <c r="H52" s="83"/>
      <c r="I52" s="271"/>
      <c r="J52" s="84"/>
      <c r="K52" s="323"/>
      <c r="L52" s="267"/>
      <c r="M52" s="315"/>
      <c r="P52" s="306"/>
      <c r="Q52" s="307"/>
      <c r="R52" s="308"/>
    </row>
    <row r="53" spans="1:18" x14ac:dyDescent="0.25">
      <c r="A53" s="163"/>
      <c r="B53" s="160"/>
      <c r="C53" s="171"/>
      <c r="D53" s="316"/>
      <c r="E53" s="150"/>
      <c r="F53" s="245"/>
      <c r="G53" s="321" t="s">
        <v>12</v>
      </c>
      <c r="H53" s="157"/>
      <c r="I53" s="275"/>
      <c r="J53" s="152"/>
      <c r="K53" s="282" t="str">
        <f>L4</f>
        <v>Rákóczi Andrea</v>
      </c>
      <c r="L53" s="245"/>
      <c r="M53" s="317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65" priority="1" stopIfTrue="1" operator="equal">
      <formula>"Bye"</formula>
    </cfRule>
  </conditionalFormatting>
  <conditionalFormatting sqref="R47 R52">
    <cfRule type="expression" dxfId="6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2024.05.27-06.01.</v>
      </c>
      <c r="B5" s="54" t="str">
        <f>Altalanos!$C$10</f>
        <v>Balatonboglár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50" t="s">
        <v>25</v>
      </c>
      <c r="B6" s="450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68" t="s">
        <v>26</v>
      </c>
      <c r="B20" s="169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59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60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5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8">
    <tabColor indexed="11"/>
  </sheetPr>
  <dimension ref="A1:AS140"/>
  <sheetViews>
    <sheetView workbookViewId="0">
      <selection activeCell="V17" sqref="V17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9" customWidth="1"/>
  </cols>
  <sheetData>
    <row r="1" spans="1:45" s="114" customFormat="1" ht="21.75" customHeight="1" x14ac:dyDescent="0.25">
      <c r="A1" s="215" t="str">
        <f>Altalanos!$A$6</f>
        <v>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62" t="e">
        <f>IF($Y$5=1,CONCATENATE(VLOOKUP($Y$3,$AA$2:$AH$14,2)),CONCATENATE(VLOOKUP($Y$3,$AA$16:$AH$25,2)))</f>
        <v>#N/A</v>
      </c>
      <c r="AC1" s="362" t="e">
        <f>IF($Y$5=1,CONCATENATE(VLOOKUP($Y$3,$AA$2:$AH$14,3)),CONCATENATE(VLOOKUP($Y$3,$AA$16:$AH$25,3)))</f>
        <v>#N/A</v>
      </c>
      <c r="AD1" s="362" t="e">
        <f>IF($Y$5=1,CONCATENATE(VLOOKUP($Y$3,$AA$2:$AH$14,4)),CONCATENATE(VLOOKUP($Y$3,$AA$16:$AH$25,4)))</f>
        <v>#N/A</v>
      </c>
      <c r="AE1" s="362" t="e">
        <f>IF($Y$5=1,CONCATENATE(VLOOKUP($Y$3,$AA$2:$AH$14,5)),CONCATENATE(VLOOKUP($Y$3,$AA$16:$AH$25,5)))</f>
        <v>#N/A</v>
      </c>
      <c r="AF1" s="362" t="e">
        <f>IF($Y$5=1,CONCATENATE(VLOOKUP($Y$3,$AA$2:$AH$14,6)),CONCATENATE(VLOOKUP($Y$3,$AA$16:$AH$25,6)))</f>
        <v>#N/A</v>
      </c>
      <c r="AG1" s="362" t="e">
        <f>IF($Y$5=1,CONCATENATE(VLOOKUP($Y$3,$AA$2:$AH$14,7)),CONCATENATE(VLOOKUP($Y$3,$AA$16:$AH$25,7)))</f>
        <v>#N/A</v>
      </c>
      <c r="AH1" s="362" t="e">
        <f>IF($Y$5=1,CONCATENATE(VLOOKUP($Y$3,$AA$2:$AH$14,8)),CONCATENATE(VLOOKUP($Y$3,$AA$16:$AH$25,8)))</f>
        <v>#N/A</v>
      </c>
      <c r="AI1" s="366"/>
      <c r="AJ1" s="366"/>
      <c r="AK1" s="366"/>
    </row>
    <row r="2" spans="1:45" s="96" customFormat="1" x14ac:dyDescent="0.25">
      <c r="A2" s="222" t="s">
        <v>51</v>
      </c>
      <c r="B2" s="223"/>
      <c r="C2" s="223"/>
      <c r="D2" s="223"/>
      <c r="E2" s="411" t="str">
        <f>Altalanos!$C$8</f>
        <v>3 fiú A elo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52"/>
      <c r="Z2" s="351"/>
      <c r="AA2" s="351" t="s">
        <v>64</v>
      </c>
      <c r="AB2" s="342">
        <v>300</v>
      </c>
      <c r="AC2" s="342">
        <v>250</v>
      </c>
      <c r="AD2" s="342">
        <v>200</v>
      </c>
      <c r="AE2" s="342">
        <v>150</v>
      </c>
      <c r="AF2" s="342">
        <v>120</v>
      </c>
      <c r="AG2" s="342">
        <v>90</v>
      </c>
      <c r="AH2" s="342">
        <v>40</v>
      </c>
      <c r="AI2" s="326"/>
      <c r="AJ2" s="326"/>
      <c r="AK2" s="326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51" t="str">
        <f>IF(K4="OB","A",IF(K4="IX","W",IF(K4="","",K4)))</f>
        <v/>
      </c>
      <c r="Z3" s="351"/>
      <c r="AA3" s="351" t="s">
        <v>65</v>
      </c>
      <c r="AB3" s="342">
        <v>280</v>
      </c>
      <c r="AC3" s="342">
        <v>230</v>
      </c>
      <c r="AD3" s="342">
        <v>180</v>
      </c>
      <c r="AE3" s="342">
        <v>140</v>
      </c>
      <c r="AF3" s="342">
        <v>80</v>
      </c>
      <c r="AG3" s="342">
        <v>0</v>
      </c>
      <c r="AH3" s="342">
        <v>0</v>
      </c>
      <c r="AI3" s="326"/>
      <c r="AJ3" s="326"/>
      <c r="AK3" s="326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54" t="str">
        <f>Altalanos!$A$10</f>
        <v>2024.05.27-06.01.</v>
      </c>
      <c r="B4" s="454"/>
      <c r="C4" s="454"/>
      <c r="D4" s="227"/>
      <c r="E4" s="228"/>
      <c r="F4" s="228"/>
      <c r="G4" s="228" t="str">
        <f>Altalanos!$C$10</f>
        <v>Balatonboglár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51"/>
      <c r="Z4" s="351"/>
      <c r="AA4" s="351" t="s">
        <v>88</v>
      </c>
      <c r="AB4" s="342">
        <v>250</v>
      </c>
      <c r="AC4" s="342">
        <v>200</v>
      </c>
      <c r="AD4" s="342">
        <v>150</v>
      </c>
      <c r="AE4" s="342">
        <v>120</v>
      </c>
      <c r="AF4" s="342">
        <v>90</v>
      </c>
      <c r="AG4" s="342">
        <v>60</v>
      </c>
      <c r="AH4" s="342">
        <v>25</v>
      </c>
      <c r="AI4" s="326"/>
      <c r="AJ4" s="326"/>
      <c r="AK4" s="326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51">
        <f>IF(OR(Altalanos!$A$8="F1",Altalanos!$A$8="F2",Altalanos!$A$8="N1",Altalanos!$A$8="N2"),1,2)</f>
        <v>2</v>
      </c>
      <c r="Z5" s="351"/>
      <c r="AA5" s="351" t="s">
        <v>89</v>
      </c>
      <c r="AB5" s="342">
        <v>200</v>
      </c>
      <c r="AC5" s="342">
        <v>150</v>
      </c>
      <c r="AD5" s="342">
        <v>120</v>
      </c>
      <c r="AE5" s="342">
        <v>90</v>
      </c>
      <c r="AF5" s="342">
        <v>60</v>
      </c>
      <c r="AG5" s="342">
        <v>40</v>
      </c>
      <c r="AH5" s="342">
        <v>15</v>
      </c>
      <c r="AI5" s="326"/>
      <c r="AJ5" s="326"/>
      <c r="AK5" s="326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56"/>
      <c r="B6" s="357"/>
      <c r="C6" s="357"/>
      <c r="D6" s="357"/>
      <c r="E6" s="357"/>
      <c r="F6" s="356" t="str">
        <f>IF(Y3="","",CONCATENATE(VLOOKUP(Y3,AB1:AH1,4)," pont"))</f>
        <v/>
      </c>
      <c r="G6" s="358"/>
      <c r="H6" s="5"/>
      <c r="I6" s="358"/>
      <c r="J6" s="359"/>
      <c r="K6" s="357" t="str">
        <f>IF(Y3="","",CONCATENATE(VLOOKUP(Y3,AB1:AH1,3)," pont"))</f>
        <v/>
      </c>
      <c r="L6" s="359"/>
      <c r="M6" s="357" t="str">
        <f>IF(Y3="","",CONCATENATE(VLOOKUP(Y3,AB1:AH1,2)," pont"))</f>
        <v/>
      </c>
      <c r="N6" s="359"/>
      <c r="O6" s="357" t="str">
        <f>IF(Y3="","",CONCATENATE(VLOOKUP(Y3,AB1:AH1,1)," pont"))</f>
        <v/>
      </c>
      <c r="P6" s="359"/>
      <c r="Q6" s="357"/>
      <c r="R6" s="360"/>
      <c r="T6" s="262"/>
      <c r="U6" s="262"/>
      <c r="V6" s="262"/>
      <c r="W6" s="262"/>
      <c r="X6" s="262"/>
      <c r="Y6" s="351"/>
      <c r="Z6" s="351"/>
      <c r="AA6" s="351" t="s">
        <v>90</v>
      </c>
      <c r="AB6" s="342">
        <v>150</v>
      </c>
      <c r="AC6" s="342">
        <v>120</v>
      </c>
      <c r="AD6" s="342">
        <v>90</v>
      </c>
      <c r="AE6" s="342">
        <v>60</v>
      </c>
      <c r="AF6" s="342">
        <v>40</v>
      </c>
      <c r="AG6" s="342">
        <v>25</v>
      </c>
      <c r="AH6" s="342">
        <v>10</v>
      </c>
      <c r="AI6" s="326"/>
      <c r="AJ6" s="326"/>
      <c r="AK6" s="326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25">
      <c r="A7" s="121">
        <v>1</v>
      </c>
      <c r="B7" s="234" t="str">
        <f>IF($E7="","",VLOOKUP($E7,'Fiú 3A ELO'!$A$7:$O$22,14))</f>
        <v/>
      </c>
      <c r="C7" s="235" t="str">
        <f>IF($E7="","",VLOOKUP($E7,'Fiú 3A ELO'!$A$7:$O$22,15))</f>
        <v/>
      </c>
      <c r="D7" s="235" t="str">
        <f>IF($E7="","",VLOOKUP($E7,'Fiú 3A ELO'!$A$7:$O$22,5))</f>
        <v/>
      </c>
      <c r="E7" s="236"/>
      <c r="F7" s="237" t="str">
        <f>UPPER(IF($E7="","",VLOOKUP($E7,'Fiú 3A ELO'!$A$7:$O$22,2)))</f>
        <v/>
      </c>
      <c r="G7" s="237" t="str">
        <f>IF($E7="","",VLOOKUP($E7,'Fiú 3A ELO'!$A$7:$O$22,3))</f>
        <v/>
      </c>
      <c r="H7" s="237"/>
      <c r="I7" s="237" t="str">
        <f>IF($E7="","",VLOOKUP($E7,'Fiú 3A ELO'!$A$7:$O$22,4))</f>
        <v/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51"/>
      <c r="Z7" s="351"/>
      <c r="AA7" s="351" t="s">
        <v>91</v>
      </c>
      <c r="AB7" s="342">
        <v>120</v>
      </c>
      <c r="AC7" s="342">
        <v>90</v>
      </c>
      <c r="AD7" s="342">
        <v>60</v>
      </c>
      <c r="AE7" s="342">
        <v>40</v>
      </c>
      <c r="AF7" s="342">
        <v>25</v>
      </c>
      <c r="AG7" s="342">
        <v>10</v>
      </c>
      <c r="AH7" s="342">
        <v>5</v>
      </c>
      <c r="AI7" s="326"/>
      <c r="AJ7" s="326"/>
      <c r="AK7" s="326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94" t="s">
        <v>0</v>
      </c>
      <c r="J8" s="128" t="s">
        <v>560</v>
      </c>
      <c r="K8" s="244" t="str">
        <f>UPPER(IF(OR(J8="a",J8="as"),F7,IF(OR(J8="b",J8="bs"),F9,)))</f>
        <v>MAKRAI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51"/>
      <c r="Z8" s="351"/>
      <c r="AA8" s="351" t="s">
        <v>92</v>
      </c>
      <c r="AB8" s="342">
        <v>90</v>
      </c>
      <c r="AC8" s="342">
        <v>60</v>
      </c>
      <c r="AD8" s="342">
        <v>40</v>
      </c>
      <c r="AE8" s="342">
        <v>25</v>
      </c>
      <c r="AF8" s="342">
        <v>10</v>
      </c>
      <c r="AG8" s="342">
        <v>5</v>
      </c>
      <c r="AH8" s="342">
        <v>2</v>
      </c>
      <c r="AI8" s="326"/>
      <c r="AJ8" s="326"/>
      <c r="AK8" s="326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>
        <f>IF($E9="","",VLOOKUP($E9,'Fiú 3A ELO'!$A$7:$O$22,14))</f>
        <v>0</v>
      </c>
      <c r="C9" s="235">
        <f>IF($E9="","",VLOOKUP($E9,'Fiú 3A ELO'!$A$7:$O$22,15))</f>
        <v>0</v>
      </c>
      <c r="D9" s="235">
        <f>IF($E9="","",VLOOKUP($E9,'Fiú 3A ELO'!$A$7:$O$22,5))</f>
        <v>0</v>
      </c>
      <c r="E9" s="385">
        <v>2</v>
      </c>
      <c r="F9" s="286" t="str">
        <f>UPPER(IF($E9="","",VLOOKUP($E9,'Fiú 3A ELO'!$A$7:$O$22,2)))</f>
        <v>MAKRAI</v>
      </c>
      <c r="G9" s="286" t="str">
        <f>IF($E9="","",VLOOKUP($E9,'Fiú 3A ELO'!$A$7:$O$22,3))</f>
        <v>Balázs</v>
      </c>
      <c r="H9" s="286"/>
      <c r="I9" s="286" t="str">
        <f>IF($E9="","",VLOOKUP($E9,'Fiú 3A ELO'!$A$7:$O$22,4))</f>
        <v>Kazincbarcikai Pollack Mihály Általános Iskola</v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51"/>
      <c r="Z9" s="351"/>
      <c r="AA9" s="351" t="s">
        <v>93</v>
      </c>
      <c r="AB9" s="342">
        <v>60</v>
      </c>
      <c r="AC9" s="342">
        <v>40</v>
      </c>
      <c r="AD9" s="342">
        <v>25</v>
      </c>
      <c r="AE9" s="342">
        <v>10</v>
      </c>
      <c r="AF9" s="342">
        <v>5</v>
      </c>
      <c r="AG9" s="342">
        <v>2</v>
      </c>
      <c r="AH9" s="342">
        <v>1</v>
      </c>
      <c r="AI9" s="326"/>
      <c r="AJ9" s="326"/>
      <c r="AK9" s="326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86"/>
      <c r="F10" s="387"/>
      <c r="G10" s="387"/>
      <c r="H10" s="388"/>
      <c r="I10" s="387"/>
      <c r="J10" s="248"/>
      <c r="K10" s="394" t="s">
        <v>0</v>
      </c>
      <c r="L10" s="129" t="s">
        <v>561</v>
      </c>
      <c r="M10" s="244" t="str">
        <f>UPPER(IF(OR(L10="a",L10="as"),K8,IF(OR(L10="b",L10="bs"),K12,)))</f>
        <v>MAKRAI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51"/>
      <c r="Z10" s="351"/>
      <c r="AA10" s="351" t="s">
        <v>94</v>
      </c>
      <c r="AB10" s="342">
        <v>40</v>
      </c>
      <c r="AC10" s="342">
        <v>25</v>
      </c>
      <c r="AD10" s="342">
        <v>15</v>
      </c>
      <c r="AE10" s="342">
        <v>7</v>
      </c>
      <c r="AF10" s="342">
        <v>4</v>
      </c>
      <c r="AG10" s="342">
        <v>1</v>
      </c>
      <c r="AH10" s="342">
        <v>0</v>
      </c>
      <c r="AI10" s="326"/>
      <c r="AJ10" s="326"/>
      <c r="AK10" s="326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 t="str">
        <f>IF($E11="","",VLOOKUP($E11,'Fiú 3A ELO'!$A$7:$O$22,14))</f>
        <v/>
      </c>
      <c r="C11" s="235" t="str">
        <f>IF($E11="","",VLOOKUP($E11,'Fiú 3A ELO'!$A$7:$O$22,15))</f>
        <v/>
      </c>
      <c r="D11" s="235" t="str">
        <f>IF($E11="","",VLOOKUP($E11,'Fiú 3A ELO'!$A$7:$O$22,5))</f>
        <v/>
      </c>
      <c r="E11" s="385"/>
      <c r="F11" s="286" t="str">
        <f>UPPER(IF($E11="","",VLOOKUP($E11,'Fiú 3A ELO'!$A$7:$O$22,2)))</f>
        <v/>
      </c>
      <c r="G11" s="286" t="str">
        <f>IF($E11="","",VLOOKUP($E11,'Fiú 3A ELO'!$A$7:$O$22,3))</f>
        <v/>
      </c>
      <c r="H11" s="286"/>
      <c r="I11" s="286" t="str">
        <f>IF($E11="","",VLOOKUP($E11,'Fiú 3A ELO'!$A$7:$O$22,4))</f>
        <v/>
      </c>
      <c r="J11" s="238"/>
      <c r="K11" s="239"/>
      <c r="L11" s="251"/>
      <c r="M11" s="239" t="s">
        <v>538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51"/>
      <c r="Z11" s="351"/>
      <c r="AA11" s="351" t="s">
        <v>95</v>
      </c>
      <c r="AB11" s="342">
        <v>25</v>
      </c>
      <c r="AC11" s="342">
        <v>15</v>
      </c>
      <c r="AD11" s="342">
        <v>10</v>
      </c>
      <c r="AE11" s="342">
        <v>6</v>
      </c>
      <c r="AF11" s="342">
        <v>3</v>
      </c>
      <c r="AG11" s="342">
        <v>1</v>
      </c>
      <c r="AH11" s="342">
        <v>0</v>
      </c>
      <c r="AI11" s="326"/>
      <c r="AJ11" s="326"/>
      <c r="AK11" s="326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86"/>
      <c r="F12" s="387"/>
      <c r="G12" s="387"/>
      <c r="H12" s="388"/>
      <c r="I12" s="394" t="s">
        <v>0</v>
      </c>
      <c r="J12" s="128" t="s">
        <v>560</v>
      </c>
      <c r="K12" s="244" t="str">
        <f>UPPER(IF(OR(J12="a",J12="as"),F11,IF(OR(J12="b",J12="bs"),F13,)))</f>
        <v>MARTON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51"/>
      <c r="Z12" s="351"/>
      <c r="AA12" s="351" t="s">
        <v>100</v>
      </c>
      <c r="AB12" s="342">
        <v>15</v>
      </c>
      <c r="AC12" s="342">
        <v>10</v>
      </c>
      <c r="AD12" s="342">
        <v>6</v>
      </c>
      <c r="AE12" s="342">
        <v>3</v>
      </c>
      <c r="AF12" s="342">
        <v>1</v>
      </c>
      <c r="AG12" s="342">
        <v>0</v>
      </c>
      <c r="AH12" s="342">
        <v>0</v>
      </c>
      <c r="AI12" s="326"/>
      <c r="AJ12" s="326"/>
      <c r="AK12" s="326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>
        <f>IF($E13="","",VLOOKUP($E13,'Fiú 3A ELO'!$A$7:$O$22,14))</f>
        <v>0</v>
      </c>
      <c r="C13" s="235">
        <f>IF($E13="","",VLOOKUP($E13,'Fiú 3A ELO'!$A$7:$O$22,15))</f>
        <v>0</v>
      </c>
      <c r="D13" s="235">
        <f>IF($E13="","",VLOOKUP($E13,'Fiú 3A ELO'!$A$7:$O$22,5))</f>
        <v>0</v>
      </c>
      <c r="E13" s="385">
        <v>13</v>
      </c>
      <c r="F13" s="286" t="str">
        <f>UPPER(IF($E13="","",VLOOKUP($E13,'Fiú 3A ELO'!$A$7:$O$22,2)))</f>
        <v>MARTON</v>
      </c>
      <c r="G13" s="286" t="str">
        <f>IF($E13="","",VLOOKUP($E13,'Fiú 3A ELO'!$A$7:$O$22,3))</f>
        <v>Zsombor</v>
      </c>
      <c r="H13" s="286"/>
      <c r="I13" s="286" t="str">
        <f>IF($E13="","",VLOOKUP($E13,'Fiú 3A ELO'!$A$7:$O$22,4))</f>
        <v>Kőszegi Béri Balog Ádám Általános Iskola</v>
      </c>
      <c r="J13" s="254"/>
      <c r="K13" s="239"/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51"/>
      <c r="Z13" s="351"/>
      <c r="AA13" s="351" t="s">
        <v>96</v>
      </c>
      <c r="AB13" s="342">
        <v>10</v>
      </c>
      <c r="AC13" s="342">
        <v>6</v>
      </c>
      <c r="AD13" s="342">
        <v>3</v>
      </c>
      <c r="AE13" s="342">
        <v>1</v>
      </c>
      <c r="AF13" s="342">
        <v>0</v>
      </c>
      <c r="AG13" s="342">
        <v>0</v>
      </c>
      <c r="AH13" s="342">
        <v>0</v>
      </c>
      <c r="AI13" s="326"/>
      <c r="AJ13" s="326"/>
      <c r="AK13" s="326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86"/>
      <c r="F14" s="387"/>
      <c r="G14" s="387"/>
      <c r="H14" s="388"/>
      <c r="I14" s="387"/>
      <c r="J14" s="248"/>
      <c r="K14" s="239"/>
      <c r="L14" s="239"/>
      <c r="M14" s="394" t="s">
        <v>0</v>
      </c>
      <c r="N14" s="129" t="s">
        <v>560</v>
      </c>
      <c r="O14" s="244" t="str">
        <f>UPPER(IF(OR(N14="a",N14="as"),M10,IF(OR(N14="b",N14="bs"),M18,)))</f>
        <v>BOKOR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51"/>
      <c r="Z14" s="351"/>
      <c r="AA14" s="351" t="s">
        <v>97</v>
      </c>
      <c r="AB14" s="342">
        <v>3</v>
      </c>
      <c r="AC14" s="342">
        <v>2</v>
      </c>
      <c r="AD14" s="342">
        <v>1</v>
      </c>
      <c r="AE14" s="342">
        <v>0</v>
      </c>
      <c r="AF14" s="342">
        <v>0</v>
      </c>
      <c r="AG14" s="342">
        <v>0</v>
      </c>
      <c r="AH14" s="342">
        <v>0</v>
      </c>
      <c r="AI14" s="326"/>
      <c r="AJ14" s="326"/>
      <c r="AK14" s="326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>
        <f>IF($E15="","",VLOOKUP($E15,'Fiú 3A ELO'!$A$7:$O$22,14))</f>
        <v>0</v>
      </c>
      <c r="C15" s="235">
        <f>IF($E15="","",VLOOKUP($E15,'Fiú 3A ELO'!$A$7:$O$22,15))</f>
        <v>0</v>
      </c>
      <c r="D15" s="235">
        <f>IF($E15="","",VLOOKUP($E15,'Fiú 3A ELO'!$A$7:$O$22,5))</f>
        <v>0</v>
      </c>
      <c r="E15" s="385">
        <v>3</v>
      </c>
      <c r="F15" s="286" t="str">
        <f>UPPER(IF($E15="","",VLOOKUP($E15,'Fiú 3A ELO'!$A$7:$O$22,2)))</f>
        <v xml:space="preserve">BAGDI </v>
      </c>
      <c r="G15" s="286" t="str">
        <f>IF($E15="","",VLOOKUP($E15,'Fiú 3A ELO'!$A$7:$O$22,3))</f>
        <v>Barnabás</v>
      </c>
      <c r="H15" s="286"/>
      <c r="I15" s="286" t="str">
        <f>IF($E15="","",VLOOKUP($E15,'Fiú 3A ELO'!$A$7:$O$22,4))</f>
        <v>Gyula Implom</v>
      </c>
      <c r="J15" s="256"/>
      <c r="K15" s="239"/>
      <c r="L15" s="239"/>
      <c r="M15" s="239"/>
      <c r="N15" s="252"/>
      <c r="O15" s="250" t="s">
        <v>534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26"/>
      <c r="AJ15" s="326"/>
      <c r="AK15" s="326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86"/>
      <c r="F16" s="387"/>
      <c r="G16" s="387"/>
      <c r="H16" s="388"/>
      <c r="I16" s="394" t="s">
        <v>0</v>
      </c>
      <c r="J16" s="128" t="s">
        <v>561</v>
      </c>
      <c r="K16" s="244" t="str">
        <f>UPPER(IF(OR(J16="a",J16="as"),F15,IF(OR(J16="b",J16="bs"),F17,)))</f>
        <v xml:space="preserve">BAGDI </v>
      </c>
      <c r="L16" s="244"/>
      <c r="M16" s="239"/>
      <c r="N16" s="252"/>
      <c r="O16" s="394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51"/>
      <c r="Z16" s="351"/>
      <c r="AA16" s="351" t="s">
        <v>64</v>
      </c>
      <c r="AB16" s="342">
        <v>150</v>
      </c>
      <c r="AC16" s="342">
        <v>120</v>
      </c>
      <c r="AD16" s="342">
        <v>90</v>
      </c>
      <c r="AE16" s="342">
        <v>60</v>
      </c>
      <c r="AF16" s="342">
        <v>40</v>
      </c>
      <c r="AG16" s="342">
        <v>25</v>
      </c>
      <c r="AH16" s="342">
        <v>15</v>
      </c>
      <c r="AI16" s="326"/>
      <c r="AJ16" s="326"/>
      <c r="AK16" s="326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 t="str">
        <f>IF($E17="","",VLOOKUP($E17,'Fiú 3A ELO'!$A$7:$O$22,14))</f>
        <v/>
      </c>
      <c r="C17" s="235" t="str">
        <f>IF($E17="","",VLOOKUP($E17,'Fiú 3A ELO'!$A$7:$O$22,15))</f>
        <v/>
      </c>
      <c r="D17" s="235" t="str">
        <f>IF($E17="","",VLOOKUP($E17,'Fiú 3A ELO'!$A$7:$O$22,5))</f>
        <v/>
      </c>
      <c r="E17" s="385"/>
      <c r="F17" s="286" t="str">
        <f>UPPER(IF($E17="","",VLOOKUP($E17,'Fiú 3A ELO'!$A$7:$O$22,2)))</f>
        <v/>
      </c>
      <c r="G17" s="286" t="str">
        <f>IF($E17="","",VLOOKUP($E17,'Fiú 3A ELO'!$A$7:$O$22,3))</f>
        <v/>
      </c>
      <c r="H17" s="286"/>
      <c r="I17" s="286" t="str">
        <f>IF($E17="","",VLOOKUP($E17,'Fiú 3A ELO'!$A$7:$O$22,4))</f>
        <v/>
      </c>
      <c r="J17" s="246"/>
      <c r="K17" s="239"/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51"/>
      <c r="Z17" s="351"/>
      <c r="AA17" s="351" t="s">
        <v>88</v>
      </c>
      <c r="AB17" s="342">
        <v>120</v>
      </c>
      <c r="AC17" s="342">
        <v>90</v>
      </c>
      <c r="AD17" s="342">
        <v>60</v>
      </c>
      <c r="AE17" s="342">
        <v>40</v>
      </c>
      <c r="AF17" s="342">
        <v>25</v>
      </c>
      <c r="AG17" s="342">
        <v>15</v>
      </c>
      <c r="AH17" s="342">
        <v>8</v>
      </c>
      <c r="AI17" s="326"/>
      <c r="AJ17" s="326"/>
      <c r="AK17" s="326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86"/>
      <c r="F18" s="387"/>
      <c r="G18" s="387"/>
      <c r="H18" s="388"/>
      <c r="I18" s="387"/>
      <c r="J18" s="248"/>
      <c r="K18" s="394" t="s">
        <v>0</v>
      </c>
      <c r="L18" s="129" t="s">
        <v>560</v>
      </c>
      <c r="M18" s="244" t="str">
        <f>UPPER(IF(OR(L18="a",L18="as"),K16,IF(OR(L18="b",L18="bs"),K20,)))</f>
        <v>BOKOR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51"/>
      <c r="Z18" s="351"/>
      <c r="AA18" s="351" t="s">
        <v>89</v>
      </c>
      <c r="AB18" s="342">
        <v>90</v>
      </c>
      <c r="AC18" s="342">
        <v>60</v>
      </c>
      <c r="AD18" s="342">
        <v>40</v>
      </c>
      <c r="AE18" s="342">
        <v>25</v>
      </c>
      <c r="AF18" s="342">
        <v>15</v>
      </c>
      <c r="AG18" s="342">
        <v>8</v>
      </c>
      <c r="AH18" s="342">
        <v>4</v>
      </c>
      <c r="AI18" s="326"/>
      <c r="AJ18" s="326"/>
      <c r="AK18" s="326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>
        <f>IF($E19="","",VLOOKUP($E19,'Fiú 3A ELO'!$A$7:$O$22,14))</f>
        <v>0</v>
      </c>
      <c r="C19" s="235">
        <f>IF($E19="","",VLOOKUP($E19,'Fiú 3A ELO'!$A$7:$O$22,15))</f>
        <v>0</v>
      </c>
      <c r="D19" s="235">
        <f>IF($E19="","",VLOOKUP($E19,'Fiú 3A ELO'!$A$7:$O$22,5))</f>
        <v>0</v>
      </c>
      <c r="E19" s="385">
        <v>5</v>
      </c>
      <c r="F19" s="286" t="str">
        <f>UPPER(IF($E19="","",VLOOKUP($E19,'Fiú 3A ELO'!$A$7:$O$22,2)))</f>
        <v xml:space="preserve">ALMAI </v>
      </c>
      <c r="G19" s="286" t="str">
        <f>IF($E19="","",VLOOKUP($E19,'Fiú 3A ELO'!$A$7:$O$22,3))</f>
        <v xml:space="preserve">Sámuel       </v>
      </c>
      <c r="H19" s="286"/>
      <c r="I19" s="286" t="str">
        <f>IF($E19="","",VLOOKUP($E19,'Fiú 3A ELO'!$A$7:$O$22,4))</f>
        <v>Budapest XIII. Kerületi Gárdonyi Géza Általános Iskola</v>
      </c>
      <c r="J19" s="238"/>
      <c r="K19" s="239"/>
      <c r="L19" s="251"/>
      <c r="M19" s="250" t="s">
        <v>536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51"/>
      <c r="Z19" s="351"/>
      <c r="AA19" s="351" t="s">
        <v>90</v>
      </c>
      <c r="AB19" s="342">
        <v>60</v>
      </c>
      <c r="AC19" s="342">
        <v>40</v>
      </c>
      <c r="AD19" s="342">
        <v>25</v>
      </c>
      <c r="AE19" s="342">
        <v>15</v>
      </c>
      <c r="AF19" s="342">
        <v>8</v>
      </c>
      <c r="AG19" s="342">
        <v>4</v>
      </c>
      <c r="AH19" s="342">
        <v>2</v>
      </c>
      <c r="AI19" s="326"/>
      <c r="AJ19" s="326"/>
      <c r="AK19" s="326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94" t="s">
        <v>0</v>
      </c>
      <c r="J20" s="128" t="s">
        <v>560</v>
      </c>
      <c r="K20" s="244" t="str">
        <f>UPPER(IF(OR(J20="a",J20="as"),F19,IF(OR(J20="b",J20="bs"),F21,)))</f>
        <v>BOKOR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51"/>
      <c r="Z20" s="351"/>
      <c r="AA20" s="351" t="s">
        <v>91</v>
      </c>
      <c r="AB20" s="342">
        <v>40</v>
      </c>
      <c r="AC20" s="342">
        <v>25</v>
      </c>
      <c r="AD20" s="342">
        <v>15</v>
      </c>
      <c r="AE20" s="342">
        <v>8</v>
      </c>
      <c r="AF20" s="342">
        <v>4</v>
      </c>
      <c r="AG20" s="342">
        <v>2</v>
      </c>
      <c r="AH20" s="342">
        <v>1</v>
      </c>
      <c r="AI20" s="326"/>
      <c r="AJ20" s="326"/>
      <c r="AK20" s="326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>
        <f>IF($E21="","",VLOOKUP($E21,'Fiú 3A ELO'!$A$7:$O$22,14))</f>
        <v>0</v>
      </c>
      <c r="C21" s="235">
        <f>IF($E21="","",VLOOKUP($E21,'Fiú 3A ELO'!$A$7:$O$22,15))</f>
        <v>0</v>
      </c>
      <c r="D21" s="235">
        <f>IF($E21="","",VLOOKUP($E21,'Fiú 3A ELO'!$A$7:$O$22,5))</f>
        <v>0</v>
      </c>
      <c r="E21" s="236">
        <v>1</v>
      </c>
      <c r="F21" s="287" t="str">
        <f>UPPER(IF($E21="","",VLOOKUP($E21,'Fiú 3A ELO'!$A$7:$O$22,2)))</f>
        <v>BOKOR</v>
      </c>
      <c r="G21" s="287" t="str">
        <f>IF($E21="","",VLOOKUP($E21,'Fiú 3A ELO'!$A$7:$O$22,3))</f>
        <v>György</v>
      </c>
      <c r="H21" s="287"/>
      <c r="I21" s="287" t="str">
        <f>IF($E21="","",VLOOKUP($E21,'Fiú 3A ELO'!$A$7:$O$22,4))</f>
        <v>Szent Imre Katolikus Óvoda és Általános Iskola</v>
      </c>
      <c r="J21" s="254"/>
      <c r="K21" s="250" t="s">
        <v>544</v>
      </c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51"/>
      <c r="Z21" s="351"/>
      <c r="AA21" s="351" t="s">
        <v>92</v>
      </c>
      <c r="AB21" s="342">
        <v>25</v>
      </c>
      <c r="AC21" s="342">
        <v>15</v>
      </c>
      <c r="AD21" s="342">
        <v>10</v>
      </c>
      <c r="AE21" s="342">
        <v>6</v>
      </c>
      <c r="AF21" s="342">
        <v>3</v>
      </c>
      <c r="AG21" s="342">
        <v>1</v>
      </c>
      <c r="AH21" s="342">
        <v>0</v>
      </c>
      <c r="AI21" s="326"/>
      <c r="AJ21" s="326"/>
      <c r="AK21" s="326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51"/>
      <c r="Z22" s="351"/>
      <c r="AA22" s="351" t="s">
        <v>93</v>
      </c>
      <c r="AB22" s="342">
        <v>15</v>
      </c>
      <c r="AC22" s="342">
        <v>10</v>
      </c>
      <c r="AD22" s="342">
        <v>6</v>
      </c>
      <c r="AE22" s="342">
        <v>3</v>
      </c>
      <c r="AF22" s="342">
        <v>1</v>
      </c>
      <c r="AG22" s="342">
        <v>0</v>
      </c>
      <c r="AH22" s="342">
        <v>0</v>
      </c>
      <c r="AI22" s="326"/>
      <c r="AJ22" s="326"/>
      <c r="AK22" s="326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51"/>
      <c r="Z23" s="351"/>
      <c r="AA23" s="351" t="s">
        <v>94</v>
      </c>
      <c r="AB23" s="342">
        <v>10</v>
      </c>
      <c r="AC23" s="342">
        <v>6</v>
      </c>
      <c r="AD23" s="342">
        <v>3</v>
      </c>
      <c r="AE23" s="342">
        <v>1</v>
      </c>
      <c r="AF23" s="342">
        <v>0</v>
      </c>
      <c r="AG23" s="342">
        <v>0</v>
      </c>
      <c r="AH23" s="342">
        <v>0</v>
      </c>
      <c r="AI23" s="326"/>
      <c r="AJ23" s="326"/>
      <c r="AK23" s="326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51"/>
      <c r="Z24" s="351"/>
      <c r="AA24" s="351" t="s">
        <v>95</v>
      </c>
      <c r="AB24" s="342">
        <v>6</v>
      </c>
      <c r="AC24" s="342">
        <v>3</v>
      </c>
      <c r="AD24" s="342">
        <v>1</v>
      </c>
      <c r="AE24" s="342">
        <v>0</v>
      </c>
      <c r="AF24" s="342">
        <v>0</v>
      </c>
      <c r="AG24" s="342">
        <v>0</v>
      </c>
      <c r="AH24" s="342">
        <v>0</v>
      </c>
      <c r="AI24" s="326"/>
      <c r="AJ24" s="326"/>
      <c r="AK24" s="326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51"/>
      <c r="Z25" s="351"/>
      <c r="AA25" s="351" t="s">
        <v>100</v>
      </c>
      <c r="AB25" s="342">
        <v>3</v>
      </c>
      <c r="AC25" s="342">
        <v>2</v>
      </c>
      <c r="AD25" s="342">
        <v>1</v>
      </c>
      <c r="AE25" s="342">
        <v>0</v>
      </c>
      <c r="AF25" s="342">
        <v>0</v>
      </c>
      <c r="AG25" s="342">
        <v>0</v>
      </c>
      <c r="AH25" s="342">
        <v>0</v>
      </c>
      <c r="AI25" s="326"/>
      <c r="AJ25" s="326"/>
      <c r="AK25" s="326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6"/>
      <c r="AJ26" s="326"/>
      <c r="AK26" s="326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6"/>
      <c r="AJ27" s="326"/>
      <c r="AK27" s="326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67"/>
      <c r="AJ28" s="367"/>
      <c r="AK28" s="367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67"/>
      <c r="AJ29" s="367"/>
      <c r="AK29" s="367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67"/>
      <c r="AJ30" s="367"/>
      <c r="AK30" s="367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67"/>
      <c r="AJ31" s="367"/>
      <c r="AK31" s="367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67"/>
      <c r="AJ32" s="367"/>
      <c r="AK32" s="367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67"/>
      <c r="AJ33" s="367"/>
      <c r="AK33" s="367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67"/>
      <c r="AJ34" s="367"/>
      <c r="AK34" s="367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67"/>
      <c r="AJ35" s="367"/>
      <c r="AK35" s="367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67"/>
      <c r="AJ36" s="367"/>
      <c r="AK36" s="367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67"/>
      <c r="AJ37" s="367"/>
      <c r="AK37" s="367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67"/>
      <c r="AJ38" s="367"/>
      <c r="AK38" s="367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67"/>
      <c r="AJ39" s="367"/>
      <c r="AK39" s="367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67"/>
      <c r="AJ40" s="367"/>
      <c r="AK40" s="367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67"/>
      <c r="AJ41" s="367"/>
      <c r="AK41" s="367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67"/>
      <c r="AJ42" s="367"/>
      <c r="AK42" s="367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67"/>
      <c r="AJ43" s="367"/>
      <c r="AK43" s="367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67"/>
      <c r="AJ44" s="367"/>
      <c r="AK44" s="367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67"/>
      <c r="AJ45" s="367"/>
      <c r="AK45" s="367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67"/>
      <c r="AJ46" s="367"/>
      <c r="AK46" s="367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67"/>
      <c r="AJ47" s="367"/>
      <c r="AK47" s="367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67"/>
      <c r="AJ48" s="367"/>
      <c r="AK48" s="367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67"/>
      <c r="AJ49" s="367"/>
      <c r="AK49" s="367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67"/>
      <c r="AJ50" s="367"/>
      <c r="AK50" s="367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67"/>
      <c r="AJ51" s="367"/>
      <c r="AK51" s="367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406"/>
      <c r="G52" s="406"/>
      <c r="H52" s="406"/>
      <c r="I52" s="40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67"/>
      <c r="AJ52" s="367"/>
      <c r="AK52" s="367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407"/>
      <c r="G53" s="407"/>
      <c r="H53" s="407"/>
      <c r="I53" s="40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67"/>
      <c r="AJ53" s="367"/>
      <c r="AK53" s="367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8"/>
      <c r="AJ54" s="368"/>
      <c r="AK54" s="368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IF(E55&gt;$R$62,,UPPER(VLOOKUP(E55,'Fiú 3A ELO'!$A$7:$Q$134,2)))</f>
        <v>BOKOR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8"/>
      <c r="AJ55" s="368"/>
      <c r="AK55" s="368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IF(E56&gt;$R$62,,UPPER(VLOOKUP(E56,'Fiú 3A ELO'!$A$7:$Q$134,2)))</f>
        <v>MAKRAI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8"/>
      <c r="AJ56" s="368"/>
      <c r="AK56" s="368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8"/>
      <c r="AJ57" s="368"/>
      <c r="AK57" s="368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8"/>
      <c r="AJ58" s="368"/>
      <c r="AK58" s="368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8"/>
      <c r="AJ59" s="368"/>
      <c r="AK59" s="368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8"/>
      <c r="AJ60" s="368"/>
      <c r="AK60" s="368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8"/>
      <c r="AJ61" s="368"/>
      <c r="AK61" s="368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MIN(4,'Fiú 3A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8"/>
      <c r="AJ62" s="368"/>
      <c r="AK62" s="368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63" priority="7" stopIfTrue="1" operator="equal">
      <formula>"QA"</formula>
    </cfRule>
    <cfRule type="cellIs" dxfId="62" priority="8" stopIfTrue="1" operator="equal">
      <formula>"DA"</formula>
    </cfRule>
  </conditionalFormatting>
  <conditionalFormatting sqref="E7 E21">
    <cfRule type="expression" dxfId="61" priority="5" stopIfTrue="1">
      <formula>$E7&lt;5</formula>
    </cfRule>
  </conditionalFormatting>
  <conditionalFormatting sqref="E22 E24 E26 E28 E30 E32 E34 E36 E38 E40 E42 E44 E46 E48 E50 E52">
    <cfRule type="expression" dxfId="60" priority="13" stopIfTrue="1">
      <formula>AND($E22&lt;9,$C22&gt;0)</formula>
    </cfRule>
  </conditionalFormatting>
  <conditionalFormatting sqref="F7 F9 F11 F13 F15 F17 F19 F21:F22">
    <cfRule type="cellIs" dxfId="59" priority="4" stopIfTrue="1" operator="equal">
      <formula>"Bye"</formula>
    </cfRule>
  </conditionalFormatting>
  <conditionalFormatting sqref="F24 F26 F28 F30 F32 F34 F36 F38 F40 F42 F44 F46 F48 F50">
    <cfRule type="cellIs" dxfId="58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57" priority="12" stopIfTrue="1">
      <formula>AND($E22&lt;9,$C22&gt;0)</formula>
    </cfRule>
  </conditionalFormatting>
  <conditionalFormatting sqref="H7 H9 H11 H13 H15 H17 H19 H21">
    <cfRule type="expression" dxfId="56" priority="17" stopIfTrue="1">
      <formula>AND($E7&lt;9,$C7&gt;0)</formula>
    </cfRule>
  </conditionalFormatting>
  <conditionalFormatting sqref="I8 K10 I12 M14 I16 K18 I20 I23 K25 I27 M29 I31 K33 I35 I39 K41 I43 M45 I47 K49 I51">
    <cfRule type="expression" dxfId="55" priority="14" stopIfTrue="1">
      <formula>AND($O$1="CU",I8="Umpire")</formula>
    </cfRule>
    <cfRule type="expression" dxfId="54" priority="15" stopIfTrue="1">
      <formula>AND($O$1="CU",I8&lt;&gt;"Umpire",J8&lt;&gt;"")</formula>
    </cfRule>
    <cfRule type="expression" dxfId="53" priority="16" stopIfTrue="1">
      <formula>AND($O$1="CU",I8&lt;&gt;"Umpire")</formula>
    </cfRule>
  </conditionalFormatting>
  <conditionalFormatting sqref="J8 L10 J12 N14 J16 L18 J20 R62">
    <cfRule type="expression" dxfId="52" priority="6" stopIfTrue="1">
      <formula>$O$1="CU"</formula>
    </cfRule>
  </conditionalFormatting>
  <conditionalFormatting sqref="K8 M10 K12 O14 K16 M18 K20 K23 M25 K27 O29 K31 M33 K35 K39 M41 K43 O45 K47 M49 K51">
    <cfRule type="expression" dxfId="51" priority="9" stopIfTrue="1">
      <formula>J8="as"</formula>
    </cfRule>
    <cfRule type="expression" dxfId="50" priority="10" stopIfTrue="1">
      <formula>J8="bs"</formula>
    </cfRule>
  </conditionalFormatting>
  <conditionalFormatting sqref="O16">
    <cfRule type="expression" dxfId="49" priority="1" stopIfTrue="1">
      <formula>AND($O$1="CU",O16="Umpire")</formula>
    </cfRule>
    <cfRule type="expression" dxfId="48" priority="2" stopIfTrue="1">
      <formula>AND($O$1="CU",O16&lt;&gt;"Umpire",P16&lt;&gt;"")</formula>
    </cfRule>
    <cfRule type="expression" dxfId="47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13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91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indexed="42"/>
  </sheetPr>
  <dimension ref="A1:Q156"/>
  <sheetViews>
    <sheetView showGridLines="0" showZeros="0" workbookViewId="0">
      <pane ySplit="6" topLeftCell="A12" activePane="bottomLeft" state="frozen"/>
      <selection activeCell="F2" sqref="F2"/>
      <selection pane="bottomLeft" activeCell="S24" sqref="S24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389" customWidth="1"/>
    <col min="6" max="6" width="6.109375" style="91" hidden="1" customWidth="1"/>
    <col min="7" max="7" width="31.441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Diákolimpia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410" t="str">
        <f>Altalanos!$D$8</f>
        <v>3 fiú B elo</v>
      </c>
      <c r="D2" s="103"/>
      <c r="E2" s="195" t="s">
        <v>34</v>
      </c>
      <c r="F2" s="92"/>
      <c r="G2" s="92"/>
      <c r="H2" s="378"/>
      <c r="I2" s="378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72" t="s">
        <v>50</v>
      </c>
      <c r="B3" s="376"/>
      <c r="C3" s="376"/>
      <c r="D3" s="376"/>
      <c r="E3" s="376"/>
      <c r="F3" s="376"/>
      <c r="G3" s="376"/>
      <c r="H3" s="376"/>
      <c r="I3" s="377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91" t="s">
        <v>30</v>
      </c>
      <c r="I4" s="382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2024.05.27-06.01.</v>
      </c>
      <c r="B5" s="189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92"/>
      <c r="J5" s="110"/>
      <c r="K5" s="82"/>
      <c r="L5" s="82"/>
      <c r="M5" s="82"/>
      <c r="N5" s="110"/>
      <c r="O5" s="90"/>
      <c r="P5" s="90"/>
      <c r="Q5" s="400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107</v>
      </c>
      <c r="H6" s="379" t="s">
        <v>37</v>
      </c>
      <c r="I6" s="380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25">
      <c r="A7" s="185">
        <v>1</v>
      </c>
      <c r="B7" s="418" t="s">
        <v>176</v>
      </c>
      <c r="C7" s="418" t="s">
        <v>177</v>
      </c>
      <c r="D7" s="418" t="s">
        <v>178</v>
      </c>
      <c r="E7" s="198"/>
      <c r="F7" s="373"/>
      <c r="G7" s="374"/>
      <c r="H7" s="94"/>
      <c r="I7" s="94"/>
      <c r="J7" s="182"/>
      <c r="K7" s="180"/>
      <c r="L7" s="184"/>
      <c r="M7" s="180"/>
      <c r="N7" s="177"/>
      <c r="O7" s="94"/>
      <c r="P7" s="111"/>
      <c r="Q7" s="95"/>
    </row>
    <row r="8" spans="1:17" s="11" customFormat="1" ht="18.899999999999999" customHeight="1" x14ac:dyDescent="0.25">
      <c r="A8" s="185">
        <v>2</v>
      </c>
      <c r="B8" s="418" t="s">
        <v>179</v>
      </c>
      <c r="C8" s="418" t="s">
        <v>180</v>
      </c>
      <c r="D8" s="418" t="s">
        <v>178</v>
      </c>
      <c r="E8" s="198"/>
      <c r="F8" s="375"/>
      <c r="G8" s="209"/>
      <c r="H8" s="94"/>
      <c r="I8" s="94"/>
      <c r="J8" s="182"/>
      <c r="K8" s="180"/>
      <c r="L8" s="184"/>
      <c r="M8" s="180"/>
      <c r="N8" s="177"/>
      <c r="O8" s="94"/>
      <c r="P8" s="111"/>
      <c r="Q8" s="95"/>
    </row>
    <row r="9" spans="1:17" s="11" customFormat="1" ht="18.899999999999999" customHeight="1" x14ac:dyDescent="0.3">
      <c r="A9" s="185">
        <v>3</v>
      </c>
      <c r="B9" s="414" t="s">
        <v>181</v>
      </c>
      <c r="C9" s="414" t="s">
        <v>182</v>
      </c>
      <c r="D9" s="414" t="s">
        <v>183</v>
      </c>
      <c r="E9" s="198"/>
      <c r="F9" s="375"/>
      <c r="G9" s="209"/>
      <c r="H9" s="94"/>
      <c r="I9" s="94"/>
      <c r="J9" s="182"/>
      <c r="K9" s="180"/>
      <c r="L9" s="184"/>
      <c r="M9" s="180"/>
      <c r="N9" s="177"/>
      <c r="O9" s="94"/>
      <c r="P9" s="384"/>
      <c r="Q9" s="205"/>
    </row>
    <row r="10" spans="1:17" s="11" customFormat="1" ht="18.899999999999999" customHeight="1" x14ac:dyDescent="0.3">
      <c r="A10" s="185">
        <v>4</v>
      </c>
      <c r="B10" s="414" t="s">
        <v>184</v>
      </c>
      <c r="C10" s="414" t="s">
        <v>185</v>
      </c>
      <c r="D10" s="414" t="s">
        <v>186</v>
      </c>
      <c r="E10" s="198"/>
      <c r="F10" s="375"/>
      <c r="G10" s="209"/>
      <c r="H10" s="94"/>
      <c r="I10" s="94"/>
      <c r="J10" s="182"/>
      <c r="K10" s="180"/>
      <c r="L10" s="184"/>
      <c r="M10" s="180"/>
      <c r="N10" s="177"/>
      <c r="O10" s="94"/>
      <c r="P10" s="383"/>
      <c r="Q10" s="381"/>
    </row>
    <row r="11" spans="1:17" s="11" customFormat="1" ht="18.899999999999999" customHeight="1" x14ac:dyDescent="0.3">
      <c r="A11" s="185">
        <v>5</v>
      </c>
      <c r="B11" s="414" t="s">
        <v>187</v>
      </c>
      <c r="C11" s="414" t="s">
        <v>188</v>
      </c>
      <c r="D11" s="416" t="s">
        <v>134</v>
      </c>
      <c r="E11" s="198"/>
      <c r="F11" s="375"/>
      <c r="G11" s="209"/>
      <c r="H11" s="94"/>
      <c r="I11" s="94"/>
      <c r="J11" s="182"/>
      <c r="K11" s="180"/>
      <c r="L11" s="184"/>
      <c r="M11" s="180"/>
      <c r="N11" s="177"/>
      <c r="O11" s="94"/>
      <c r="P11" s="383"/>
      <c r="Q11" s="381"/>
    </row>
    <row r="12" spans="1:17" s="11" customFormat="1" ht="18.899999999999999" customHeight="1" x14ac:dyDescent="0.3">
      <c r="A12" s="185">
        <v>6</v>
      </c>
      <c r="B12" s="414" t="s">
        <v>189</v>
      </c>
      <c r="C12" s="414" t="s">
        <v>190</v>
      </c>
      <c r="D12" s="416" t="s">
        <v>134</v>
      </c>
      <c r="E12" s="198"/>
      <c r="F12" s="375"/>
      <c r="G12" s="209"/>
      <c r="H12" s="94"/>
      <c r="I12" s="94"/>
      <c r="J12" s="182"/>
      <c r="K12" s="180"/>
      <c r="L12" s="184"/>
      <c r="M12" s="180"/>
      <c r="N12" s="177"/>
      <c r="O12" s="94"/>
      <c r="P12" s="383"/>
      <c r="Q12" s="381"/>
    </row>
    <row r="13" spans="1:17" s="11" customFormat="1" ht="18.899999999999999" customHeight="1" x14ac:dyDescent="0.3">
      <c r="A13" s="185">
        <v>7</v>
      </c>
      <c r="B13" s="414" t="s">
        <v>191</v>
      </c>
      <c r="C13" s="414" t="s">
        <v>192</v>
      </c>
      <c r="D13" s="415" t="s">
        <v>193</v>
      </c>
      <c r="E13" s="198"/>
      <c r="F13" s="375"/>
      <c r="G13" s="209"/>
      <c r="H13" s="94"/>
      <c r="I13" s="94"/>
      <c r="J13" s="182"/>
      <c r="K13" s="180"/>
      <c r="L13" s="184"/>
      <c r="M13" s="180"/>
      <c r="N13" s="177"/>
      <c r="O13" s="94"/>
      <c r="P13" s="383"/>
      <c r="Q13" s="381"/>
    </row>
    <row r="14" spans="1:17" s="11" customFormat="1" ht="18.899999999999999" customHeight="1" x14ac:dyDescent="0.3">
      <c r="A14" s="185">
        <v>8</v>
      </c>
      <c r="B14" s="414" t="s">
        <v>194</v>
      </c>
      <c r="C14" s="414" t="s">
        <v>195</v>
      </c>
      <c r="D14" s="415" t="s">
        <v>196</v>
      </c>
      <c r="E14" s="198"/>
      <c r="F14" s="375"/>
      <c r="G14" s="209"/>
      <c r="H14" s="94"/>
      <c r="I14" s="94"/>
      <c r="J14" s="182"/>
      <c r="K14" s="180"/>
      <c r="L14" s="184"/>
      <c r="M14" s="180"/>
      <c r="N14" s="177"/>
      <c r="O14" s="94"/>
      <c r="P14" s="383"/>
      <c r="Q14" s="381"/>
    </row>
    <row r="15" spans="1:17" s="11" customFormat="1" ht="18.899999999999999" customHeight="1" x14ac:dyDescent="0.3">
      <c r="A15" s="185">
        <v>9</v>
      </c>
      <c r="B15" s="419" t="s">
        <v>190</v>
      </c>
      <c r="C15" s="419" t="s">
        <v>197</v>
      </c>
      <c r="D15" s="419" t="s">
        <v>198</v>
      </c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3">
      <c r="A16" s="185">
        <v>10</v>
      </c>
      <c r="B16" s="419" t="s">
        <v>199</v>
      </c>
      <c r="C16" s="419" t="s">
        <v>200</v>
      </c>
      <c r="D16" s="419" t="s">
        <v>198</v>
      </c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422" t="s">
        <v>147</v>
      </c>
      <c r="C17" s="422" t="s">
        <v>201</v>
      </c>
      <c r="D17" s="422" t="s">
        <v>202</v>
      </c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440" t="s">
        <v>540</v>
      </c>
      <c r="C18" s="422" t="s">
        <v>203</v>
      </c>
      <c r="D18" s="422" t="s">
        <v>204</v>
      </c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420" t="s">
        <v>205</v>
      </c>
      <c r="C19" s="420" t="s">
        <v>206</v>
      </c>
      <c r="D19" s="421" t="s">
        <v>207</v>
      </c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420" t="s">
        <v>208</v>
      </c>
      <c r="C20" s="420" t="s">
        <v>209</v>
      </c>
      <c r="D20" s="421" t="s">
        <v>210</v>
      </c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3">
      <c r="A21" s="185">
        <v>15</v>
      </c>
      <c r="B21" s="414" t="s">
        <v>211</v>
      </c>
      <c r="C21" s="414" t="s">
        <v>212</v>
      </c>
      <c r="D21" s="414" t="s">
        <v>213</v>
      </c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3">
      <c r="A22" s="185">
        <v>16</v>
      </c>
      <c r="B22" s="414" t="s">
        <v>214</v>
      </c>
      <c r="C22" s="414" t="s">
        <v>215</v>
      </c>
      <c r="D22" s="414" t="s">
        <v>216</v>
      </c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3">
      <c r="A23" s="185">
        <v>17</v>
      </c>
      <c r="B23" s="414" t="s">
        <v>217</v>
      </c>
      <c r="C23" s="414" t="s">
        <v>218</v>
      </c>
      <c r="D23" s="414" t="s">
        <v>219</v>
      </c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3">
      <c r="A24" s="185">
        <v>18</v>
      </c>
      <c r="B24" s="414" t="s">
        <v>220</v>
      </c>
      <c r="C24" s="414" t="s">
        <v>221</v>
      </c>
      <c r="D24" s="414" t="s">
        <v>222</v>
      </c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3">
      <c r="A25" s="185">
        <v>19</v>
      </c>
      <c r="B25" s="417" t="s">
        <v>223</v>
      </c>
      <c r="C25" s="414" t="s">
        <v>201</v>
      </c>
      <c r="D25" s="415" t="s">
        <v>224</v>
      </c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3">
      <c r="A26" s="185">
        <v>20</v>
      </c>
      <c r="B26" s="417" t="s">
        <v>225</v>
      </c>
      <c r="C26" s="414" t="s">
        <v>201</v>
      </c>
      <c r="D26" s="415" t="s">
        <v>226</v>
      </c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3">
      <c r="A27" s="185">
        <v>21</v>
      </c>
      <c r="B27" s="414" t="s">
        <v>227</v>
      </c>
      <c r="C27" s="414" t="s">
        <v>228</v>
      </c>
      <c r="D27" s="414" t="s">
        <v>229</v>
      </c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3">
      <c r="A28" s="185">
        <v>22</v>
      </c>
      <c r="B28" s="414" t="s">
        <v>230</v>
      </c>
      <c r="C28" s="414" t="s">
        <v>231</v>
      </c>
      <c r="D28" s="414" t="s">
        <v>170</v>
      </c>
      <c r="E28" s="408"/>
      <c r="F28" s="393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3">
      <c r="A29" s="185">
        <v>23</v>
      </c>
      <c r="B29" s="414" t="s">
        <v>232</v>
      </c>
      <c r="C29" s="414" t="s">
        <v>233</v>
      </c>
      <c r="D29" s="414" t="s">
        <v>234</v>
      </c>
      <c r="E29" s="409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3">
      <c r="A30" s="185">
        <v>24</v>
      </c>
      <c r="B30" s="414" t="s">
        <v>235</v>
      </c>
      <c r="C30" s="414" t="s">
        <v>236</v>
      </c>
      <c r="D30" s="414" t="s">
        <v>234</v>
      </c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3">
      <c r="A31" s="185">
        <v>25</v>
      </c>
      <c r="B31" s="414" t="s">
        <v>237</v>
      </c>
      <c r="C31" s="414" t="s">
        <v>238</v>
      </c>
      <c r="D31" s="415" t="s">
        <v>239</v>
      </c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90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75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75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75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75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75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75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75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75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75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75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75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75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75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75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75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75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75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75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75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75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75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75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75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75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75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75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75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75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75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75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75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75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75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75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75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75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75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75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75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75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75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75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75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75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75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75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75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75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75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75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75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75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75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75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75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75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75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75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75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75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75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75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75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75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75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75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75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75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75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75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75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75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75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75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75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75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75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75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75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75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75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75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75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75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75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75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75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75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75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75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75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75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75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75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75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75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75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75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75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75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75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75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75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75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75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75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75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75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75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75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75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75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75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75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75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75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75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75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75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A31 A32:D156">
    <cfRule type="expression" dxfId="46" priority="17" stopIfTrue="1">
      <formula>$Q7&gt;=1</formula>
    </cfRule>
  </conditionalFormatting>
  <conditionalFormatting sqref="B7:D8">
    <cfRule type="expression" dxfId="45" priority="3" stopIfTrue="1">
      <formula>$S7&gt;=1</formula>
    </cfRule>
  </conditionalFormatting>
  <conditionalFormatting sqref="B32:D37">
    <cfRule type="expression" dxfId="44" priority="4" stopIfTrue="1">
      <formula>$Q32&gt;=1</formula>
    </cfRule>
  </conditionalFormatting>
  <conditionalFormatting sqref="D25:D26">
    <cfRule type="expression" dxfId="43" priority="1" stopIfTrue="1">
      <formula>$Q25&gt;=1</formula>
    </cfRule>
    <cfRule type="expression" dxfId="42" priority="2" stopIfTrue="1">
      <formula>$O25&gt;=1</formula>
    </cfRule>
  </conditionalFormatting>
  <conditionalFormatting sqref="E7:E14">
    <cfRule type="expression" dxfId="41" priority="9" stopIfTrue="1">
      <formula>AND(ROUNDDOWN(($A$4-E7)/365.25,0)&lt;=13,G7&lt;&gt;"OK")</formula>
    </cfRule>
    <cfRule type="expression" dxfId="40" priority="10" stopIfTrue="1">
      <formula>AND(ROUNDDOWN(($A$4-E7)/365.25,0)&lt;=14,G7&lt;&gt;"OK")</formula>
    </cfRule>
    <cfRule type="expression" dxfId="39" priority="11" stopIfTrue="1">
      <formula>AND(ROUNDDOWN(($A$4-E7)/365.25,0)&lt;=17,G7&lt;&gt;"OK")</formula>
    </cfRule>
    <cfRule type="expression" dxfId="38" priority="14" stopIfTrue="1">
      <formula>AND(ROUNDDOWN(($A$4-E7)/365.25,0)&lt;=13,G7&lt;&gt;"OK")</formula>
    </cfRule>
    <cfRule type="expression" dxfId="37" priority="15" stopIfTrue="1">
      <formula>AND(ROUNDDOWN(($A$4-E7)/365.25,0)&lt;=14,G7&lt;&gt;"OK")</formula>
    </cfRule>
    <cfRule type="expression" dxfId="36" priority="16" stopIfTrue="1">
      <formula>AND(ROUNDDOWN(($A$4-E7)/365.25,0)&lt;=17,G7&lt;&gt;"OK")</formula>
    </cfRule>
  </conditionalFormatting>
  <conditionalFormatting sqref="E7:E27 E29:E37">
    <cfRule type="expression" dxfId="35" priority="5" stopIfTrue="1">
      <formula>AND(ROUNDDOWN(($A$4-E7)/365.25,0)&lt;=13,G7&lt;&gt;"OK")</formula>
    </cfRule>
    <cfRule type="expression" dxfId="34" priority="6" stopIfTrue="1">
      <formula>AND(ROUNDDOWN(($A$4-E7)/365.25,0)&lt;=14,G7&lt;&gt;"OK")</formula>
    </cfRule>
    <cfRule type="expression" dxfId="33" priority="7" stopIfTrue="1">
      <formula>AND(ROUNDDOWN(($A$4-E7)/365.25,0)&lt;=17,G7&lt;&gt;"OK")</formula>
    </cfRule>
  </conditionalFormatting>
  <conditionalFormatting sqref="E7:E156">
    <cfRule type="expression" dxfId="32" priority="19" stopIfTrue="1">
      <formula>AND(ROUNDDOWN(($A$4-E7)/365.25,0)&lt;=13,G7&lt;&gt;"OK")</formula>
    </cfRule>
    <cfRule type="expression" dxfId="31" priority="20" stopIfTrue="1">
      <formula>AND(ROUNDDOWN(($A$4-E7)/365.25,0)&lt;=14,G7&lt;&gt;"OK")</formula>
    </cfRule>
    <cfRule type="expression" dxfId="30" priority="21" stopIfTrue="1">
      <formula>AND(ROUNDDOWN(($A$4-E7)/365.25,0)&lt;=17,G7&lt;&gt;"OK")</formula>
    </cfRule>
  </conditionalFormatting>
  <conditionalFormatting sqref="J7:J156">
    <cfRule type="cellIs" dxfId="29" priority="13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35">
    <tabColor indexed="11"/>
  </sheetPr>
  <dimension ref="A1:AK41"/>
  <sheetViews>
    <sheetView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Altalanos!$D$8</f>
        <v>3 fiú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354"/>
      <c r="M4" s="233" t="str">
        <f>Altalanos!$E$10</f>
        <v>Rákóczi Andrea</v>
      </c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01" t="s">
        <v>64</v>
      </c>
      <c r="B7" s="328">
        <v>1</v>
      </c>
      <c r="C7" s="330">
        <f>IF($B7="","",VLOOKUP($B7,'Fiú 3B ELO'!$A$7:$O$22,5))</f>
        <v>0</v>
      </c>
      <c r="D7" s="330">
        <f>IF($B7="","",VLOOKUP($B7,'Fiú 3B ELO'!$A$7:$O$22,15))</f>
        <v>0</v>
      </c>
      <c r="E7" s="457" t="str">
        <f>UPPER(IF($B7="","",VLOOKUP($B7,'Fiú 3B ELO'!$A$7:$O$22,2)))</f>
        <v xml:space="preserve">VARGA </v>
      </c>
      <c r="F7" s="457"/>
      <c r="G7" s="457" t="str">
        <f>IF($B7="","",VLOOKUP($B7,'Fiú 3B ELO'!$A$7:$O$22,3))</f>
        <v>Flórián</v>
      </c>
      <c r="H7" s="457"/>
      <c r="I7" s="331" t="str">
        <f>IF($B7="","",VLOOKUP($B7,'Fiú 3B ELO'!$A$7:$O$22,4))</f>
        <v>Bólyi Ált. Isk.</v>
      </c>
      <c r="J7" s="267"/>
      <c r="K7" s="363"/>
      <c r="L7" s="353"/>
      <c r="M7" s="364"/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29"/>
      <c r="C8" s="332"/>
      <c r="D8" s="332"/>
      <c r="E8" s="332"/>
      <c r="F8" s="332"/>
      <c r="G8" s="332"/>
      <c r="H8" s="332"/>
      <c r="I8" s="33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28">
        <v>13</v>
      </c>
      <c r="C9" s="330">
        <f>IF($B9="","",VLOOKUP($B9,'Fiú 3B ELO'!$A$7:$O$22,5))</f>
        <v>0</v>
      </c>
      <c r="D9" s="330">
        <f>IF($B9="","",VLOOKUP($B9,'Fiú 3B ELO'!$A$7:$O$22,15))</f>
        <v>0</v>
      </c>
      <c r="E9" s="457" t="str">
        <f>UPPER(IF($B9="","",VLOOKUP($B9,'Fiú 3B ELO'!$A$7:$O$22,2)))</f>
        <v>GERMAN</v>
      </c>
      <c r="F9" s="457"/>
      <c r="G9" s="457" t="str">
        <f>IF($B9="","",VLOOKUP($B9,'Fiú 3B ELO'!$A$7:$O$22,3))</f>
        <v>László</v>
      </c>
      <c r="H9" s="457"/>
      <c r="I9" s="331" t="str">
        <f>IF($B9="","",VLOOKUP($B9,'Fiú 3B ELO'!$A$7:$O$22,4))</f>
        <v>Jászsági Gróf Apponyi Albert Általános Iskola és Alapfokú Művészeti Iskola</v>
      </c>
      <c r="J9" s="267"/>
      <c r="K9" s="363"/>
      <c r="L9" s="353"/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29"/>
      <c r="C10" s="332"/>
      <c r="D10" s="332"/>
      <c r="E10" s="332"/>
      <c r="F10" s="332"/>
      <c r="G10" s="332"/>
      <c r="H10" s="332"/>
      <c r="I10" s="33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28">
        <v>9</v>
      </c>
      <c r="C11" s="330">
        <f>IF($B11="","",VLOOKUP($B11,'Fiú 3B ELO'!$A$7:$O$22,5))</f>
        <v>0</v>
      </c>
      <c r="D11" s="330">
        <f>IF($B11="","",VLOOKUP($B11,'Fiú 3B ELO'!$A$7:$O$22,15))</f>
        <v>0</v>
      </c>
      <c r="E11" s="457" t="str">
        <f>UPPER(IF($B11="","",VLOOKUP($B11,'Fiú 3B ELO'!$A$7:$O$22,2)))</f>
        <v>SÁNDOR</v>
      </c>
      <c r="F11" s="457"/>
      <c r="G11" s="457" t="str">
        <f>IF($B11="","",VLOOKUP($B11,'Fiú 3B ELO'!$A$7:$O$22,3))</f>
        <v>Nolen</v>
      </c>
      <c r="H11" s="457"/>
      <c r="I11" s="331" t="str">
        <f>IF($B11="","",VLOOKUP($B11,'Fiú 3B ELO'!$A$7:$O$22,4))</f>
        <v xml:space="preserve">Debreceni Nemzetközi Iskola </v>
      </c>
      <c r="J11" s="267"/>
      <c r="K11" s="447" t="s">
        <v>557</v>
      </c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301"/>
      <c r="B12" s="329"/>
      <c r="C12" s="332"/>
      <c r="D12" s="332"/>
      <c r="E12" s="332"/>
      <c r="F12" s="332"/>
      <c r="G12" s="332"/>
      <c r="H12" s="332"/>
      <c r="I12" s="332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01" t="s">
        <v>71</v>
      </c>
      <c r="B13" s="328"/>
      <c r="C13" s="330">
        <v>0</v>
      </c>
      <c r="D13" s="330">
        <v>0</v>
      </c>
      <c r="E13" s="476" t="s">
        <v>368</v>
      </c>
      <c r="F13" s="457"/>
      <c r="G13" s="476" t="s">
        <v>218</v>
      </c>
      <c r="H13" s="457"/>
      <c r="I13" s="427" t="s">
        <v>219</v>
      </c>
      <c r="J13" s="267"/>
      <c r="K13" s="363"/>
      <c r="L13" s="353"/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ht="18.75" customHeight="1" x14ac:dyDescent="0.25">
      <c r="A18" s="267"/>
      <c r="B18" s="455"/>
      <c r="C18" s="455"/>
      <c r="D18" s="456" t="str">
        <f>E7</f>
        <v xml:space="preserve">VARGA </v>
      </c>
      <c r="E18" s="456"/>
      <c r="F18" s="456" t="str">
        <f>E9</f>
        <v>GERMAN</v>
      </c>
      <c r="G18" s="456"/>
      <c r="H18" s="456" t="str">
        <f>E11</f>
        <v>SÁNDOR</v>
      </c>
      <c r="I18" s="456"/>
      <c r="J18" s="456" t="str">
        <f>E13</f>
        <v>TAMÁSI_SCHWARC</v>
      </c>
      <c r="K18" s="456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ht="18.75" customHeight="1" x14ac:dyDescent="0.25">
      <c r="A19" s="333" t="s">
        <v>64</v>
      </c>
      <c r="B19" s="458" t="str">
        <f>E7</f>
        <v xml:space="preserve">VARGA </v>
      </c>
      <c r="C19" s="458"/>
      <c r="D19" s="459"/>
      <c r="E19" s="459"/>
      <c r="F19" s="460" t="s">
        <v>544</v>
      </c>
      <c r="G19" s="461"/>
      <c r="H19" s="460" t="s">
        <v>545</v>
      </c>
      <c r="I19" s="461"/>
      <c r="J19" s="464" t="s">
        <v>532</v>
      </c>
      <c r="K19" s="465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ht="18.75" customHeight="1" x14ac:dyDescent="0.25">
      <c r="A20" s="333" t="s">
        <v>65</v>
      </c>
      <c r="B20" s="458" t="str">
        <f>E9</f>
        <v>GERMAN</v>
      </c>
      <c r="C20" s="458"/>
      <c r="D20" s="460" t="s">
        <v>545</v>
      </c>
      <c r="E20" s="461"/>
      <c r="F20" s="459"/>
      <c r="G20" s="459"/>
      <c r="H20" s="460" t="s">
        <v>535</v>
      </c>
      <c r="I20" s="461"/>
      <c r="J20" s="460" t="s">
        <v>535</v>
      </c>
      <c r="K20" s="461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ht="18.75" customHeight="1" x14ac:dyDescent="0.25">
      <c r="A21" s="333" t="s">
        <v>66</v>
      </c>
      <c r="B21" s="458" t="str">
        <f>E11</f>
        <v>SÁNDOR</v>
      </c>
      <c r="C21" s="458"/>
      <c r="D21" s="460" t="s">
        <v>544</v>
      </c>
      <c r="E21" s="461"/>
      <c r="F21" s="460" t="s">
        <v>534</v>
      </c>
      <c r="G21" s="461"/>
      <c r="H21" s="459"/>
      <c r="I21" s="459"/>
      <c r="J21" s="460" t="s">
        <v>546</v>
      </c>
      <c r="K21" s="461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333" t="s">
        <v>71</v>
      </c>
      <c r="B22" s="458" t="str">
        <f>E13</f>
        <v>TAMÁSI_SCHWARC</v>
      </c>
      <c r="C22" s="458"/>
      <c r="D22" s="460" t="s">
        <v>533</v>
      </c>
      <c r="E22" s="461"/>
      <c r="F22" s="460" t="s">
        <v>534</v>
      </c>
      <c r="G22" s="461"/>
      <c r="H22" s="464" t="s">
        <v>547</v>
      </c>
      <c r="I22" s="465"/>
      <c r="J22" s="459"/>
      <c r="K22" s="459"/>
      <c r="L22" s="267"/>
      <c r="M22" s="267"/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9" t="s">
        <v>4</v>
      </c>
      <c r="E33" s="310" t="s">
        <v>45</v>
      </c>
      <c r="F33" s="324"/>
      <c r="G33" s="309" t="s">
        <v>4</v>
      </c>
      <c r="H33" s="310" t="s">
        <v>54</v>
      </c>
      <c r="I33" s="159"/>
      <c r="J33" s="310" t="s">
        <v>55</v>
      </c>
      <c r="K33" s="158" t="s">
        <v>56</v>
      </c>
      <c r="L33" s="33"/>
      <c r="M33" s="324"/>
      <c r="P33" s="303"/>
      <c r="Q33" s="303"/>
      <c r="R33" s="304"/>
    </row>
    <row r="34" spans="1:18" x14ac:dyDescent="0.25">
      <c r="A34" s="278" t="s">
        <v>44</v>
      </c>
      <c r="B34" s="279"/>
      <c r="C34" s="281"/>
      <c r="D34" s="311"/>
      <c r="E34" s="462"/>
      <c r="F34" s="462"/>
      <c r="G34" s="318" t="s">
        <v>5</v>
      </c>
      <c r="H34" s="279"/>
      <c r="I34" s="312"/>
      <c r="J34" s="319"/>
      <c r="K34" s="273" t="s">
        <v>46</v>
      </c>
      <c r="L34" s="325"/>
      <c r="M34" s="313"/>
      <c r="P34" s="305"/>
      <c r="Q34" s="305"/>
      <c r="R34" s="306"/>
    </row>
    <row r="35" spans="1:18" x14ac:dyDescent="0.25">
      <c r="A35" s="282" t="s">
        <v>53</v>
      </c>
      <c r="B35" s="157"/>
      <c r="C35" s="284"/>
      <c r="D35" s="314"/>
      <c r="E35" s="463"/>
      <c r="F35" s="463"/>
      <c r="G35" s="320" t="s">
        <v>6</v>
      </c>
      <c r="H35" s="83"/>
      <c r="I35" s="271"/>
      <c r="J35" s="84"/>
      <c r="K35" s="322"/>
      <c r="L35" s="245"/>
      <c r="M35" s="317"/>
      <c r="P35" s="306"/>
      <c r="Q35" s="307"/>
      <c r="R35" s="306"/>
    </row>
    <row r="36" spans="1:18" x14ac:dyDescent="0.25">
      <c r="A36" s="172"/>
      <c r="B36" s="173"/>
      <c r="C36" s="174"/>
      <c r="D36" s="314"/>
      <c r="E36" s="85"/>
      <c r="F36" s="267"/>
      <c r="G36" s="320" t="s">
        <v>7</v>
      </c>
      <c r="H36" s="83"/>
      <c r="I36" s="271"/>
      <c r="J36" s="84"/>
      <c r="K36" s="273" t="s">
        <v>47</v>
      </c>
      <c r="L36" s="325"/>
      <c r="M36" s="313"/>
      <c r="P36" s="305"/>
      <c r="Q36" s="305"/>
      <c r="R36" s="306"/>
    </row>
    <row r="37" spans="1:18" x14ac:dyDescent="0.25">
      <c r="A37" s="148"/>
      <c r="B37" s="116"/>
      <c r="C37" s="149"/>
      <c r="D37" s="314"/>
      <c r="E37" s="85"/>
      <c r="F37" s="267"/>
      <c r="G37" s="320" t="s">
        <v>8</v>
      </c>
      <c r="H37" s="83"/>
      <c r="I37" s="271"/>
      <c r="J37" s="84"/>
      <c r="K37" s="323"/>
      <c r="L37" s="267"/>
      <c r="M37" s="315"/>
      <c r="P37" s="306"/>
      <c r="Q37" s="307"/>
      <c r="R37" s="306"/>
    </row>
    <row r="38" spans="1:18" x14ac:dyDescent="0.25">
      <c r="A38" s="161"/>
      <c r="B38" s="175"/>
      <c r="C38" s="202"/>
      <c r="D38" s="314"/>
      <c r="E38" s="85"/>
      <c r="F38" s="267"/>
      <c r="G38" s="320" t="s">
        <v>9</v>
      </c>
      <c r="H38" s="83"/>
      <c r="I38" s="271"/>
      <c r="J38" s="84"/>
      <c r="K38" s="282"/>
      <c r="L38" s="245"/>
      <c r="M38" s="317"/>
      <c r="P38" s="306"/>
      <c r="Q38" s="307"/>
      <c r="R38" s="306"/>
    </row>
    <row r="39" spans="1:18" x14ac:dyDescent="0.25">
      <c r="A39" s="162"/>
      <c r="B39" s="22"/>
      <c r="C39" s="149"/>
      <c r="D39" s="314"/>
      <c r="E39" s="85"/>
      <c r="F39" s="267"/>
      <c r="G39" s="320" t="s">
        <v>10</v>
      </c>
      <c r="H39" s="83"/>
      <c r="I39" s="271"/>
      <c r="J39" s="84"/>
      <c r="K39" s="273" t="s">
        <v>33</v>
      </c>
      <c r="L39" s="325"/>
      <c r="M39" s="313"/>
      <c r="P39" s="305"/>
      <c r="Q39" s="305"/>
      <c r="R39" s="306"/>
    </row>
    <row r="40" spans="1:18" x14ac:dyDescent="0.25">
      <c r="A40" s="162"/>
      <c r="B40" s="22"/>
      <c r="C40" s="170"/>
      <c r="D40" s="314"/>
      <c r="E40" s="85"/>
      <c r="F40" s="267"/>
      <c r="G40" s="320" t="s">
        <v>11</v>
      </c>
      <c r="H40" s="83"/>
      <c r="I40" s="271"/>
      <c r="J40" s="84"/>
      <c r="K40" s="323"/>
      <c r="L40" s="267"/>
      <c r="M40" s="315"/>
      <c r="P40" s="306"/>
      <c r="Q40" s="307"/>
      <c r="R40" s="306"/>
    </row>
    <row r="41" spans="1:18" x14ac:dyDescent="0.25">
      <c r="A41" s="163"/>
      <c r="B41" s="160"/>
      <c r="C41" s="171"/>
      <c r="D41" s="316"/>
      <c r="E41" s="150"/>
      <c r="F41" s="245"/>
      <c r="G41" s="321" t="s">
        <v>12</v>
      </c>
      <c r="H41" s="157"/>
      <c r="I41" s="275"/>
      <c r="J41" s="152"/>
      <c r="K41" s="282" t="str">
        <f>M4</f>
        <v>Rákóczi Andrea</v>
      </c>
      <c r="L41" s="245"/>
      <c r="M41" s="317"/>
      <c r="P41" s="306"/>
      <c r="Q41" s="307"/>
      <c r="R41" s="30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8" priority="2" stopIfTrue="1" operator="equal">
      <formula>"Bye"</formula>
    </cfRule>
  </conditionalFormatting>
  <conditionalFormatting sqref="R41">
    <cfRule type="expression" dxfId="2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37">
    <tabColor indexed="11"/>
  </sheetPr>
  <dimension ref="A1:AK47"/>
  <sheetViews>
    <sheetView topLeftCell="A13" workbookViewId="0">
      <selection activeCell="M24" sqref="M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Altalanos!$D$8</f>
        <v>3 fiú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O5" s="341" t="s">
        <v>78</v>
      </c>
      <c r="P5" s="342" t="s">
        <v>84</v>
      </c>
      <c r="R5" s="341" t="s">
        <v>78</v>
      </c>
      <c r="S5" s="403" t="s">
        <v>110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O6" s="343" t="s">
        <v>85</v>
      </c>
      <c r="P6" s="344" t="s">
        <v>80</v>
      </c>
      <c r="R6" s="343" t="s">
        <v>85</v>
      </c>
      <c r="S6" s="404" t="s">
        <v>111</v>
      </c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2</v>
      </c>
      <c r="C7" s="291">
        <f>IF($B7="","",VLOOKUP($B7,'Fiú 3B ELO'!$A$7:$O$22,5))</f>
        <v>0</v>
      </c>
      <c r="D7" s="291">
        <f>IF($B7="","",VLOOKUP($B7,'Fiú 3B ELO'!$A$7:$O$22,15))</f>
        <v>0</v>
      </c>
      <c r="E7" s="287" t="str">
        <f>UPPER(IF($B7="","",VLOOKUP($B7,'Fiú 3B ELO'!$A$7:$O$22,2)))</f>
        <v xml:space="preserve">HORVÁTH </v>
      </c>
      <c r="F7" s="290"/>
      <c r="G7" s="287" t="str">
        <f>IF($B7="","",VLOOKUP($B7,'Fiú 3B ELO'!$A$7:$O$22,3))</f>
        <v>Botond</v>
      </c>
      <c r="H7" s="290"/>
      <c r="I7" s="287" t="str">
        <f>IF($B7="","",VLOOKUP($B7,'Fiú 3B ELO'!$A$7:$O$22,4))</f>
        <v>Bólyi Ált. Isk.</v>
      </c>
      <c r="J7" s="267"/>
      <c r="K7" s="363"/>
      <c r="L7" s="353" t="str">
        <f>IF(K7="","",CONCATENATE(VLOOKUP($Y$3,$AB$1:$AK$1,K7)," pont"))</f>
        <v/>
      </c>
      <c r="M7" s="364"/>
      <c r="O7" s="345" t="s">
        <v>86</v>
      </c>
      <c r="P7" s="346" t="s">
        <v>82</v>
      </c>
      <c r="R7" s="345" t="s">
        <v>86</v>
      </c>
      <c r="S7" s="405" t="s">
        <v>87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8</v>
      </c>
      <c r="C9" s="291">
        <f>IF($B9="","",VLOOKUP($B9,'Fiú 3B ELO'!$A$7:$O$22,5))</f>
        <v>0</v>
      </c>
      <c r="D9" s="291">
        <f>IF($B9="","",VLOOKUP($B9,'Fiú 3B ELO'!$A$7:$O$22,15))</f>
        <v>0</v>
      </c>
      <c r="E9" s="286" t="str">
        <f>UPPER(IF($B9="","",VLOOKUP($B9,'Fiú 3B ELO'!$A$7:$O$22,2)))</f>
        <v>FRANK</v>
      </c>
      <c r="F9" s="292"/>
      <c r="G9" s="286" t="str">
        <f>IF($B9="","",VLOOKUP($B9,'Fiú 3B ELO'!$A$7:$O$22,3))</f>
        <v>András</v>
      </c>
      <c r="H9" s="292"/>
      <c r="I9" s="286" t="str">
        <f>IF($B9="","",VLOOKUP($B9,'Fiú 3B ELO'!$A$7:$O$22,4))</f>
        <v>Lauder Javne Zsidó Közösségi Óvoda, Általános Iskola, Gimnázium és Zenei Alapfokú Művészeti Iskola</v>
      </c>
      <c r="J9" s="267"/>
      <c r="K9" s="363"/>
      <c r="L9" s="353" t="str">
        <f>IF(K9="","",CONCATENATE(VLOOKUP($Y$3,$AB$1:$AK$1,K9)," pont"))</f>
        <v/>
      </c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ht="14.4" x14ac:dyDescent="0.3">
      <c r="A11" s="301" t="s">
        <v>66</v>
      </c>
      <c r="B11" s="349"/>
      <c r="C11" s="291">
        <v>0</v>
      </c>
      <c r="D11" s="291">
        <v>0</v>
      </c>
      <c r="E11" s="425" t="s">
        <v>369</v>
      </c>
      <c r="F11" s="292"/>
      <c r="G11" s="425" t="s">
        <v>201</v>
      </c>
      <c r="H11" s="292"/>
      <c r="I11" s="428" t="s">
        <v>224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3</v>
      </c>
      <c r="C13" s="291">
        <f>IF($B13="","",VLOOKUP($B13,'Fiú 3B ELO'!$A$7:$O$22,5))</f>
        <v>0</v>
      </c>
      <c r="D13" s="291">
        <f>IF($B13="","",VLOOKUP($B13,'Fiú 3B ELO'!$A$7:$O$22,15))</f>
        <v>0</v>
      </c>
      <c r="E13" s="287" t="str">
        <f>UPPER(IF($B13="","",VLOOKUP($B13,'Fiú 3B ELO'!$A$7:$O$22,2)))</f>
        <v xml:space="preserve">MIKULÁN </v>
      </c>
      <c r="F13" s="290"/>
      <c r="G13" s="287" t="str">
        <f>IF($B13="","",VLOOKUP($B13,'Fiú 3B ELO'!$A$7:$O$22,3))</f>
        <v>Gellért</v>
      </c>
      <c r="H13" s="290"/>
      <c r="I13" s="287" t="str">
        <f>IF($B13="","",VLOOKUP($B13,'Fiú 3B ELO'!$A$7:$O$22,4))</f>
        <v>Gyula Magvető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01" t="s">
        <v>72</v>
      </c>
      <c r="B15" s="349">
        <v>14</v>
      </c>
      <c r="C15" s="291">
        <f>IF($B15="","",VLOOKUP($B15,'Fiú 3B ELO'!$A$7:$O$22,5))</f>
        <v>0</v>
      </c>
      <c r="D15" s="291">
        <f>IF($B15="","",VLOOKUP($B15,'Fiú 3B ELO'!$A$7:$O$22,15))</f>
        <v>0</v>
      </c>
      <c r="E15" s="286" t="str">
        <f>UPPER(IF($B15="","",VLOOKUP($B15,'Fiú 3B ELO'!$A$7:$O$22,2)))</f>
        <v>PÓCZ</v>
      </c>
      <c r="F15" s="292"/>
      <c r="G15" s="286" t="str">
        <f>IF($B15="","",VLOOKUP($B15,'Fiú 3B ELO'!$A$7:$O$22,3))</f>
        <v>Kornél Norbert</v>
      </c>
      <c r="H15" s="292"/>
      <c r="I15" s="286" t="str">
        <f>IF($B15="","",VLOOKUP($B15,'Fiú 3B ELO'!$A$7:$O$22,4))</f>
        <v>Székely Mihály Általános Iskola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/>
      <c r="C17" s="291">
        <v>0</v>
      </c>
      <c r="D17" s="291">
        <v>0</v>
      </c>
      <c r="E17" s="425" t="s">
        <v>370</v>
      </c>
      <c r="F17" s="292"/>
      <c r="G17" s="425" t="s">
        <v>185</v>
      </c>
      <c r="H17" s="292"/>
      <c r="I17" s="425" t="s">
        <v>371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 t="str">
        <f>E7</f>
        <v xml:space="preserve">HORVÁTH </v>
      </c>
      <c r="E22" s="456"/>
      <c r="F22" s="456" t="str">
        <f>E9</f>
        <v>FRANK</v>
      </c>
      <c r="G22" s="456"/>
      <c r="H22" s="456" t="str">
        <f>E11</f>
        <v>RUMANKO</v>
      </c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58" t="str">
        <f>E7</f>
        <v xml:space="preserve">HORVÁTH </v>
      </c>
      <c r="C23" s="458"/>
      <c r="D23" s="459"/>
      <c r="E23" s="459"/>
      <c r="F23" s="460" t="s">
        <v>539</v>
      </c>
      <c r="G23" s="461"/>
      <c r="H23" s="460" t="s">
        <v>535</v>
      </c>
      <c r="I23" s="461"/>
      <c r="J23" s="267"/>
      <c r="K23" s="267"/>
      <c r="L23" s="267"/>
      <c r="M23" s="336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58" t="str">
        <f>E9</f>
        <v>FRANK</v>
      </c>
      <c r="C24" s="458"/>
      <c r="D24" s="460" t="s">
        <v>538</v>
      </c>
      <c r="E24" s="461"/>
      <c r="F24" s="459"/>
      <c r="G24" s="459"/>
      <c r="H24" s="460" t="s">
        <v>536</v>
      </c>
      <c r="I24" s="461"/>
      <c r="J24" s="267"/>
      <c r="K24" s="267"/>
      <c r="L24" s="267"/>
      <c r="M24" s="336">
        <v>1</v>
      </c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58" t="str">
        <f>E11</f>
        <v>RUMANKO</v>
      </c>
      <c r="C25" s="458"/>
      <c r="D25" s="460" t="s">
        <v>534</v>
      </c>
      <c r="E25" s="461"/>
      <c r="F25" s="460" t="s">
        <v>537</v>
      </c>
      <c r="G25" s="461"/>
      <c r="H25" s="459"/>
      <c r="I25" s="459"/>
      <c r="J25" s="267"/>
      <c r="K25" s="267"/>
      <c r="L25" s="267"/>
      <c r="M25" s="336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439"/>
      <c r="E26" s="439"/>
      <c r="F26" s="439"/>
      <c r="G26" s="439"/>
      <c r="H26" s="439"/>
      <c r="I26" s="439"/>
      <c r="J26" s="267"/>
      <c r="K26" s="267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55"/>
      <c r="C27" s="455"/>
      <c r="D27" s="465" t="str">
        <f>E13</f>
        <v xml:space="preserve">MIKULÁN </v>
      </c>
      <c r="E27" s="465"/>
      <c r="F27" s="465" t="str">
        <f>E15</f>
        <v>PÓCZ</v>
      </c>
      <c r="G27" s="465"/>
      <c r="H27" s="465" t="str">
        <f>E17</f>
        <v>LŐRINCZ</v>
      </c>
      <c r="I27" s="465"/>
      <c r="J27" s="267"/>
      <c r="K27" s="267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58" t="str">
        <f>E13</f>
        <v xml:space="preserve">MIKULÁN </v>
      </c>
      <c r="C28" s="458"/>
      <c r="D28" s="459"/>
      <c r="E28" s="459"/>
      <c r="F28" s="460" t="s">
        <v>534</v>
      </c>
      <c r="G28" s="461"/>
      <c r="H28" s="460" t="s">
        <v>538</v>
      </c>
      <c r="I28" s="461"/>
      <c r="J28" s="267"/>
      <c r="K28" s="267"/>
      <c r="L28" s="267"/>
      <c r="M28" s="336">
        <v>1</v>
      </c>
    </row>
    <row r="29" spans="1:37" ht="18.75" customHeight="1" x14ac:dyDescent="0.25">
      <c r="A29" s="333" t="s">
        <v>72</v>
      </c>
      <c r="B29" s="458" t="str">
        <f>E15</f>
        <v>PÓCZ</v>
      </c>
      <c r="C29" s="458"/>
      <c r="D29" s="460" t="s">
        <v>535</v>
      </c>
      <c r="E29" s="461"/>
      <c r="F29" s="459"/>
      <c r="G29" s="459"/>
      <c r="H29" s="460" t="s">
        <v>535</v>
      </c>
      <c r="I29" s="461"/>
      <c r="J29" s="267"/>
      <c r="K29" s="267"/>
      <c r="L29" s="267"/>
      <c r="M29" s="336"/>
    </row>
    <row r="30" spans="1:37" ht="18.75" customHeight="1" x14ac:dyDescent="0.25">
      <c r="A30" s="333" t="s">
        <v>73</v>
      </c>
      <c r="B30" s="458" t="str">
        <f>E17</f>
        <v>LŐRINCZ</v>
      </c>
      <c r="C30" s="458"/>
      <c r="D30" s="460" t="s">
        <v>539</v>
      </c>
      <c r="E30" s="461"/>
      <c r="F30" s="460" t="s">
        <v>534</v>
      </c>
      <c r="G30" s="461"/>
      <c r="H30" s="459"/>
      <c r="I30" s="459"/>
      <c r="J30" s="267"/>
      <c r="K30" s="267"/>
      <c r="L30" s="267"/>
      <c r="M30" s="336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 t="s">
        <v>58</v>
      </c>
      <c r="B32" s="267"/>
      <c r="C32" s="468" t="str">
        <f>IF(M23=1,B23,IF(M24=1,B24,IF(M25=1,B25,"")))</f>
        <v>FRANK</v>
      </c>
      <c r="D32" s="468"/>
      <c r="E32" s="301" t="s">
        <v>75</v>
      </c>
      <c r="F32" s="468" t="str">
        <f>IF(M28=1,B28,IF(M29=1,B29,IF(M30=1,B30,"")))</f>
        <v xml:space="preserve">MIKULÁN </v>
      </c>
      <c r="G32" s="468"/>
      <c r="H32" s="267"/>
      <c r="I32" s="245"/>
      <c r="J32" s="267"/>
      <c r="K32" s="267"/>
      <c r="L32" s="267"/>
      <c r="M32" s="267"/>
    </row>
    <row r="33" spans="1:18" x14ac:dyDescent="0.25">
      <c r="A33" s="267"/>
      <c r="B33" s="267"/>
      <c r="C33" s="267"/>
      <c r="D33" s="267"/>
      <c r="E33" s="267"/>
      <c r="F33" s="301"/>
      <c r="G33" s="301"/>
      <c r="H33" s="267"/>
      <c r="I33" s="267"/>
      <c r="J33" s="267"/>
      <c r="K33" s="267"/>
      <c r="L33" s="267"/>
      <c r="M33" s="267"/>
    </row>
    <row r="34" spans="1:18" x14ac:dyDescent="0.25">
      <c r="A34" s="267" t="s">
        <v>74</v>
      </c>
      <c r="B34" s="267"/>
      <c r="C34" s="468" t="str">
        <f>IF(M23=2,B23,IF(M24=2,B24,IF(M25=2,B25,"")))</f>
        <v/>
      </c>
      <c r="D34" s="468"/>
      <c r="E34" s="301" t="s">
        <v>75</v>
      </c>
      <c r="F34" s="468" t="str">
        <f>IF(M28=2,B28,IF(M29=2,B29,IF(M30=2,B30,"")))</f>
        <v/>
      </c>
      <c r="G34" s="468"/>
      <c r="H34" s="267"/>
      <c r="I34" s="245"/>
      <c r="J34" s="267"/>
      <c r="K34" s="267"/>
      <c r="L34" s="267"/>
      <c r="M34" s="267"/>
    </row>
    <row r="35" spans="1:18" x14ac:dyDescent="0.25">
      <c r="A35" s="267"/>
      <c r="B35" s="267"/>
      <c r="C35" s="301"/>
      <c r="D35" s="301"/>
      <c r="E35" s="301"/>
      <c r="F35" s="301"/>
      <c r="G35" s="301"/>
      <c r="H35" s="267"/>
      <c r="I35" s="267"/>
      <c r="J35" s="267"/>
      <c r="K35" s="267"/>
      <c r="L35" s="267"/>
      <c r="M35" s="267"/>
    </row>
    <row r="36" spans="1:18" x14ac:dyDescent="0.25">
      <c r="A36" s="267" t="s">
        <v>76</v>
      </c>
      <c r="B36" s="267"/>
      <c r="C36" s="468" t="str">
        <f>IF(M23=3,B23,IF(M24=3,B24,IF(M25=3,B25,"")))</f>
        <v/>
      </c>
      <c r="D36" s="468"/>
      <c r="E36" s="301" t="s">
        <v>75</v>
      </c>
      <c r="F36" s="468" t="str">
        <f>IF(M28=3,B28,IF(M29=3,B29,IF(M30=3,B30,"")))</f>
        <v/>
      </c>
      <c r="G36" s="468"/>
      <c r="H36" s="267"/>
      <c r="I36" s="245"/>
      <c r="J36" s="267"/>
      <c r="K36" s="267"/>
      <c r="L36" s="267"/>
      <c r="M36" s="267"/>
    </row>
    <row r="37" spans="1:18" x14ac:dyDescent="0.25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45"/>
      <c r="M38" s="267"/>
    </row>
    <row r="39" spans="1:18" x14ac:dyDescent="0.25">
      <c r="A39" s="136" t="s">
        <v>43</v>
      </c>
      <c r="B39" s="137"/>
      <c r="C39" s="203"/>
      <c r="D39" s="309" t="s">
        <v>4</v>
      </c>
      <c r="E39" s="310" t="s">
        <v>45</v>
      </c>
      <c r="F39" s="324"/>
      <c r="G39" s="309" t="s">
        <v>4</v>
      </c>
      <c r="H39" s="310" t="s">
        <v>54</v>
      </c>
      <c r="I39" s="159"/>
      <c r="J39" s="310" t="s">
        <v>55</v>
      </c>
      <c r="K39" s="158" t="s">
        <v>56</v>
      </c>
      <c r="L39" s="33"/>
      <c r="M39" s="324"/>
      <c r="P39" s="303"/>
      <c r="Q39" s="303"/>
      <c r="R39" s="304"/>
    </row>
    <row r="40" spans="1:18" x14ac:dyDescent="0.25">
      <c r="A40" s="278" t="s">
        <v>44</v>
      </c>
      <c r="B40" s="279"/>
      <c r="C40" s="281"/>
      <c r="D40" s="311">
        <v>1</v>
      </c>
      <c r="E40" s="462" t="str">
        <f>IF(D40&gt;$R$47,,UPPER(VLOOKUP(D40,'Fiú 3B ELO'!$A$7:$Q$134,2)))</f>
        <v xml:space="preserve">VARGA </v>
      </c>
      <c r="F40" s="462"/>
      <c r="G40" s="318" t="s">
        <v>5</v>
      </c>
      <c r="H40" s="279"/>
      <c r="I40" s="312"/>
      <c r="J40" s="319"/>
      <c r="K40" s="273" t="s">
        <v>46</v>
      </c>
      <c r="L40" s="325"/>
      <c r="M40" s="313"/>
      <c r="P40" s="305"/>
      <c r="Q40" s="305"/>
      <c r="R40" s="306"/>
    </row>
    <row r="41" spans="1:18" x14ac:dyDescent="0.25">
      <c r="A41" s="282" t="s">
        <v>53</v>
      </c>
      <c r="B41" s="157"/>
      <c r="C41" s="284"/>
      <c r="D41" s="314">
        <v>2</v>
      </c>
      <c r="E41" s="463" t="str">
        <f>IF(D41&gt;$R$47,,UPPER(VLOOKUP(D41,'Fiú 3B ELO'!$A$7:$Q$134,2)))</f>
        <v xml:space="preserve">HORVÁTH </v>
      </c>
      <c r="F41" s="463"/>
      <c r="G41" s="320" t="s">
        <v>6</v>
      </c>
      <c r="H41" s="83"/>
      <c r="I41" s="271"/>
      <c r="J41" s="84"/>
      <c r="K41" s="322"/>
      <c r="L41" s="245"/>
      <c r="M41" s="317"/>
      <c r="P41" s="306"/>
      <c r="Q41" s="307"/>
      <c r="R41" s="306"/>
    </row>
    <row r="42" spans="1:18" x14ac:dyDescent="0.25">
      <c r="A42" s="172"/>
      <c r="B42" s="173"/>
      <c r="C42" s="174"/>
      <c r="D42" s="314"/>
      <c r="E42" s="85"/>
      <c r="F42" s="267"/>
      <c r="G42" s="320" t="s">
        <v>7</v>
      </c>
      <c r="H42" s="83"/>
      <c r="I42" s="271"/>
      <c r="J42" s="84"/>
      <c r="K42" s="273" t="s">
        <v>47</v>
      </c>
      <c r="L42" s="325"/>
      <c r="M42" s="313"/>
      <c r="P42" s="305"/>
      <c r="Q42" s="305"/>
      <c r="R42" s="306"/>
    </row>
    <row r="43" spans="1:18" x14ac:dyDescent="0.25">
      <c r="A43" s="148"/>
      <c r="B43" s="116"/>
      <c r="C43" s="149"/>
      <c r="D43" s="314"/>
      <c r="E43" s="85"/>
      <c r="F43" s="267"/>
      <c r="G43" s="320" t="s">
        <v>8</v>
      </c>
      <c r="H43" s="83"/>
      <c r="I43" s="271"/>
      <c r="J43" s="84"/>
      <c r="K43" s="323"/>
      <c r="L43" s="267"/>
      <c r="M43" s="315"/>
      <c r="P43" s="306"/>
      <c r="Q43" s="307"/>
      <c r="R43" s="306"/>
    </row>
    <row r="44" spans="1:18" x14ac:dyDescent="0.25">
      <c r="A44" s="161"/>
      <c r="B44" s="175"/>
      <c r="C44" s="202"/>
      <c r="D44" s="314"/>
      <c r="E44" s="85"/>
      <c r="F44" s="267"/>
      <c r="G44" s="320" t="s">
        <v>9</v>
      </c>
      <c r="H44" s="83"/>
      <c r="I44" s="271"/>
      <c r="J44" s="84"/>
      <c r="K44" s="282"/>
      <c r="L44" s="245"/>
      <c r="M44" s="317"/>
      <c r="P44" s="306"/>
      <c r="Q44" s="307"/>
      <c r="R44" s="306"/>
    </row>
    <row r="45" spans="1:18" x14ac:dyDescent="0.25">
      <c r="A45" s="162"/>
      <c r="B45" s="22"/>
      <c r="C45" s="149"/>
      <c r="D45" s="314"/>
      <c r="E45" s="85"/>
      <c r="F45" s="267"/>
      <c r="G45" s="320" t="s">
        <v>10</v>
      </c>
      <c r="H45" s="83"/>
      <c r="I45" s="271"/>
      <c r="J45" s="84"/>
      <c r="K45" s="273" t="s">
        <v>33</v>
      </c>
      <c r="L45" s="325"/>
      <c r="M45" s="313"/>
      <c r="P45" s="305"/>
      <c r="Q45" s="305"/>
      <c r="R45" s="306"/>
    </row>
    <row r="46" spans="1:18" x14ac:dyDescent="0.25">
      <c r="A46" s="162"/>
      <c r="B46" s="22"/>
      <c r="C46" s="170"/>
      <c r="D46" s="314"/>
      <c r="E46" s="85"/>
      <c r="F46" s="267"/>
      <c r="G46" s="320" t="s">
        <v>11</v>
      </c>
      <c r="H46" s="83"/>
      <c r="I46" s="271"/>
      <c r="J46" s="84"/>
      <c r="K46" s="323"/>
      <c r="L46" s="267"/>
      <c r="M46" s="315"/>
      <c r="P46" s="306"/>
      <c r="Q46" s="307"/>
      <c r="R46" s="306"/>
    </row>
    <row r="47" spans="1:18" x14ac:dyDescent="0.25">
      <c r="A47" s="163"/>
      <c r="B47" s="160"/>
      <c r="C47" s="171"/>
      <c r="D47" s="316"/>
      <c r="E47" s="150"/>
      <c r="F47" s="245"/>
      <c r="G47" s="321" t="s">
        <v>12</v>
      </c>
      <c r="H47" s="157"/>
      <c r="I47" s="275"/>
      <c r="J47" s="152"/>
      <c r="K47" s="282" t="str">
        <f>L4</f>
        <v>Rákóczi Andrea</v>
      </c>
      <c r="L47" s="245"/>
      <c r="M47" s="317"/>
      <c r="P47" s="306"/>
      <c r="Q47" s="307"/>
      <c r="R47" s="308">
        <f>MIN(4,'Fiú 3B ELO'!Q5)</f>
        <v>4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26" priority="3" stopIfTrue="1" operator="equal">
      <formula>"Bye"</formula>
    </cfRule>
  </conditionalFormatting>
  <conditionalFormatting sqref="I11">
    <cfRule type="expression" dxfId="25" priority="1" stopIfTrue="1">
      <formula>$Q11&gt;=1</formula>
    </cfRule>
    <cfRule type="expression" dxfId="24" priority="2" stopIfTrue="1">
      <formula>$O11&gt;=1</formula>
    </cfRule>
  </conditionalFormatting>
  <conditionalFormatting sqref="R47">
    <cfRule type="expression" dxfId="23" priority="4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38">
    <tabColor indexed="11"/>
  </sheetPr>
  <dimension ref="A1:AK49"/>
  <sheetViews>
    <sheetView topLeftCell="A13" workbookViewId="0">
      <selection activeCell="Q27" sqref="Q2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Altalanos!$D$8</f>
        <v>3 fiú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4</v>
      </c>
      <c r="C7" s="291">
        <f>IF($B7="","",VLOOKUP($B7,'Fiú 3B ELO'!$A$7:$O$22,5))</f>
        <v>0</v>
      </c>
      <c r="D7" s="291">
        <f>IF($B7="","",VLOOKUP($B7,'Fiú 3B ELO'!$A$7:$O$22,15))</f>
        <v>0</v>
      </c>
      <c r="E7" s="287" t="str">
        <f>UPPER(IF($B7="","",VLOOKUP($B7,'Fiú 3B ELO'!$A$7:$O$22,2)))</f>
        <v xml:space="preserve">HRABOVSZKI </v>
      </c>
      <c r="F7" s="290"/>
      <c r="G7" s="287" t="str">
        <f>IF($B7="","",VLOOKUP($B7,'Fiú 3B ELO'!$A$7:$O$22,3))</f>
        <v>Bence</v>
      </c>
      <c r="H7" s="290"/>
      <c r="I7" s="287" t="str">
        <f>IF($B7="","",VLOOKUP($B7,'Fiú 3B ELO'!$A$7:$O$22,4))</f>
        <v>Békéscsaba Jankay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110</v>
      </c>
      <c r="S7" s="403" t="s">
        <v>112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111</v>
      </c>
      <c r="S8" s="404" t="s">
        <v>113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ht="13.8" x14ac:dyDescent="0.3">
      <c r="A9" s="301" t="s">
        <v>65</v>
      </c>
      <c r="B9" s="349"/>
      <c r="C9" s="291">
        <v>0</v>
      </c>
      <c r="D9" s="291">
        <v>0</v>
      </c>
      <c r="E9" s="425" t="s">
        <v>372</v>
      </c>
      <c r="F9" s="292"/>
      <c r="G9" s="425" t="s">
        <v>228</v>
      </c>
      <c r="H9" s="292"/>
      <c r="I9" s="426" t="s">
        <v>229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87</v>
      </c>
      <c r="S9" s="405" t="s">
        <v>114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49">
        <v>11</v>
      </c>
      <c r="C11" s="291">
        <f>IF($B11="","",VLOOKUP($B11,'Fiú 3B ELO'!$A$7:$O$22,5))</f>
        <v>0</v>
      </c>
      <c r="D11" s="291">
        <f>IF($B11="","",VLOOKUP($B11,'Fiú 3B ELO'!$A$7:$O$22,15))</f>
        <v>0</v>
      </c>
      <c r="E11" s="286" t="str">
        <f>UPPER(IF($B11="","",VLOOKUP($B11,'Fiú 3B ELO'!$A$7:$O$22,2)))</f>
        <v>SZILÁGYI</v>
      </c>
      <c r="F11" s="292"/>
      <c r="G11" s="286" t="str">
        <f>IF($B11="","",VLOOKUP($B11,'Fiú 3B ELO'!$A$7:$O$22,3))</f>
        <v>Gergő</v>
      </c>
      <c r="H11" s="292"/>
      <c r="I11" s="286" t="str">
        <f>IF($B11="","",VLOOKUP($B11,'Fiú 3B ELO'!$A$7:$O$22,4))</f>
        <v>Egri Kemény Ferenc Sportiskolai Általános Iskola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5</v>
      </c>
      <c r="C13" s="291">
        <f>IF($B13="","",VLOOKUP($B13,'Fiú 3B ELO'!$A$7:$O$22,5))</f>
        <v>0</v>
      </c>
      <c r="D13" s="291">
        <f>IF($B13="","",VLOOKUP($B13,'Fiú 3B ELO'!$A$7:$O$22,15))</f>
        <v>0</v>
      </c>
      <c r="E13" s="287" t="str">
        <f>UPPER(IF($B13="","",VLOOKUP($B13,'Fiú 3B ELO'!$A$7:$O$22,2)))</f>
        <v>BENCS</v>
      </c>
      <c r="F13" s="290"/>
      <c r="G13" s="287" t="str">
        <f>IF($B13="","",VLOOKUP($B13,'Fiú 3B ELO'!$A$7:$O$22,3))</f>
        <v>Benedek</v>
      </c>
      <c r="H13" s="290"/>
      <c r="I13" s="287" t="str">
        <f>IF($B13="","",VLOOKUP($B13,'Fiú 3B ELO'!$A$7:$O$22,4))</f>
        <v>Kazincbarcikai Pollack Mihály Általános Iskola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01" t="s">
        <v>72</v>
      </c>
      <c r="B15" s="349">
        <v>16</v>
      </c>
      <c r="C15" s="291">
        <f>IF($B15="","",VLOOKUP($B15,'Fiú 3B ELO'!$A$7:$O$22,5))</f>
        <v>0</v>
      </c>
      <c r="D15" s="291">
        <f>IF($B15="","",VLOOKUP($B15,'Fiú 3B ELO'!$A$7:$O$22,15))</f>
        <v>0</v>
      </c>
      <c r="E15" s="286" t="str">
        <f>UPPER(IF($B15="","",VLOOKUP($B15,'Fiú 3B ELO'!$A$7:$O$22,2)))</f>
        <v xml:space="preserve">GYURICS </v>
      </c>
      <c r="F15" s="292"/>
      <c r="G15" s="286" t="str">
        <f>IF($B15="","",VLOOKUP($B15,'Fiú 3B ELO'!$A$7:$O$22,3))</f>
        <v>Benett</v>
      </c>
      <c r="H15" s="292"/>
      <c r="I15" s="286" t="str">
        <f>IF($B15="","",VLOOKUP($B15,'Fiú 3B ELO'!$A$7:$O$22,4))</f>
        <v>Dorogi Magyar-Angol Két Tanítási Nyelvű és Sportiskolai Általános Iskola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12</v>
      </c>
      <c r="C17" s="291">
        <f>IF($B17="","",VLOOKUP($B17,'Fiú 3B ELO'!$A$7:$O$22,5))</f>
        <v>0</v>
      </c>
      <c r="D17" s="291">
        <f>IF($B17="","",VLOOKUP($B17,'Fiú 3B ELO'!$A$7:$O$22,15))</f>
        <v>0</v>
      </c>
      <c r="E17" s="286" t="str">
        <f>UPPER(IF($B17="","",VLOOKUP($B17,'Fiú 3B ELO'!$A$7:$O$22,2)))</f>
        <v>MOLNÁR</v>
      </c>
      <c r="F17" s="292"/>
      <c r="G17" s="286" t="str">
        <f>IF($B17="","",VLOOKUP($B17,'Fiú 3B ELO'!$A$7:$O$22,3))</f>
        <v>Máté</v>
      </c>
      <c r="H17" s="292"/>
      <c r="I17" s="286" t="str">
        <f>IF($B17="","",VLOOKUP($B17,'Fiú 3B ELO'!$A$7:$O$22,4))</f>
        <v>Eszterházy Károly Katolikus Egyetem Gyakorló Általános Iskola, Gimnázium, Alapfokú Művészeti Iskola és Technikum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01" t="s">
        <v>73</v>
      </c>
      <c r="B19" s="349"/>
      <c r="C19" s="291">
        <v>0</v>
      </c>
      <c r="D19" s="291">
        <v>0</v>
      </c>
      <c r="E19" s="425" t="s">
        <v>373</v>
      </c>
      <c r="F19" s="292"/>
      <c r="G19" s="425" t="s">
        <v>236</v>
      </c>
      <c r="H19" s="292"/>
      <c r="I19" s="425" t="s">
        <v>374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 t="str">
        <f>E7</f>
        <v xml:space="preserve">HRABOVSZKI </v>
      </c>
      <c r="E22" s="456"/>
      <c r="F22" s="456" t="str">
        <f>E9</f>
        <v>TAKÁCS</v>
      </c>
      <c r="G22" s="456"/>
      <c r="H22" s="456" t="str">
        <f>E11</f>
        <v>SZILÁGYI</v>
      </c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58" t="str">
        <f>E7</f>
        <v xml:space="preserve">HRABOVSZKI </v>
      </c>
      <c r="C23" s="458"/>
      <c r="D23" s="459"/>
      <c r="E23" s="459"/>
      <c r="F23" s="460" t="s">
        <v>531</v>
      </c>
      <c r="G23" s="461"/>
      <c r="H23" s="460" t="s">
        <v>544</v>
      </c>
      <c r="I23" s="461"/>
      <c r="J23" s="439"/>
      <c r="K23" s="439"/>
      <c r="L23" s="267"/>
      <c r="M23" s="336">
        <v>1</v>
      </c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58" t="str">
        <f>E9</f>
        <v>TAKÁCS</v>
      </c>
      <c r="C24" s="458"/>
      <c r="D24" s="460" t="s">
        <v>529</v>
      </c>
      <c r="E24" s="461"/>
      <c r="F24" s="459"/>
      <c r="G24" s="459"/>
      <c r="H24" s="460" t="s">
        <v>529</v>
      </c>
      <c r="I24" s="461"/>
      <c r="J24" s="439"/>
      <c r="K24" s="439"/>
      <c r="L24" s="267"/>
      <c r="M24" s="336">
        <v>3</v>
      </c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58" t="str">
        <f>E11</f>
        <v>SZILÁGYI</v>
      </c>
      <c r="C25" s="458"/>
      <c r="D25" s="460" t="s">
        <v>545</v>
      </c>
      <c r="E25" s="461"/>
      <c r="F25" s="460" t="s">
        <v>531</v>
      </c>
      <c r="G25" s="461"/>
      <c r="H25" s="459"/>
      <c r="I25" s="459"/>
      <c r="J25" s="439"/>
      <c r="K25" s="439"/>
      <c r="L25" s="267"/>
      <c r="M25" s="336">
        <v>2</v>
      </c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439"/>
      <c r="E26" s="439"/>
      <c r="F26" s="439"/>
      <c r="G26" s="439"/>
      <c r="H26" s="439"/>
      <c r="I26" s="439"/>
      <c r="J26" s="439"/>
      <c r="K26" s="439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55"/>
      <c r="C27" s="455"/>
      <c r="D27" s="465" t="str">
        <f>E13</f>
        <v>BENCS</v>
      </c>
      <c r="E27" s="465"/>
      <c r="F27" s="465" t="str">
        <f>E15</f>
        <v xml:space="preserve">GYURICS </v>
      </c>
      <c r="G27" s="465"/>
      <c r="H27" s="465" t="str">
        <f>E17</f>
        <v>MOLNÁR</v>
      </c>
      <c r="I27" s="465"/>
      <c r="J27" s="465" t="str">
        <f>E19</f>
        <v>GYŐRI</v>
      </c>
      <c r="K27" s="465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58" t="str">
        <f>E13</f>
        <v>BENCS</v>
      </c>
      <c r="C28" s="458"/>
      <c r="D28" s="459"/>
      <c r="E28" s="459"/>
      <c r="F28" s="460" t="s">
        <v>539</v>
      </c>
      <c r="G28" s="461"/>
      <c r="H28" s="460" t="s">
        <v>542</v>
      </c>
      <c r="I28" s="461"/>
      <c r="J28" s="464" t="s">
        <v>538</v>
      </c>
      <c r="K28" s="465"/>
      <c r="L28" s="267"/>
      <c r="M28" s="336">
        <v>3</v>
      </c>
    </row>
    <row r="29" spans="1:37" ht="18.75" customHeight="1" x14ac:dyDescent="0.25">
      <c r="A29" s="333" t="s">
        <v>72</v>
      </c>
      <c r="B29" s="458" t="str">
        <f>E15</f>
        <v xml:space="preserve">GYURICS </v>
      </c>
      <c r="C29" s="458"/>
      <c r="D29" s="460" t="s">
        <v>538</v>
      </c>
      <c r="E29" s="461"/>
      <c r="F29" s="459"/>
      <c r="G29" s="459"/>
      <c r="H29" s="460" t="s">
        <v>534</v>
      </c>
      <c r="I29" s="461"/>
      <c r="J29" s="460" t="s">
        <v>538</v>
      </c>
      <c r="K29" s="461"/>
      <c r="L29" s="267"/>
      <c r="M29" s="336">
        <v>1</v>
      </c>
    </row>
    <row r="30" spans="1:37" ht="18.75" customHeight="1" x14ac:dyDescent="0.25">
      <c r="A30" s="333" t="s">
        <v>73</v>
      </c>
      <c r="B30" s="458" t="str">
        <f>E17</f>
        <v>MOLNÁR</v>
      </c>
      <c r="C30" s="458"/>
      <c r="D30" s="460" t="s">
        <v>541</v>
      </c>
      <c r="E30" s="461"/>
      <c r="F30" s="460" t="s">
        <v>535</v>
      </c>
      <c r="G30" s="461"/>
      <c r="H30" s="459"/>
      <c r="I30" s="459"/>
      <c r="J30" s="460" t="s">
        <v>550</v>
      </c>
      <c r="K30" s="461"/>
      <c r="L30" s="267"/>
      <c r="M30" s="336">
        <v>2</v>
      </c>
    </row>
    <row r="31" spans="1:37" ht="18.75" customHeight="1" x14ac:dyDescent="0.25">
      <c r="A31" s="333" t="s">
        <v>77</v>
      </c>
      <c r="B31" s="458" t="str">
        <f>E19</f>
        <v>GYŐRI</v>
      </c>
      <c r="C31" s="458"/>
      <c r="D31" s="460" t="s">
        <v>539</v>
      </c>
      <c r="E31" s="461"/>
      <c r="F31" s="460" t="s">
        <v>539</v>
      </c>
      <c r="G31" s="461"/>
      <c r="H31" s="464" t="s">
        <v>551</v>
      </c>
      <c r="I31" s="465"/>
      <c r="J31" s="459"/>
      <c r="K31" s="459"/>
      <c r="L31" s="267"/>
      <c r="M31" s="336">
        <v>4</v>
      </c>
    </row>
    <row r="32" spans="1:37" ht="18.75" customHeight="1" x14ac:dyDescent="0.25">
      <c r="A32" s="338"/>
      <c r="B32" s="339"/>
      <c r="C32" s="339"/>
      <c r="D32" s="338"/>
      <c r="E32" s="338"/>
      <c r="F32" s="338"/>
      <c r="G32" s="338"/>
      <c r="H32" s="338"/>
      <c r="I32" s="338"/>
      <c r="J32" s="267"/>
      <c r="K32" s="267"/>
      <c r="L32" s="267"/>
      <c r="M32" s="340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58</v>
      </c>
      <c r="B34" s="267"/>
      <c r="C34" s="468" t="str">
        <f>IF(M23=1,B23,IF(M24=1,B24,IF(M25=1,B25,"")))</f>
        <v xml:space="preserve">HRABOVSZKI </v>
      </c>
      <c r="D34" s="468"/>
      <c r="E34" s="301" t="s">
        <v>75</v>
      </c>
      <c r="F34" s="468" t="str">
        <f>IF(M28=1,B28,IF(M29=1,B29,IF(M30=1,B30,IF(M31=1,B31,""))))</f>
        <v xml:space="preserve">GYURICS </v>
      </c>
      <c r="G34" s="468"/>
      <c r="H34" s="267"/>
      <c r="I34" s="245"/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301"/>
      <c r="G35" s="301"/>
      <c r="H35" s="267"/>
      <c r="I35" s="267"/>
      <c r="J35" s="267"/>
      <c r="K35" s="267"/>
      <c r="L35" s="267"/>
      <c r="M35" s="267"/>
    </row>
    <row r="36" spans="1:18" x14ac:dyDescent="0.25">
      <c r="A36" s="267" t="s">
        <v>74</v>
      </c>
      <c r="B36" s="267"/>
      <c r="C36" s="468" t="str">
        <f>IF(M23=2,B23,IF(M24=2,B24,IF(M25=2,B25,"")))</f>
        <v>SZILÁGYI</v>
      </c>
      <c r="D36" s="468"/>
      <c r="E36" s="301" t="s">
        <v>75</v>
      </c>
      <c r="F36" s="468" t="str">
        <f>IF(M28=2,B28,IF(M29=2,B29,IF(M30=2,B30,IF(M31=2,B31,""))))</f>
        <v>MOLNÁR</v>
      </c>
      <c r="G36" s="468"/>
      <c r="H36" s="267"/>
      <c r="I36" s="245"/>
      <c r="J36" s="267"/>
      <c r="K36" s="267"/>
      <c r="L36" s="267"/>
      <c r="M36" s="267"/>
    </row>
    <row r="37" spans="1:18" x14ac:dyDescent="0.25">
      <c r="A37" s="267"/>
      <c r="B37" s="267"/>
      <c r="C37" s="301"/>
      <c r="D37" s="301"/>
      <c r="E37" s="301"/>
      <c r="F37" s="301"/>
      <c r="G37" s="301"/>
      <c r="H37" s="267"/>
      <c r="I37" s="267"/>
      <c r="J37" s="267"/>
      <c r="K37" s="267"/>
      <c r="L37" s="267"/>
      <c r="M37" s="267"/>
    </row>
    <row r="38" spans="1:18" x14ac:dyDescent="0.25">
      <c r="A38" s="267" t="s">
        <v>76</v>
      </c>
      <c r="B38" s="267"/>
      <c r="C38" s="468" t="str">
        <f>IF(M23=3,B23,IF(M24=3,B24,IF(M25=3,B25,"")))</f>
        <v>TAKÁCS</v>
      </c>
      <c r="D38" s="468"/>
      <c r="E38" s="301" t="s">
        <v>75</v>
      </c>
      <c r="F38" s="468" t="str">
        <f>IF(M28=3,B28,IF(M29=3,B29,IF(M30=3,B30,IF(M31=3,B31,""))))</f>
        <v>BENCS</v>
      </c>
      <c r="G38" s="468"/>
      <c r="H38" s="267"/>
      <c r="I38" s="245"/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36" t="s">
        <v>43</v>
      </c>
      <c r="B41" s="137"/>
      <c r="C41" s="203"/>
      <c r="D41" s="309" t="s">
        <v>4</v>
      </c>
      <c r="E41" s="310" t="s">
        <v>45</v>
      </c>
      <c r="F41" s="324"/>
      <c r="G41" s="309" t="s">
        <v>4</v>
      </c>
      <c r="H41" s="310" t="s">
        <v>54</v>
      </c>
      <c r="I41" s="159"/>
      <c r="J41" s="310" t="s">
        <v>55</v>
      </c>
      <c r="K41" s="158" t="s">
        <v>56</v>
      </c>
      <c r="L41" s="33"/>
      <c r="M41" s="324"/>
      <c r="P41" s="303"/>
      <c r="Q41" s="303"/>
      <c r="R41" s="304"/>
    </row>
    <row r="42" spans="1:18" x14ac:dyDescent="0.25">
      <c r="A42" s="278" t="s">
        <v>44</v>
      </c>
      <c r="B42" s="279"/>
      <c r="C42" s="281"/>
      <c r="D42" s="311">
        <v>1</v>
      </c>
      <c r="E42" s="462" t="str">
        <f>IF(D42&gt;$R$44,,UPPER(VLOOKUP(D42,'Fiú 3B ELO'!$A$7:$Q$134,2)))</f>
        <v xml:space="preserve">VARGA </v>
      </c>
      <c r="F42" s="462"/>
      <c r="G42" s="318" t="s">
        <v>5</v>
      </c>
      <c r="H42" s="279"/>
      <c r="I42" s="312"/>
      <c r="J42" s="319"/>
      <c r="K42" s="273" t="s">
        <v>46</v>
      </c>
      <c r="L42" s="325"/>
      <c r="M42" s="313"/>
      <c r="P42" s="305"/>
      <c r="Q42" s="305"/>
      <c r="R42" s="306"/>
    </row>
    <row r="43" spans="1:18" x14ac:dyDescent="0.25">
      <c r="A43" s="282" t="s">
        <v>53</v>
      </c>
      <c r="B43" s="157"/>
      <c r="C43" s="284"/>
      <c r="D43" s="314">
        <v>2</v>
      </c>
      <c r="E43" s="463" t="str">
        <f>IF(D43&gt;$R$44,,UPPER(VLOOKUP(D43,'Fiú 3B ELO'!$A$7:$Q$134,2)))</f>
        <v xml:space="preserve">HORVÁTH </v>
      </c>
      <c r="F43" s="463"/>
      <c r="G43" s="320" t="s">
        <v>6</v>
      </c>
      <c r="H43" s="83"/>
      <c r="I43" s="271"/>
      <c r="J43" s="84"/>
      <c r="K43" s="322"/>
      <c r="L43" s="245"/>
      <c r="M43" s="317"/>
      <c r="P43" s="306"/>
      <c r="Q43" s="307"/>
      <c r="R43" s="306"/>
    </row>
    <row r="44" spans="1:18" x14ac:dyDescent="0.25">
      <c r="A44" s="172"/>
      <c r="B44" s="173"/>
      <c r="C44" s="174"/>
      <c r="D44" s="314"/>
      <c r="E44" s="85"/>
      <c r="F44" s="267"/>
      <c r="G44" s="320" t="s">
        <v>7</v>
      </c>
      <c r="H44" s="83"/>
      <c r="I44" s="271"/>
      <c r="J44" s="84"/>
      <c r="K44" s="273" t="s">
        <v>47</v>
      </c>
      <c r="L44" s="325"/>
      <c r="M44" s="313"/>
      <c r="P44" s="305"/>
      <c r="Q44" s="305"/>
      <c r="R44" s="308">
        <f>MIN(4,'Fiú 3B ELO'!Q2)</f>
        <v>4</v>
      </c>
    </row>
    <row r="45" spans="1:18" x14ac:dyDescent="0.25">
      <c r="A45" s="148"/>
      <c r="B45" s="116"/>
      <c r="C45" s="149"/>
      <c r="D45" s="314"/>
      <c r="E45" s="85"/>
      <c r="F45" s="267"/>
      <c r="G45" s="320" t="s">
        <v>8</v>
      </c>
      <c r="H45" s="83"/>
      <c r="I45" s="271"/>
      <c r="J45" s="84"/>
      <c r="K45" s="323"/>
      <c r="L45" s="267"/>
      <c r="M45" s="315"/>
      <c r="P45" s="306"/>
      <c r="Q45" s="307"/>
      <c r="R45" s="306"/>
    </row>
    <row r="46" spans="1:18" x14ac:dyDescent="0.25">
      <c r="A46" s="161"/>
      <c r="B46" s="175"/>
      <c r="C46" s="202"/>
      <c r="D46" s="314"/>
      <c r="E46" s="85"/>
      <c r="F46" s="267"/>
      <c r="G46" s="320" t="s">
        <v>9</v>
      </c>
      <c r="H46" s="83"/>
      <c r="I46" s="271"/>
      <c r="J46" s="84"/>
      <c r="K46" s="282"/>
      <c r="L46" s="245"/>
      <c r="M46" s="317"/>
      <c r="P46" s="306"/>
      <c r="Q46" s="307"/>
      <c r="R46" s="306"/>
    </row>
    <row r="47" spans="1:18" x14ac:dyDescent="0.25">
      <c r="A47" s="162"/>
      <c r="B47" s="22"/>
      <c r="C47" s="149"/>
      <c r="D47" s="314"/>
      <c r="E47" s="85"/>
      <c r="F47" s="267"/>
      <c r="G47" s="320" t="s">
        <v>10</v>
      </c>
      <c r="H47" s="83"/>
      <c r="I47" s="271"/>
      <c r="J47" s="84"/>
      <c r="K47" s="273" t="s">
        <v>33</v>
      </c>
      <c r="L47" s="325"/>
      <c r="M47" s="313"/>
      <c r="P47" s="305"/>
      <c r="Q47" s="305"/>
      <c r="R47" s="306"/>
    </row>
    <row r="48" spans="1:18" x14ac:dyDescent="0.25">
      <c r="A48" s="162"/>
      <c r="B48" s="22"/>
      <c r="C48" s="170"/>
      <c r="D48" s="314"/>
      <c r="E48" s="85"/>
      <c r="F48" s="267"/>
      <c r="G48" s="320" t="s">
        <v>11</v>
      </c>
      <c r="H48" s="83"/>
      <c r="I48" s="271"/>
      <c r="J48" s="84"/>
      <c r="K48" s="323"/>
      <c r="L48" s="267"/>
      <c r="M48" s="315"/>
      <c r="P48" s="306"/>
      <c r="Q48" s="307"/>
      <c r="R48" s="306"/>
    </row>
    <row r="49" spans="1:18" x14ac:dyDescent="0.25">
      <c r="A49" s="163"/>
      <c r="B49" s="160"/>
      <c r="C49" s="171"/>
      <c r="D49" s="316"/>
      <c r="E49" s="150"/>
      <c r="F49" s="245"/>
      <c r="G49" s="321" t="s">
        <v>12</v>
      </c>
      <c r="H49" s="157"/>
      <c r="I49" s="275"/>
      <c r="J49" s="152"/>
      <c r="K49" s="282" t="str">
        <f>L4</f>
        <v>Rákóczi Andrea</v>
      </c>
      <c r="L49" s="245"/>
      <c r="M49" s="317"/>
      <c r="P49" s="306"/>
      <c r="Q49" s="307"/>
      <c r="R49" s="308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22" priority="1" stopIfTrue="1" operator="equal">
      <formula>"Bye"</formula>
    </cfRule>
  </conditionalFormatting>
  <conditionalFormatting sqref="R44 R49">
    <cfRule type="expression" dxfId="2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59">
    <tabColor indexed="11"/>
  </sheetPr>
  <dimension ref="A1:AK53"/>
  <sheetViews>
    <sheetView topLeftCell="A16" workbookViewId="0">
      <selection activeCell="P37" sqref="P3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IF(Y5=1,CONCATENATE(VLOOKUP(Y3,AA16:AH30,2)),CONCATENATE(VLOOKUP(Y3,AA2:AK13,2)))</f>
        <v>#N/A</v>
      </c>
      <c r="AC1" s="362" t="e">
        <f>IF(Y5=1,CONCATENATE(VLOOKUP(Y3,AA16:AK30,3)),CONCATENATE(VLOOKUP(Y3,AA2:AK13,3)))</f>
        <v>#N/A</v>
      </c>
      <c r="AD1" s="362" t="e">
        <f>IF(Y5=1,CONCATENATE(VLOOKUP(Y3,AA16:AK30,4)),CONCATENATE(VLOOKUP(Y3,AA2:AK13,4)))</f>
        <v>#N/A</v>
      </c>
      <c r="AE1" s="362" t="e">
        <f>IF(Y5=1,CONCATENATE(VLOOKUP(Y3,AA16:AK30,5)),CONCATENATE(VLOOKUP(Y3,AA2:AK13,5)))</f>
        <v>#N/A</v>
      </c>
      <c r="AF1" s="362" t="e">
        <f>IF(Y5=1,CONCATENATE(VLOOKUP(Y3,AA16:AK30,6)),CONCATENATE(VLOOKUP(Y3,AA2:AK13,6)))</f>
        <v>#N/A</v>
      </c>
      <c r="AG1" s="362" t="e">
        <f>IF(Y5=1,CONCATENATE(VLOOKUP(Y3,AA16:AK30,7)),CONCATENATE(VLOOKUP(Y3,AA2:AK13,7)))</f>
        <v>#N/A</v>
      </c>
      <c r="AH1" s="362" t="e">
        <f>IF(Y5=1,CONCATENATE(VLOOKUP(Y3,AA16:AK30,8)),CONCATENATE(VLOOKUP(Y3,AA2:AK13,8)))</f>
        <v>#N/A</v>
      </c>
      <c r="AI1" s="362" t="e">
        <f>IF(Y5=1,CONCATENATE(VLOOKUP(Y3,AA16:AK30,9)),CONCATENATE(VLOOKUP(Y3,AA2:AK13,9)))</f>
        <v>#N/A</v>
      </c>
      <c r="AJ1" s="362" t="e">
        <f>IF(Y5=1,CONCATENATE(VLOOKUP(Y3,AA16:AK30,10)),CONCATENATE(VLOOKUP(Y3,AA2:AK13,10)))</f>
        <v>#N/A</v>
      </c>
      <c r="AK1" s="362" t="e">
        <f>IF(Y5=1,CONCATENATE(VLOOKUP(Y3,AA16:AK30,11)),CONCATENATE(VLOOKUP(Y3,AA2:AK13,11)))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411" t="str">
        <f>Altalanos!$D$8</f>
        <v>3 fiú B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6</v>
      </c>
      <c r="C7" s="291">
        <f>IF($B7="","",VLOOKUP($B7,'Fiú 3B ELO'!$A$7:$O$22,5))</f>
        <v>0</v>
      </c>
      <c r="D7" s="291">
        <f>IF($B7="","",VLOOKUP($B7,'Fiú 3B ELO'!$A$7:$O$22,15))</f>
        <v>0</v>
      </c>
      <c r="E7" s="287" t="str">
        <f>UPPER(IF($B7="","",VLOOKUP($B7,'Fiú 3B ELO'!$A$7:$O$22,2)))</f>
        <v>BABIK</v>
      </c>
      <c r="F7" s="290"/>
      <c r="G7" s="287" t="str">
        <f>IF($B7="","",VLOOKUP($B7,'Fiú 3B ELO'!$A$7:$O$22,3))</f>
        <v>Sándor</v>
      </c>
      <c r="H7" s="290"/>
      <c r="I7" s="287" t="str">
        <f>IF($B7="","",VLOOKUP($B7,'Fiú 3B ELO'!$A$7:$O$22,4))</f>
        <v>Kazincbarcikai Pollack Mihály Általános Iskola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115</v>
      </c>
      <c r="S7" s="403" t="s">
        <v>116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113</v>
      </c>
      <c r="S8" s="404" t="s">
        <v>117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ht="14.4" x14ac:dyDescent="0.3">
      <c r="A9" s="301" t="s">
        <v>65</v>
      </c>
      <c r="B9" s="349"/>
      <c r="C9" s="291">
        <v>0</v>
      </c>
      <c r="D9" s="291">
        <v>0</v>
      </c>
      <c r="E9" s="425" t="s">
        <v>375</v>
      </c>
      <c r="F9" s="292"/>
      <c r="G9" s="425" t="s">
        <v>238</v>
      </c>
      <c r="H9" s="292"/>
      <c r="I9" s="428" t="s">
        <v>239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110</v>
      </c>
      <c r="S9" s="405" t="s">
        <v>118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ht="14.4" x14ac:dyDescent="0.3">
      <c r="A11" s="301" t="s">
        <v>66</v>
      </c>
      <c r="B11" s="349"/>
      <c r="C11" s="291">
        <v>0</v>
      </c>
      <c r="D11" s="291">
        <v>0</v>
      </c>
      <c r="E11" s="425" t="s">
        <v>376</v>
      </c>
      <c r="F11" s="292"/>
      <c r="G11" s="425" t="s">
        <v>201</v>
      </c>
      <c r="H11" s="292"/>
      <c r="I11" s="428" t="s">
        <v>226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96" t="s">
        <v>71</v>
      </c>
      <c r="B13" s="399"/>
      <c r="C13" s="291">
        <v>0</v>
      </c>
      <c r="D13" s="291">
        <v>0</v>
      </c>
      <c r="E13" s="425" t="s">
        <v>377</v>
      </c>
      <c r="F13" s="292"/>
      <c r="G13" s="425" t="s">
        <v>233</v>
      </c>
      <c r="H13" s="292"/>
      <c r="I13" s="425" t="s">
        <v>374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34" t="s">
        <v>72</v>
      </c>
      <c r="B15" s="398">
        <v>7</v>
      </c>
      <c r="C15" s="291">
        <f>IF($B15="","",VLOOKUP($B15,'Fiú 3B ELO'!$A$7:$O$22,5))</f>
        <v>0</v>
      </c>
      <c r="D15" s="397">
        <f>IF($B15="","",VLOOKUP($B15,'Fiú 3B ELO'!$A$7:$O$22,15))</f>
        <v>0</v>
      </c>
      <c r="E15" s="287" t="str">
        <f>UPPER(IF($B15="","",VLOOKUP($B15,'Fiú 3B ELO'!$A$7:$O$22,2)))</f>
        <v>TENKE</v>
      </c>
      <c r="F15" s="290"/>
      <c r="G15" s="287" t="str">
        <f>IF($B15="","",VLOOKUP($B15,'Fiú 3B ELO'!$A$7:$O$22,3))</f>
        <v>Trisztán</v>
      </c>
      <c r="H15" s="290"/>
      <c r="I15" s="287" t="str">
        <f>IF($B15="","",VLOOKUP($B15,'Fiú 3B ELO'!$A$7:$O$22,4))</f>
        <v>Szent Gellért Katolikus Általános Iskola és Gimnázium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15</v>
      </c>
      <c r="C17" s="291">
        <f>IF($B17="","",VLOOKUP($B17,'Fiú 3B ELO'!$A$7:$O$22,5))</f>
        <v>0</v>
      </c>
      <c r="D17" s="291">
        <f>IF($B17="","",VLOOKUP($B17,'Fiú 3B ELO'!$A$7:$O$22,15))</f>
        <v>0</v>
      </c>
      <c r="E17" s="286" t="str">
        <f>UPPER(IF($B17="","",VLOOKUP($B17,'Fiú 3B ELO'!$A$7:$O$22,2)))</f>
        <v>SZIRJÁK</v>
      </c>
      <c r="F17" s="292"/>
      <c r="G17" s="286" t="str">
        <f>IF($B17="","",VLOOKUP($B17,'Fiú 3B ELO'!$A$7:$O$22,3))</f>
        <v>Zalán</v>
      </c>
      <c r="H17" s="292"/>
      <c r="I17" s="286" t="str">
        <f>IF($B17="","",VLOOKUP($B17,'Fiú 3B ELO'!$A$7:$O$22,4))</f>
        <v>Talentum Angol-Magyar Két Tanítási Nyelvű Általános Iskola és Művészeti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96" t="s">
        <v>77</v>
      </c>
      <c r="B19" s="349">
        <v>10</v>
      </c>
      <c r="C19" s="291">
        <f>IF($B19="","",VLOOKUP($B19,'Fiú 3B ELO'!$A$7:$O$22,5))</f>
        <v>0</v>
      </c>
      <c r="D19" s="291">
        <f>IF($B19="","",VLOOKUP($B19,'Fiú 3B ELO'!$A$7:$O$22,15))</f>
        <v>0</v>
      </c>
      <c r="E19" s="286" t="str">
        <f>UPPER(IF($B19="","",VLOOKUP($B19,'Fiú 3B ELO'!$A$7:$O$22,2)))</f>
        <v>MCLEAN</v>
      </c>
      <c r="F19" s="292"/>
      <c r="G19" s="286" t="str">
        <f>IF($B19="","",VLOOKUP($B19,'Fiú 3B ELO'!$A$7:$O$22,3))</f>
        <v>Jack</v>
      </c>
      <c r="H19" s="292"/>
      <c r="I19" s="286" t="str">
        <f>IF($B19="","",VLOOKUP($B19,'Fiú 3B ELO'!$A$7:$O$22,4))</f>
        <v xml:space="preserve">Debreceni Nemzetközi Iskola 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301"/>
      <c r="B20" s="348"/>
      <c r="C20" s="302"/>
      <c r="D20" s="302"/>
      <c r="E20" s="302"/>
      <c r="F20" s="302"/>
      <c r="G20" s="302"/>
      <c r="H20" s="302"/>
      <c r="I20" s="302"/>
      <c r="J20" s="267"/>
      <c r="K20" s="301"/>
      <c r="L20" s="301"/>
      <c r="M20" s="365"/>
      <c r="Y20" s="351"/>
      <c r="Z20" s="351"/>
      <c r="AA20" s="351" t="s">
        <v>89</v>
      </c>
      <c r="AB20" s="351">
        <v>200</v>
      </c>
      <c r="AC20" s="351">
        <v>150</v>
      </c>
      <c r="AD20" s="351">
        <v>130</v>
      </c>
      <c r="AE20" s="351">
        <v>110</v>
      </c>
      <c r="AF20" s="351">
        <v>95</v>
      </c>
      <c r="AG20" s="351">
        <v>80</v>
      </c>
      <c r="AH20" s="351">
        <v>70</v>
      </c>
      <c r="AI20" s="351">
        <v>60</v>
      </c>
      <c r="AJ20" s="351">
        <v>55</v>
      </c>
      <c r="AK20" s="351">
        <v>50</v>
      </c>
    </row>
    <row r="21" spans="1:37" ht="14.4" x14ac:dyDescent="0.3">
      <c r="A21" s="396" t="s">
        <v>108</v>
      </c>
      <c r="B21" s="349"/>
      <c r="C21" s="291">
        <v>0</v>
      </c>
      <c r="D21" s="291">
        <v>0</v>
      </c>
      <c r="E21" s="425" t="s">
        <v>378</v>
      </c>
      <c r="F21" s="292"/>
      <c r="G21" s="425" t="s">
        <v>231</v>
      </c>
      <c r="H21" s="292"/>
      <c r="I21" s="428" t="s">
        <v>170</v>
      </c>
      <c r="J21" s="267"/>
      <c r="K21" s="363"/>
      <c r="L21" s="353" t="str">
        <f>IF(K21="","",CONCATENATE(VLOOKUP($Y$3,$AB$1:$AK$1,K21)," pont"))</f>
        <v/>
      </c>
      <c r="M21" s="364"/>
      <c r="Y21" s="351"/>
      <c r="Z21" s="351"/>
      <c r="AA21" s="351" t="s">
        <v>90</v>
      </c>
      <c r="AB21" s="351">
        <v>150</v>
      </c>
      <c r="AC21" s="351">
        <v>120</v>
      </c>
      <c r="AD21" s="351">
        <v>100</v>
      </c>
      <c r="AE21" s="351">
        <v>80</v>
      </c>
      <c r="AF21" s="351">
        <v>70</v>
      </c>
      <c r="AG21" s="351">
        <v>60</v>
      </c>
      <c r="AH21" s="351">
        <v>55</v>
      </c>
      <c r="AI21" s="351">
        <v>50</v>
      </c>
      <c r="AJ21" s="351">
        <v>45</v>
      </c>
      <c r="AK21" s="351">
        <v>40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51"/>
      <c r="Z22" s="351"/>
      <c r="AA22" s="351" t="s">
        <v>91</v>
      </c>
      <c r="AB22" s="351">
        <v>120</v>
      </c>
      <c r="AC22" s="351">
        <v>90</v>
      </c>
      <c r="AD22" s="351">
        <v>65</v>
      </c>
      <c r="AE22" s="351">
        <v>55</v>
      </c>
      <c r="AF22" s="351">
        <v>50</v>
      </c>
      <c r="AG22" s="351">
        <v>45</v>
      </c>
      <c r="AH22" s="351">
        <v>40</v>
      </c>
      <c r="AI22" s="351">
        <v>35</v>
      </c>
      <c r="AJ22" s="351">
        <v>25</v>
      </c>
      <c r="AK22" s="351">
        <v>20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92</v>
      </c>
      <c r="AB23" s="351">
        <v>90</v>
      </c>
      <c r="AC23" s="351">
        <v>60</v>
      </c>
      <c r="AD23" s="351">
        <v>45</v>
      </c>
      <c r="AE23" s="351">
        <v>34</v>
      </c>
      <c r="AF23" s="351">
        <v>27</v>
      </c>
      <c r="AG23" s="351">
        <v>22</v>
      </c>
      <c r="AH23" s="351">
        <v>18</v>
      </c>
      <c r="AI23" s="351">
        <v>15</v>
      </c>
      <c r="AJ23" s="351">
        <v>12</v>
      </c>
      <c r="AK23" s="351">
        <v>9</v>
      </c>
    </row>
    <row r="24" spans="1:37" ht="18.75" customHeight="1" x14ac:dyDescent="0.25">
      <c r="A24" s="267"/>
      <c r="B24" s="455"/>
      <c r="C24" s="455"/>
      <c r="D24" s="456" t="str">
        <f>E7</f>
        <v>BABIK</v>
      </c>
      <c r="E24" s="456"/>
      <c r="F24" s="456" t="str">
        <f>E9</f>
        <v>MORAVSZKI</v>
      </c>
      <c r="G24" s="456"/>
      <c r="H24" s="456" t="str">
        <f>E11</f>
        <v>MÉMETH</v>
      </c>
      <c r="I24" s="456"/>
      <c r="J24" s="456" t="str">
        <f>E13</f>
        <v>BEJCZI</v>
      </c>
      <c r="K24" s="456"/>
      <c r="L24" s="267"/>
      <c r="M24" s="335" t="s">
        <v>68</v>
      </c>
      <c r="Y24" s="351"/>
      <c r="Z24" s="351"/>
      <c r="AA24" s="351" t="s">
        <v>93</v>
      </c>
      <c r="AB24" s="351">
        <v>60</v>
      </c>
      <c r="AC24" s="351">
        <v>40</v>
      </c>
      <c r="AD24" s="351">
        <v>30</v>
      </c>
      <c r="AE24" s="351">
        <v>20</v>
      </c>
      <c r="AF24" s="351">
        <v>18</v>
      </c>
      <c r="AG24" s="351">
        <v>15</v>
      </c>
      <c r="AH24" s="351">
        <v>12</v>
      </c>
      <c r="AI24" s="351">
        <v>10</v>
      </c>
      <c r="AJ24" s="351">
        <v>8</v>
      </c>
      <c r="AK24" s="351">
        <v>6</v>
      </c>
    </row>
    <row r="25" spans="1:37" ht="18.75" customHeight="1" x14ac:dyDescent="0.25">
      <c r="A25" s="333" t="s">
        <v>64</v>
      </c>
      <c r="B25" s="458" t="str">
        <f>E7</f>
        <v>BABIK</v>
      </c>
      <c r="C25" s="458"/>
      <c r="D25" s="459"/>
      <c r="E25" s="459"/>
      <c r="F25" s="460" t="s">
        <v>531</v>
      </c>
      <c r="G25" s="461"/>
      <c r="H25" s="460" t="s">
        <v>538</v>
      </c>
      <c r="I25" s="461"/>
      <c r="J25" s="464" t="s">
        <v>539</v>
      </c>
      <c r="K25" s="465"/>
      <c r="L25" s="267"/>
      <c r="M25" s="336">
        <v>2</v>
      </c>
      <c r="Y25" s="351"/>
      <c r="Z25" s="351"/>
      <c r="AA25" s="351" t="s">
        <v>94</v>
      </c>
      <c r="AB25" s="351">
        <v>40</v>
      </c>
      <c r="AC25" s="351">
        <v>25</v>
      </c>
      <c r="AD25" s="351">
        <v>18</v>
      </c>
      <c r="AE25" s="351">
        <v>13</v>
      </c>
      <c r="AF25" s="351">
        <v>8</v>
      </c>
      <c r="AG25" s="351">
        <v>7</v>
      </c>
      <c r="AH25" s="351">
        <v>6</v>
      </c>
      <c r="AI25" s="351">
        <v>5</v>
      </c>
      <c r="AJ25" s="351">
        <v>4</v>
      </c>
      <c r="AK25" s="351">
        <v>3</v>
      </c>
    </row>
    <row r="26" spans="1:37" ht="18.75" customHeight="1" x14ac:dyDescent="0.25">
      <c r="A26" s="333" t="s">
        <v>65</v>
      </c>
      <c r="B26" s="458" t="str">
        <f>E9</f>
        <v>MORAVSZKI</v>
      </c>
      <c r="C26" s="458"/>
      <c r="D26" s="460" t="s">
        <v>529</v>
      </c>
      <c r="E26" s="461"/>
      <c r="F26" s="459"/>
      <c r="G26" s="459"/>
      <c r="H26" s="460" t="s">
        <v>530</v>
      </c>
      <c r="I26" s="461"/>
      <c r="J26" s="460" t="s">
        <v>530</v>
      </c>
      <c r="K26" s="461"/>
      <c r="L26" s="267"/>
      <c r="M26" s="336">
        <v>4</v>
      </c>
      <c r="Y26" s="351"/>
      <c r="Z26" s="351"/>
      <c r="AA26" s="351" t="s">
        <v>95</v>
      </c>
      <c r="AB26" s="351">
        <v>25</v>
      </c>
      <c r="AC26" s="351">
        <v>15</v>
      </c>
      <c r="AD26" s="351">
        <v>13</v>
      </c>
      <c r="AE26" s="351">
        <v>7</v>
      </c>
      <c r="AF26" s="351">
        <v>6</v>
      </c>
      <c r="AG26" s="351">
        <v>5</v>
      </c>
      <c r="AH26" s="351">
        <v>4</v>
      </c>
      <c r="AI26" s="351">
        <v>3</v>
      </c>
      <c r="AJ26" s="351">
        <v>2</v>
      </c>
      <c r="AK26" s="351">
        <v>1</v>
      </c>
    </row>
    <row r="27" spans="1:37" ht="18.75" customHeight="1" x14ac:dyDescent="0.25">
      <c r="A27" s="333" t="s">
        <v>66</v>
      </c>
      <c r="B27" s="458" t="str">
        <f>E11</f>
        <v>MÉMETH</v>
      </c>
      <c r="C27" s="458"/>
      <c r="D27" s="460" t="s">
        <v>539</v>
      </c>
      <c r="E27" s="461"/>
      <c r="F27" s="460" t="s">
        <v>531</v>
      </c>
      <c r="G27" s="461"/>
      <c r="H27" s="459"/>
      <c r="I27" s="459"/>
      <c r="J27" s="460" t="s">
        <v>539</v>
      </c>
      <c r="K27" s="461"/>
      <c r="L27" s="267"/>
      <c r="M27" s="336">
        <v>3</v>
      </c>
      <c r="Y27" s="351"/>
      <c r="Z27" s="351"/>
      <c r="AA27" s="351" t="s">
        <v>100</v>
      </c>
      <c r="AB27" s="351">
        <v>15</v>
      </c>
      <c r="AC27" s="351">
        <v>10</v>
      </c>
      <c r="AD27" s="351">
        <v>8</v>
      </c>
      <c r="AE27" s="351">
        <v>4</v>
      </c>
      <c r="AF27" s="351">
        <v>3</v>
      </c>
      <c r="AG27" s="351">
        <v>2</v>
      </c>
      <c r="AH27" s="351">
        <v>1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95" t="s">
        <v>71</v>
      </c>
      <c r="B28" s="458" t="str">
        <f>E13</f>
        <v>BEJCZI</v>
      </c>
      <c r="C28" s="458"/>
      <c r="D28" s="460" t="s">
        <v>538</v>
      </c>
      <c r="E28" s="461"/>
      <c r="F28" s="460" t="s">
        <v>531</v>
      </c>
      <c r="G28" s="461"/>
      <c r="H28" s="464" t="s">
        <v>538</v>
      </c>
      <c r="I28" s="465"/>
      <c r="J28" s="459"/>
      <c r="K28" s="459"/>
      <c r="L28" s="267"/>
      <c r="M28" s="336">
        <v>1</v>
      </c>
      <c r="Y28" s="351"/>
      <c r="Z28" s="351"/>
      <c r="AA28" s="351" t="s">
        <v>100</v>
      </c>
      <c r="AB28" s="351">
        <v>15</v>
      </c>
      <c r="AC28" s="351">
        <v>10</v>
      </c>
      <c r="AD28" s="351">
        <v>8</v>
      </c>
      <c r="AE28" s="351">
        <v>4</v>
      </c>
      <c r="AF28" s="351">
        <v>3</v>
      </c>
      <c r="AG28" s="351">
        <v>2</v>
      </c>
      <c r="AH28" s="351">
        <v>1</v>
      </c>
      <c r="AI28" s="351">
        <v>0</v>
      </c>
      <c r="AJ28" s="351">
        <v>0</v>
      </c>
      <c r="AK28" s="351">
        <v>0</v>
      </c>
    </row>
    <row r="29" spans="1:37" x14ac:dyDescent="0.25">
      <c r="A29" s="267"/>
      <c r="B29" s="267"/>
      <c r="C29" s="267"/>
      <c r="D29" s="439"/>
      <c r="E29" s="439"/>
      <c r="F29" s="439"/>
      <c r="G29" s="439"/>
      <c r="H29" s="439"/>
      <c r="I29" s="439"/>
      <c r="J29" s="439"/>
      <c r="K29" s="439"/>
      <c r="L29" s="267"/>
      <c r="M29" s="337"/>
      <c r="Y29" s="351"/>
      <c r="Z29" s="351"/>
      <c r="AA29" s="351" t="s">
        <v>96</v>
      </c>
      <c r="AB29" s="351">
        <v>10</v>
      </c>
      <c r="AC29" s="351">
        <v>6</v>
      </c>
      <c r="AD29" s="351">
        <v>4</v>
      </c>
      <c r="AE29" s="351">
        <v>2</v>
      </c>
      <c r="AF29" s="351">
        <v>1</v>
      </c>
      <c r="AG29" s="351">
        <v>0</v>
      </c>
      <c r="AH29" s="351">
        <v>0</v>
      </c>
      <c r="AI29" s="351">
        <v>0</v>
      </c>
      <c r="AJ29" s="351">
        <v>0</v>
      </c>
      <c r="AK29" s="351">
        <v>0</v>
      </c>
    </row>
    <row r="30" spans="1:37" ht="18.75" customHeight="1" x14ac:dyDescent="0.25">
      <c r="A30" s="267"/>
      <c r="B30" s="455"/>
      <c r="C30" s="455"/>
      <c r="D30" s="465" t="str">
        <f>E15</f>
        <v>TENKE</v>
      </c>
      <c r="E30" s="465"/>
      <c r="F30" s="465" t="str">
        <f>E17</f>
        <v>SZIRJÁK</v>
      </c>
      <c r="G30" s="465"/>
      <c r="H30" s="471" t="str">
        <f>E19</f>
        <v>MCLEAN</v>
      </c>
      <c r="I30" s="472"/>
      <c r="J30" s="465" t="str">
        <f>E21</f>
        <v>VÍZKELETI</v>
      </c>
      <c r="K30" s="465"/>
      <c r="L30" s="267"/>
      <c r="M30" s="337"/>
      <c r="Y30" s="351"/>
      <c r="Z30" s="351"/>
      <c r="AA30" s="351" t="s">
        <v>97</v>
      </c>
      <c r="AB30" s="351">
        <v>3</v>
      </c>
      <c r="AC30" s="351">
        <v>2</v>
      </c>
      <c r="AD30" s="351">
        <v>1</v>
      </c>
      <c r="AE30" s="351">
        <v>0</v>
      </c>
      <c r="AF30" s="351">
        <v>0</v>
      </c>
      <c r="AG30" s="351">
        <v>0</v>
      </c>
      <c r="AH30" s="351">
        <v>0</v>
      </c>
      <c r="AI30" s="351">
        <v>0</v>
      </c>
      <c r="AJ30" s="351">
        <v>0</v>
      </c>
      <c r="AK30" s="351">
        <v>0</v>
      </c>
    </row>
    <row r="31" spans="1:37" ht="18.75" customHeight="1" x14ac:dyDescent="0.25">
      <c r="A31" s="395" t="s">
        <v>72</v>
      </c>
      <c r="B31" s="469" t="str">
        <f>E15</f>
        <v>TENKE</v>
      </c>
      <c r="C31" s="470"/>
      <c r="D31" s="459"/>
      <c r="E31" s="459"/>
      <c r="F31" s="460" t="s">
        <v>548</v>
      </c>
      <c r="G31" s="461"/>
      <c r="H31" s="460" t="s">
        <v>537</v>
      </c>
      <c r="I31" s="461"/>
      <c r="J31" s="464" t="s">
        <v>536</v>
      </c>
      <c r="K31" s="465"/>
      <c r="L31" s="267"/>
      <c r="M31" s="336">
        <v>1</v>
      </c>
    </row>
    <row r="32" spans="1:37" ht="18.75" customHeight="1" x14ac:dyDescent="0.25">
      <c r="A32" s="395" t="s">
        <v>73</v>
      </c>
      <c r="B32" s="458" t="str">
        <f>E17</f>
        <v>SZIRJÁK</v>
      </c>
      <c r="C32" s="458"/>
      <c r="D32" s="460" t="s">
        <v>549</v>
      </c>
      <c r="E32" s="461"/>
      <c r="F32" s="459"/>
      <c r="G32" s="459"/>
      <c r="H32" s="460" t="s">
        <v>534</v>
      </c>
      <c r="I32" s="461"/>
      <c r="J32" s="460" t="s">
        <v>538</v>
      </c>
      <c r="K32" s="461"/>
      <c r="L32" s="267"/>
      <c r="M32" s="336">
        <v>2</v>
      </c>
    </row>
    <row r="33" spans="1:18" ht="18.75" customHeight="1" x14ac:dyDescent="0.25">
      <c r="A33" s="395" t="s">
        <v>77</v>
      </c>
      <c r="B33" s="458" t="str">
        <f>E19</f>
        <v>MCLEAN</v>
      </c>
      <c r="C33" s="458"/>
      <c r="D33" s="460" t="s">
        <v>536</v>
      </c>
      <c r="E33" s="461"/>
      <c r="F33" s="460" t="s">
        <v>535</v>
      </c>
      <c r="G33" s="461"/>
      <c r="H33" s="459"/>
      <c r="I33" s="459"/>
      <c r="J33" s="460" t="s">
        <v>537</v>
      </c>
      <c r="K33" s="461"/>
      <c r="L33" s="267"/>
      <c r="M33" s="336">
        <v>4</v>
      </c>
    </row>
    <row r="34" spans="1:18" ht="18.75" customHeight="1" x14ac:dyDescent="0.25">
      <c r="A34" s="395" t="s">
        <v>108</v>
      </c>
      <c r="B34" s="458" t="str">
        <f>E21</f>
        <v>VÍZKELETI</v>
      </c>
      <c r="C34" s="458"/>
      <c r="D34" s="460" t="s">
        <v>537</v>
      </c>
      <c r="E34" s="461"/>
      <c r="F34" s="460" t="s">
        <v>539</v>
      </c>
      <c r="G34" s="461"/>
      <c r="H34" s="464" t="s">
        <v>536</v>
      </c>
      <c r="I34" s="465"/>
      <c r="J34" s="459"/>
      <c r="K34" s="459"/>
      <c r="L34" s="267"/>
      <c r="M34" s="336">
        <v>3</v>
      </c>
    </row>
    <row r="35" spans="1:18" ht="18.75" customHeight="1" x14ac:dyDescent="0.25">
      <c r="A35" s="338"/>
      <c r="B35" s="339"/>
      <c r="C35" s="339"/>
      <c r="D35" s="338"/>
      <c r="E35" s="338"/>
      <c r="F35" s="338"/>
      <c r="G35" s="338"/>
      <c r="H35" s="338"/>
      <c r="I35" s="338"/>
      <c r="J35" s="267"/>
      <c r="K35" s="267"/>
      <c r="L35" s="267"/>
      <c r="M35" s="340"/>
    </row>
    <row r="36" spans="1:18" x14ac:dyDescent="0.2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8" x14ac:dyDescent="0.25">
      <c r="A37" s="267" t="s">
        <v>58</v>
      </c>
      <c r="B37" s="267"/>
      <c r="C37" s="468" t="str">
        <f>IF(M25=1,B25,IF(M26=1,B26,IF(M27=1,B27,IF(M28=1,B28,""))))</f>
        <v>BEJCZI</v>
      </c>
      <c r="D37" s="468"/>
      <c r="E37" s="301" t="s">
        <v>75</v>
      </c>
      <c r="F37" s="468" t="str">
        <f>IF(M31=1,B31,IF(M32=1,B32,IF(M33=1,B33,IF(M34=1,B34,""))))</f>
        <v>TENKE</v>
      </c>
      <c r="G37" s="468"/>
      <c r="H37" s="267"/>
      <c r="I37" s="245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301"/>
      <c r="G38" s="301"/>
      <c r="H38" s="267"/>
      <c r="I38" s="267"/>
      <c r="J38" s="267"/>
      <c r="K38" s="267"/>
      <c r="L38" s="267"/>
      <c r="M38" s="267"/>
    </row>
    <row r="39" spans="1:18" x14ac:dyDescent="0.25">
      <c r="A39" s="267" t="s">
        <v>74</v>
      </c>
      <c r="B39" s="267"/>
      <c r="C39" s="468" t="str">
        <f>IF(M25=2,B25,IF(M26=2,B26,IF(M27=2,B27,IF(M28=2,B28,""))))</f>
        <v>BABIK</v>
      </c>
      <c r="D39" s="468"/>
      <c r="E39" s="301" t="s">
        <v>75</v>
      </c>
      <c r="F39" s="468" t="str">
        <f>IF(M31=2,B31,IF(M32=2,B32,IF(M33=2,B33,IF(M34=2,B34,""))))</f>
        <v>SZIRJÁK</v>
      </c>
      <c r="G39" s="468"/>
      <c r="H39" s="267"/>
      <c r="I39" s="245"/>
      <c r="J39" s="267"/>
      <c r="K39" s="267"/>
      <c r="L39" s="267"/>
      <c r="M39" s="267"/>
    </row>
    <row r="40" spans="1:18" x14ac:dyDescent="0.25">
      <c r="A40" s="267"/>
      <c r="B40" s="267"/>
      <c r="C40" s="301"/>
      <c r="D40" s="301"/>
      <c r="E40" s="301"/>
      <c r="F40" s="301"/>
      <c r="G40" s="301"/>
      <c r="H40" s="267"/>
      <c r="I40" s="267"/>
      <c r="J40" s="267"/>
      <c r="K40" s="267"/>
      <c r="L40" s="267"/>
      <c r="M40" s="267"/>
    </row>
    <row r="41" spans="1:18" x14ac:dyDescent="0.25">
      <c r="A41" s="267" t="s">
        <v>76</v>
      </c>
      <c r="B41" s="267"/>
      <c r="C41" s="468" t="str">
        <f>IF(M25=3,B25,IF(M26=3,B26,IF(M27=3,B27,IF(M28=3,B28,""))))</f>
        <v>MÉMETH</v>
      </c>
      <c r="D41" s="468"/>
      <c r="E41" s="301" t="s">
        <v>75</v>
      </c>
      <c r="F41" s="468" t="str">
        <f>IF(M31=3,B31,IF(M32=3,B32,IF(M33=3,B33,IF(M34=3,B34,""))))</f>
        <v>VÍZKELETI</v>
      </c>
      <c r="G41" s="468"/>
      <c r="H41" s="267"/>
      <c r="I41" s="245"/>
      <c r="J41" s="267"/>
      <c r="K41" s="267"/>
      <c r="L41" s="267"/>
      <c r="M41" s="267"/>
    </row>
    <row r="42" spans="1:18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8" x14ac:dyDescent="0.25">
      <c r="A43" s="302" t="s">
        <v>109</v>
      </c>
      <c r="B43" s="267"/>
      <c r="C43" s="468" t="str">
        <f>IF(M25=4,B25,IF(M26=4,B26,IF(M27=4,B27,IF(M28=4,B28,))))</f>
        <v>MORAVSZKI</v>
      </c>
      <c r="D43" s="468"/>
      <c r="E43" s="301" t="s">
        <v>75</v>
      </c>
      <c r="F43" s="468" t="str">
        <f>IF(M31=3,B31,IF(M32=3,B32,IF(M33=4,B33,IF(M34=4,B34,""))))</f>
        <v>MCLEAN</v>
      </c>
      <c r="G43" s="468"/>
      <c r="H43" s="267"/>
      <c r="I43" s="245"/>
      <c r="J43" s="267"/>
      <c r="K43" s="267"/>
      <c r="L43" s="267"/>
      <c r="M43" s="267"/>
    </row>
    <row r="44" spans="1:18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45"/>
      <c r="M44" s="267"/>
      <c r="P44" s="303"/>
      <c r="Q44" s="303"/>
      <c r="R44" s="304"/>
    </row>
    <row r="45" spans="1:18" x14ac:dyDescent="0.25">
      <c r="A45" s="136" t="s">
        <v>43</v>
      </c>
      <c r="B45" s="137"/>
      <c r="C45" s="203"/>
      <c r="D45" s="309" t="s">
        <v>4</v>
      </c>
      <c r="E45" s="310" t="s">
        <v>45</v>
      </c>
      <c r="F45" s="324"/>
      <c r="G45" s="309" t="s">
        <v>4</v>
      </c>
      <c r="H45" s="310" t="s">
        <v>54</v>
      </c>
      <c r="I45" s="159"/>
      <c r="J45" s="310" t="s">
        <v>55</v>
      </c>
      <c r="K45" s="158" t="s">
        <v>56</v>
      </c>
      <c r="L45" s="33"/>
      <c r="M45" s="324"/>
      <c r="P45" s="305"/>
      <c r="Q45" s="305"/>
      <c r="R45" s="306"/>
    </row>
    <row r="46" spans="1:18" x14ac:dyDescent="0.25">
      <c r="A46" s="278" t="s">
        <v>44</v>
      </c>
      <c r="B46" s="279"/>
      <c r="C46" s="281"/>
      <c r="D46" s="311">
        <v>1</v>
      </c>
      <c r="E46" s="462" t="str">
        <f>IF(D46&gt;$R$47,,UPPER(VLOOKUP(D46,'Fiú 3B ELO'!$A$7:$Q$134,2)))</f>
        <v xml:space="preserve">VARGA </v>
      </c>
      <c r="F46" s="462"/>
      <c r="G46" s="318" t="s">
        <v>5</v>
      </c>
      <c r="H46" s="279"/>
      <c r="I46" s="312"/>
      <c r="J46" s="319"/>
      <c r="K46" s="273" t="s">
        <v>46</v>
      </c>
      <c r="L46" s="325"/>
      <c r="M46" s="313"/>
      <c r="P46" s="306"/>
      <c r="Q46" s="307"/>
      <c r="R46" s="306"/>
    </row>
    <row r="47" spans="1:18" x14ac:dyDescent="0.25">
      <c r="A47" s="282" t="s">
        <v>53</v>
      </c>
      <c r="B47" s="157"/>
      <c r="C47" s="284"/>
      <c r="D47" s="314">
        <v>2</v>
      </c>
      <c r="E47" s="463" t="str">
        <f>IF(D47&gt;$R$47,,UPPER(VLOOKUP(D47,'Fiú 3B ELO'!$A$7:$Q$134,2)))</f>
        <v xml:space="preserve">HORVÁTH </v>
      </c>
      <c r="F47" s="463"/>
      <c r="G47" s="320" t="s">
        <v>6</v>
      </c>
      <c r="H47" s="83"/>
      <c r="I47" s="271"/>
      <c r="J47" s="84"/>
      <c r="K47" s="322"/>
      <c r="L47" s="245"/>
      <c r="M47" s="317"/>
      <c r="P47" s="305"/>
      <c r="Q47" s="305"/>
      <c r="R47" s="308">
        <f>MIN(4,'Fiú 3B ELO'!Q2)</f>
        <v>4</v>
      </c>
    </row>
    <row r="48" spans="1:18" x14ac:dyDescent="0.25">
      <c r="A48" s="172"/>
      <c r="B48" s="173"/>
      <c r="C48" s="174"/>
      <c r="D48" s="314"/>
      <c r="E48" s="85"/>
      <c r="F48" s="267"/>
      <c r="G48" s="320" t="s">
        <v>7</v>
      </c>
      <c r="H48" s="83"/>
      <c r="I48" s="271"/>
      <c r="J48" s="84"/>
      <c r="K48" s="273" t="s">
        <v>47</v>
      </c>
      <c r="L48" s="325"/>
      <c r="M48" s="313"/>
      <c r="P48" s="306"/>
      <c r="Q48" s="307"/>
      <c r="R48" s="306"/>
    </row>
    <row r="49" spans="1:18" x14ac:dyDescent="0.25">
      <c r="A49" s="148"/>
      <c r="B49" s="116"/>
      <c r="C49" s="149"/>
      <c r="D49" s="314"/>
      <c r="E49" s="85"/>
      <c r="F49" s="267"/>
      <c r="G49" s="320" t="s">
        <v>8</v>
      </c>
      <c r="H49" s="83"/>
      <c r="I49" s="271"/>
      <c r="J49" s="84"/>
      <c r="K49" s="323"/>
      <c r="L49" s="267"/>
      <c r="M49" s="315"/>
      <c r="P49" s="306"/>
      <c r="Q49" s="307"/>
      <c r="R49" s="306"/>
    </row>
    <row r="50" spans="1:18" x14ac:dyDescent="0.25">
      <c r="A50" s="161"/>
      <c r="B50" s="175"/>
      <c r="C50" s="202"/>
      <c r="D50" s="314"/>
      <c r="E50" s="85"/>
      <c r="F50" s="267"/>
      <c r="G50" s="320" t="s">
        <v>9</v>
      </c>
      <c r="H50" s="83"/>
      <c r="I50" s="271"/>
      <c r="J50" s="84"/>
      <c r="K50" s="282"/>
      <c r="L50" s="245"/>
      <c r="M50" s="317"/>
      <c r="P50" s="305"/>
      <c r="Q50" s="305"/>
      <c r="R50" s="306"/>
    </row>
    <row r="51" spans="1:18" x14ac:dyDescent="0.25">
      <c r="A51" s="162"/>
      <c r="B51" s="22"/>
      <c r="C51" s="149"/>
      <c r="D51" s="314"/>
      <c r="E51" s="85"/>
      <c r="F51" s="267"/>
      <c r="G51" s="320" t="s">
        <v>10</v>
      </c>
      <c r="H51" s="83"/>
      <c r="I51" s="271"/>
      <c r="J51" s="84"/>
      <c r="K51" s="273" t="s">
        <v>33</v>
      </c>
      <c r="L51" s="325"/>
      <c r="M51" s="313"/>
      <c r="P51" s="306"/>
      <c r="Q51" s="307"/>
      <c r="R51" s="306"/>
    </row>
    <row r="52" spans="1:18" x14ac:dyDescent="0.25">
      <c r="A52" s="162"/>
      <c r="B52" s="22"/>
      <c r="C52" s="170"/>
      <c r="D52" s="314"/>
      <c r="E52" s="85"/>
      <c r="F52" s="267"/>
      <c r="G52" s="320" t="s">
        <v>11</v>
      </c>
      <c r="H52" s="83"/>
      <c r="I52" s="271"/>
      <c r="J52" s="84"/>
      <c r="K52" s="323"/>
      <c r="L52" s="267"/>
      <c r="M52" s="315"/>
      <c r="P52" s="306"/>
      <c r="Q52" s="307"/>
      <c r="R52" s="308"/>
    </row>
    <row r="53" spans="1:18" x14ac:dyDescent="0.25">
      <c r="A53" s="163"/>
      <c r="B53" s="160"/>
      <c r="C53" s="171"/>
      <c r="D53" s="316"/>
      <c r="E53" s="150"/>
      <c r="F53" s="245"/>
      <c r="G53" s="321" t="s">
        <v>12</v>
      </c>
      <c r="H53" s="157"/>
      <c r="I53" s="275"/>
      <c r="J53" s="152"/>
      <c r="K53" s="282" t="str">
        <f>L4</f>
        <v>Rákóczi Andrea</v>
      </c>
      <c r="L53" s="245"/>
      <c r="M53" s="317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20" priority="3" stopIfTrue="1" operator="equal">
      <formula>"Bye"</formula>
    </cfRule>
  </conditionalFormatting>
  <conditionalFormatting sqref="I11">
    <cfRule type="expression" dxfId="19" priority="1" stopIfTrue="1">
      <formula>$Q11&gt;=1</formula>
    </cfRule>
    <cfRule type="expression" dxfId="18" priority="2" stopIfTrue="1">
      <formula>$O11&gt;=1</formula>
    </cfRule>
  </conditionalFormatting>
  <conditionalFormatting sqref="R47 R52">
    <cfRule type="expression" dxfId="17" priority="4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39">
    <tabColor indexed="11"/>
  </sheetPr>
  <dimension ref="A1:AS140"/>
  <sheetViews>
    <sheetView workbookViewId="0">
      <selection activeCell="P23" sqref="P23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9" customWidth="1"/>
  </cols>
  <sheetData>
    <row r="1" spans="1:45" s="114" customFormat="1" ht="21.75" customHeight="1" x14ac:dyDescent="0.25">
      <c r="A1" s="215" t="str">
        <f>Altalanos!$A$6</f>
        <v>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62" t="e">
        <f>IF($Y$5=1,CONCATENATE(VLOOKUP($Y$3,$AA$2:$AH$14,2)),CONCATENATE(VLOOKUP($Y$3,$AA$16:$AH$25,2)))</f>
        <v>#N/A</v>
      </c>
      <c r="AC1" s="362" t="e">
        <f>IF($Y$5=1,CONCATENATE(VLOOKUP($Y$3,$AA$2:$AH$14,3)),CONCATENATE(VLOOKUP($Y$3,$AA$16:$AH$25,3)))</f>
        <v>#N/A</v>
      </c>
      <c r="AD1" s="362" t="e">
        <f>IF($Y$5=1,CONCATENATE(VLOOKUP($Y$3,$AA$2:$AH$14,4)),CONCATENATE(VLOOKUP($Y$3,$AA$16:$AH$25,4)))</f>
        <v>#N/A</v>
      </c>
      <c r="AE1" s="362" t="e">
        <f>IF($Y$5=1,CONCATENATE(VLOOKUP($Y$3,$AA$2:$AH$14,5)),CONCATENATE(VLOOKUP($Y$3,$AA$16:$AH$25,5)))</f>
        <v>#N/A</v>
      </c>
      <c r="AF1" s="362" t="e">
        <f>IF($Y$5=1,CONCATENATE(VLOOKUP($Y$3,$AA$2:$AH$14,6)),CONCATENATE(VLOOKUP($Y$3,$AA$16:$AH$25,6)))</f>
        <v>#N/A</v>
      </c>
      <c r="AG1" s="362" t="e">
        <f>IF($Y$5=1,CONCATENATE(VLOOKUP($Y$3,$AA$2:$AH$14,7)),CONCATENATE(VLOOKUP($Y$3,$AA$16:$AH$25,7)))</f>
        <v>#N/A</v>
      </c>
      <c r="AH1" s="362" t="e">
        <f>IF($Y$5=1,CONCATENATE(VLOOKUP($Y$3,$AA$2:$AH$14,8)),CONCATENATE(VLOOKUP($Y$3,$AA$16:$AH$25,8)))</f>
        <v>#N/A</v>
      </c>
      <c r="AI1" s="366"/>
      <c r="AJ1" s="366"/>
      <c r="AK1" s="366"/>
    </row>
    <row r="2" spans="1:45" s="96" customFormat="1" x14ac:dyDescent="0.25">
      <c r="A2" s="222" t="s">
        <v>51</v>
      </c>
      <c r="B2" s="223"/>
      <c r="C2" s="223"/>
      <c r="D2" s="223"/>
      <c r="E2" s="411" t="str">
        <f>Altalanos!$D$8</f>
        <v>3 fiú B elo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52"/>
      <c r="Z2" s="351"/>
      <c r="AA2" s="351" t="s">
        <v>64</v>
      </c>
      <c r="AB2" s="342">
        <v>300</v>
      </c>
      <c r="AC2" s="342">
        <v>250</v>
      </c>
      <c r="AD2" s="342">
        <v>200</v>
      </c>
      <c r="AE2" s="342">
        <v>150</v>
      </c>
      <c r="AF2" s="342">
        <v>120</v>
      </c>
      <c r="AG2" s="342">
        <v>90</v>
      </c>
      <c r="AH2" s="342">
        <v>40</v>
      </c>
      <c r="AI2" s="326"/>
      <c r="AJ2" s="326"/>
      <c r="AK2" s="326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51" t="str">
        <f>IF(K4="OB","A",IF(K4="IX","W",IF(K4="","",K4)))</f>
        <v/>
      </c>
      <c r="Z3" s="351"/>
      <c r="AA3" s="351" t="s">
        <v>65</v>
      </c>
      <c r="AB3" s="342">
        <v>280</v>
      </c>
      <c r="AC3" s="342">
        <v>230</v>
      </c>
      <c r="AD3" s="342">
        <v>180</v>
      </c>
      <c r="AE3" s="342">
        <v>140</v>
      </c>
      <c r="AF3" s="342">
        <v>80</v>
      </c>
      <c r="AG3" s="342">
        <v>0</v>
      </c>
      <c r="AH3" s="342">
        <v>0</v>
      </c>
      <c r="AI3" s="326"/>
      <c r="AJ3" s="326"/>
      <c r="AK3" s="326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54" t="str">
        <f>Altalanos!$A$10</f>
        <v>2024.05.27-06.01.</v>
      </c>
      <c r="B4" s="454"/>
      <c r="C4" s="454"/>
      <c r="D4" s="227"/>
      <c r="E4" s="228"/>
      <c r="F4" s="228"/>
      <c r="G4" s="228" t="str">
        <f>Altalanos!$C$10</f>
        <v>Balatonboglár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51"/>
      <c r="Z4" s="351"/>
      <c r="AA4" s="351" t="s">
        <v>88</v>
      </c>
      <c r="AB4" s="342">
        <v>250</v>
      </c>
      <c r="AC4" s="342">
        <v>200</v>
      </c>
      <c r="AD4" s="342">
        <v>150</v>
      </c>
      <c r="AE4" s="342">
        <v>120</v>
      </c>
      <c r="AF4" s="342">
        <v>90</v>
      </c>
      <c r="AG4" s="342">
        <v>60</v>
      </c>
      <c r="AH4" s="342">
        <v>25</v>
      </c>
      <c r="AI4" s="326"/>
      <c r="AJ4" s="326"/>
      <c r="AK4" s="326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51">
        <f>IF(OR(Altalanos!$A$8="F1",Altalanos!$A$8="F2",Altalanos!$A$8="N1",Altalanos!$A$8="N2"),1,2)</f>
        <v>2</v>
      </c>
      <c r="Z5" s="351"/>
      <c r="AA5" s="351" t="s">
        <v>89</v>
      </c>
      <c r="AB5" s="342">
        <v>200</v>
      </c>
      <c r="AC5" s="342">
        <v>150</v>
      </c>
      <c r="AD5" s="342">
        <v>120</v>
      </c>
      <c r="AE5" s="342">
        <v>90</v>
      </c>
      <c r="AF5" s="342">
        <v>60</v>
      </c>
      <c r="AG5" s="342">
        <v>40</v>
      </c>
      <c r="AH5" s="342">
        <v>15</v>
      </c>
      <c r="AI5" s="326"/>
      <c r="AJ5" s="326"/>
      <c r="AK5" s="326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56"/>
      <c r="B6" s="357"/>
      <c r="C6" s="357"/>
      <c r="D6" s="357"/>
      <c r="E6" s="357"/>
      <c r="F6" s="356" t="str">
        <f>IF(Y3="","",CONCATENATE(VLOOKUP(Y3,AB1:AH1,4)," pont"))</f>
        <v/>
      </c>
      <c r="G6" s="358"/>
      <c r="H6" s="5"/>
      <c r="I6" s="358"/>
      <c r="J6" s="359"/>
      <c r="K6" s="357" t="str">
        <f>IF(Y3="","",CONCATENATE(VLOOKUP(Y3,AB1:AH1,3)," pont"))</f>
        <v/>
      </c>
      <c r="L6" s="359"/>
      <c r="M6" s="357" t="str">
        <f>IF(Y3="","",CONCATENATE(VLOOKUP(Y3,AB1:AH1,2)," pont"))</f>
        <v/>
      </c>
      <c r="N6" s="359"/>
      <c r="O6" s="357" t="str">
        <f>IF(Y3="","",CONCATENATE(VLOOKUP(Y3,AB1:AH1,1)," pont"))</f>
        <v/>
      </c>
      <c r="P6" s="359"/>
      <c r="Q6" s="357"/>
      <c r="R6" s="360"/>
      <c r="T6" s="262"/>
      <c r="U6" s="262"/>
      <c r="V6" s="262"/>
      <c r="W6" s="262"/>
      <c r="X6" s="262"/>
      <c r="Y6" s="351"/>
      <c r="Z6" s="351"/>
      <c r="AA6" s="351" t="s">
        <v>90</v>
      </c>
      <c r="AB6" s="342">
        <v>150</v>
      </c>
      <c r="AC6" s="342">
        <v>120</v>
      </c>
      <c r="AD6" s="342">
        <v>90</v>
      </c>
      <c r="AE6" s="342">
        <v>60</v>
      </c>
      <c r="AF6" s="342">
        <v>40</v>
      </c>
      <c r="AG6" s="342">
        <v>25</v>
      </c>
      <c r="AH6" s="342">
        <v>10</v>
      </c>
      <c r="AI6" s="326"/>
      <c r="AJ6" s="326"/>
      <c r="AK6" s="326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25">
      <c r="A7" s="121">
        <v>1</v>
      </c>
      <c r="B7" s="234">
        <f>IF($E7="","",VLOOKUP($E7,'Fiú 3B ELO'!$A$7:$O$22,14))</f>
        <v>0</v>
      </c>
      <c r="C7" s="235">
        <f>IF($E7="","",VLOOKUP($E7,'Fiú 3B ELO'!$A$7:$O$22,15))</f>
        <v>0</v>
      </c>
      <c r="D7" s="235">
        <f>IF($E7="","",VLOOKUP($E7,'Fiú 3B ELO'!$A$7:$O$22,5))</f>
        <v>0</v>
      </c>
      <c r="E7" s="236">
        <v>7</v>
      </c>
      <c r="F7" s="237" t="str">
        <f>UPPER(IF($E7="","",VLOOKUP($E7,'Fiú 3B ELO'!$A$7:$O$22,2)))</f>
        <v>TENKE</v>
      </c>
      <c r="G7" s="237" t="str">
        <f>IF($E7="","",VLOOKUP($E7,'Fiú 3B ELO'!$A$7:$O$22,3))</f>
        <v>Trisztán</v>
      </c>
      <c r="H7" s="237"/>
      <c r="I7" s="237" t="str">
        <f>IF($E7="","",VLOOKUP($E7,'Fiú 3B ELO'!$A$7:$O$22,4))</f>
        <v>Szent Gellért Katolikus Általános Iskola és Gimnázium</v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51"/>
      <c r="Z7" s="351"/>
      <c r="AA7" s="351" t="s">
        <v>91</v>
      </c>
      <c r="AB7" s="342">
        <v>120</v>
      </c>
      <c r="AC7" s="342">
        <v>90</v>
      </c>
      <c r="AD7" s="342">
        <v>60</v>
      </c>
      <c r="AE7" s="342">
        <v>40</v>
      </c>
      <c r="AF7" s="342">
        <v>25</v>
      </c>
      <c r="AG7" s="342">
        <v>10</v>
      </c>
      <c r="AH7" s="342">
        <v>5</v>
      </c>
      <c r="AI7" s="326"/>
      <c r="AJ7" s="326"/>
      <c r="AK7" s="326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94" t="s">
        <v>0</v>
      </c>
      <c r="J8" s="128" t="s">
        <v>561</v>
      </c>
      <c r="K8" s="244" t="str">
        <f>UPPER(IF(OR(J8="a",J8="as"),F7,IF(OR(J8="b",J8="bs"),F9,)))</f>
        <v>TENKE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51"/>
      <c r="Z8" s="351"/>
      <c r="AA8" s="351" t="s">
        <v>92</v>
      </c>
      <c r="AB8" s="342">
        <v>90</v>
      </c>
      <c r="AC8" s="342">
        <v>60</v>
      </c>
      <c r="AD8" s="342">
        <v>40</v>
      </c>
      <c r="AE8" s="342">
        <v>25</v>
      </c>
      <c r="AF8" s="342">
        <v>10</v>
      </c>
      <c r="AG8" s="342">
        <v>5</v>
      </c>
      <c r="AH8" s="342">
        <v>2</v>
      </c>
      <c r="AI8" s="326"/>
      <c r="AJ8" s="326"/>
      <c r="AK8" s="326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>
        <f>IF($E9="","",VLOOKUP($E9,'Fiú 3B ELO'!$A$7:$O$22,14))</f>
        <v>0</v>
      </c>
      <c r="C9" s="235">
        <f>IF($E9="","",VLOOKUP($E9,'Fiú 3B ELO'!$A$7:$O$22,15))</f>
        <v>0</v>
      </c>
      <c r="D9" s="235">
        <f>IF($E9="","",VLOOKUP($E9,'Fiú 3B ELO'!$A$7:$O$22,5))</f>
        <v>0</v>
      </c>
      <c r="E9" s="385">
        <v>3</v>
      </c>
      <c r="F9" s="286" t="str">
        <f>UPPER(IF($E9="","",VLOOKUP($E9,'Fiú 3B ELO'!$A$7:$O$22,2)))</f>
        <v xml:space="preserve">MIKULÁN </v>
      </c>
      <c r="G9" s="286" t="str">
        <f>IF($E9="","",VLOOKUP($E9,'Fiú 3B ELO'!$A$7:$O$22,3))</f>
        <v>Gellért</v>
      </c>
      <c r="H9" s="286"/>
      <c r="I9" s="286" t="str">
        <f>IF($E9="","",VLOOKUP($E9,'Fiú 3B ELO'!$A$7:$O$22,4))</f>
        <v>Gyula Magvető</v>
      </c>
      <c r="J9" s="246"/>
      <c r="K9" s="239" t="s">
        <v>562</v>
      </c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51"/>
      <c r="Z9" s="351"/>
      <c r="AA9" s="351" t="s">
        <v>93</v>
      </c>
      <c r="AB9" s="342">
        <v>60</v>
      </c>
      <c r="AC9" s="342">
        <v>40</v>
      </c>
      <c r="AD9" s="342">
        <v>25</v>
      </c>
      <c r="AE9" s="342">
        <v>10</v>
      </c>
      <c r="AF9" s="342">
        <v>5</v>
      </c>
      <c r="AG9" s="342">
        <v>2</v>
      </c>
      <c r="AH9" s="342">
        <v>1</v>
      </c>
      <c r="AI9" s="326"/>
      <c r="AJ9" s="326"/>
      <c r="AK9" s="326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86"/>
      <c r="F10" s="387"/>
      <c r="G10" s="387"/>
      <c r="H10" s="388"/>
      <c r="I10" s="387"/>
      <c r="J10" s="248"/>
      <c r="K10" s="394" t="s">
        <v>0</v>
      </c>
      <c r="L10" s="129" t="s">
        <v>561</v>
      </c>
      <c r="M10" s="244" t="str">
        <f>UPPER(IF(OR(L10="a",L10="as"),K8,IF(OR(L10="b",L10="bs"),K12,)))</f>
        <v>TENKE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51"/>
      <c r="Z10" s="351"/>
      <c r="AA10" s="351" t="s">
        <v>94</v>
      </c>
      <c r="AB10" s="342">
        <v>40</v>
      </c>
      <c r="AC10" s="342">
        <v>25</v>
      </c>
      <c r="AD10" s="342">
        <v>15</v>
      </c>
      <c r="AE10" s="342">
        <v>7</v>
      </c>
      <c r="AF10" s="342">
        <v>4</v>
      </c>
      <c r="AG10" s="342">
        <v>1</v>
      </c>
      <c r="AH10" s="342">
        <v>0</v>
      </c>
      <c r="AI10" s="326"/>
      <c r="AJ10" s="326"/>
      <c r="AK10" s="326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>
        <f>IF($E11="","",VLOOKUP($E11,'Fiú 3B ELO'!$A$7:$O$22,14))</f>
        <v>0</v>
      </c>
      <c r="C11" s="235">
        <f>IF($E11="","",VLOOKUP($E11,'Fiú 3B ELO'!$A$7:$O$22,15))</f>
        <v>0</v>
      </c>
      <c r="D11" s="235">
        <f>IF($E11="","",VLOOKUP($E11,'Fiú 3B ELO'!$A$7:$O$22,5))</f>
        <v>0</v>
      </c>
      <c r="E11" s="385">
        <v>16</v>
      </c>
      <c r="F11" s="286" t="str">
        <f>UPPER(IF($E11="","",VLOOKUP($E11,'Fiú 3B ELO'!$A$7:$O$22,2)))</f>
        <v xml:space="preserve">GYURICS </v>
      </c>
      <c r="G11" s="286" t="str">
        <f>IF($E11="","",VLOOKUP($E11,'Fiú 3B ELO'!$A$7:$O$22,3))</f>
        <v>Benett</v>
      </c>
      <c r="H11" s="286"/>
      <c r="I11" s="286" t="str">
        <f>IF($E11="","",VLOOKUP($E11,'Fiú 3B ELO'!$A$7:$O$22,4))</f>
        <v>Dorogi Magyar-Angol Két Tanítási Nyelvű és Sportiskolai Általános Iskola</v>
      </c>
      <c r="J11" s="238"/>
      <c r="K11" s="239"/>
      <c r="L11" s="251"/>
      <c r="M11" s="239" t="s">
        <v>569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51"/>
      <c r="Z11" s="351"/>
      <c r="AA11" s="351" t="s">
        <v>95</v>
      </c>
      <c r="AB11" s="342">
        <v>25</v>
      </c>
      <c r="AC11" s="342">
        <v>15</v>
      </c>
      <c r="AD11" s="342">
        <v>10</v>
      </c>
      <c r="AE11" s="342">
        <v>6</v>
      </c>
      <c r="AF11" s="342">
        <v>3</v>
      </c>
      <c r="AG11" s="342">
        <v>1</v>
      </c>
      <c r="AH11" s="342">
        <v>0</v>
      </c>
      <c r="AI11" s="326"/>
      <c r="AJ11" s="326"/>
      <c r="AK11" s="326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86"/>
      <c r="F12" s="387"/>
      <c r="G12" s="387"/>
      <c r="H12" s="388"/>
      <c r="I12" s="394" t="s">
        <v>0</v>
      </c>
      <c r="J12" s="128" t="s">
        <v>561</v>
      </c>
      <c r="K12" s="244" t="str">
        <f>UPPER(IF(OR(J12="a",J12="as"),F11,IF(OR(J12="b",J12="bs"),F13,)))</f>
        <v xml:space="preserve">GYURICS 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51"/>
      <c r="Z12" s="351"/>
      <c r="AA12" s="351" t="s">
        <v>100</v>
      </c>
      <c r="AB12" s="342">
        <v>15</v>
      </c>
      <c r="AC12" s="342">
        <v>10</v>
      </c>
      <c r="AD12" s="342">
        <v>6</v>
      </c>
      <c r="AE12" s="342">
        <v>3</v>
      </c>
      <c r="AF12" s="342">
        <v>1</v>
      </c>
      <c r="AG12" s="342">
        <v>0</v>
      </c>
      <c r="AH12" s="342">
        <v>0</v>
      </c>
      <c r="AI12" s="326"/>
      <c r="AJ12" s="326"/>
      <c r="AK12" s="326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>
        <f>IF($E13="","",VLOOKUP($E13,'Fiú 3B ELO'!$A$7:$O$22,14))</f>
        <v>0</v>
      </c>
      <c r="C13" s="235">
        <f>IF($E13="","",VLOOKUP($E13,'Fiú 3B ELO'!$A$7:$O$22,15))</f>
        <v>0</v>
      </c>
      <c r="D13" s="235">
        <f>IF($E13="","",VLOOKUP($E13,'Fiú 3B ELO'!$A$7:$O$22,5))</f>
        <v>0</v>
      </c>
      <c r="E13" s="385">
        <v>8</v>
      </c>
      <c r="F13" s="286" t="str">
        <f>UPPER(IF($E13="","",VLOOKUP($E13,'Fiú 3B ELO'!$A$7:$O$22,2)))</f>
        <v>FRANK</v>
      </c>
      <c r="G13" s="286" t="str">
        <f>IF($E13="","",VLOOKUP($E13,'Fiú 3B ELO'!$A$7:$O$22,3))</f>
        <v>András</v>
      </c>
      <c r="H13" s="286"/>
      <c r="I13" s="286" t="str">
        <f>IF($E13="","",VLOOKUP($E13,'Fiú 3B ELO'!$A$7:$O$22,4))</f>
        <v>Lauder Javne Zsidó Közösségi Óvoda, Általános Iskola, Gimnázium és Zenei Alapfokú Művészeti Iskola</v>
      </c>
      <c r="J13" s="254"/>
      <c r="K13" s="250" t="s">
        <v>536</v>
      </c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51"/>
      <c r="Z13" s="351"/>
      <c r="AA13" s="351" t="s">
        <v>96</v>
      </c>
      <c r="AB13" s="342">
        <v>10</v>
      </c>
      <c r="AC13" s="342">
        <v>6</v>
      </c>
      <c r="AD13" s="342">
        <v>3</v>
      </c>
      <c r="AE13" s="342">
        <v>1</v>
      </c>
      <c r="AF13" s="342">
        <v>0</v>
      </c>
      <c r="AG13" s="342">
        <v>0</v>
      </c>
      <c r="AH13" s="342">
        <v>0</v>
      </c>
      <c r="AI13" s="326"/>
      <c r="AJ13" s="326"/>
      <c r="AK13" s="326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86"/>
      <c r="F14" s="387"/>
      <c r="G14" s="387"/>
      <c r="H14" s="388"/>
      <c r="I14" s="387"/>
      <c r="J14" s="248"/>
      <c r="K14" s="239"/>
      <c r="L14" s="239"/>
      <c r="M14" s="394" t="s">
        <v>0</v>
      </c>
      <c r="N14" s="129" t="s">
        <v>560</v>
      </c>
      <c r="O14" s="244" t="str">
        <f>UPPER(IF(OR(N14="a",N14="as"),M10,IF(OR(N14="b",N14="bs"),M18,)))</f>
        <v>SÁNDOR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51"/>
      <c r="Z14" s="351"/>
      <c r="AA14" s="351" t="s">
        <v>97</v>
      </c>
      <c r="AB14" s="342">
        <v>3</v>
      </c>
      <c r="AC14" s="342">
        <v>2</v>
      </c>
      <c r="AD14" s="342">
        <v>1</v>
      </c>
      <c r="AE14" s="342">
        <v>0</v>
      </c>
      <c r="AF14" s="342">
        <v>0</v>
      </c>
      <c r="AG14" s="342">
        <v>0</v>
      </c>
      <c r="AH14" s="342">
        <v>0</v>
      </c>
      <c r="AI14" s="326"/>
      <c r="AJ14" s="326"/>
      <c r="AK14" s="326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>
        <f>IF($E15="","",VLOOKUP($E15,'Fiú 3B ELO'!$A$7:$O$22,14))</f>
        <v>0</v>
      </c>
      <c r="C15" s="235">
        <f>IF($E15="","",VLOOKUP($E15,'Fiú 3B ELO'!$A$7:$O$22,15))</f>
        <v>0</v>
      </c>
      <c r="D15" s="235">
        <f>IF($E15="","",VLOOKUP($E15,'Fiú 3B ELO'!$A$7:$O$22,5))</f>
        <v>0</v>
      </c>
      <c r="E15" s="385">
        <v>9</v>
      </c>
      <c r="F15" s="286" t="str">
        <f>UPPER(IF($E15="","",VLOOKUP($E15,'Fiú 3B ELO'!$A$7:$O$22,2)))</f>
        <v>SÁNDOR</v>
      </c>
      <c r="G15" s="286" t="str">
        <f>IF($E15="","",VLOOKUP($E15,'Fiú 3B ELO'!$A$7:$O$22,3))</f>
        <v>Nolen</v>
      </c>
      <c r="H15" s="286"/>
      <c r="I15" s="286" t="str">
        <f>IF($E15="","",VLOOKUP($E15,'Fiú 3B ELO'!$A$7:$O$22,4))</f>
        <v xml:space="preserve">Debreceni Nemzetközi Iskola </v>
      </c>
      <c r="J15" s="256"/>
      <c r="K15" s="239"/>
      <c r="L15" s="239"/>
      <c r="M15" s="239"/>
      <c r="N15" s="252"/>
      <c r="O15" s="250" t="s">
        <v>536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26"/>
      <c r="AJ15" s="326"/>
      <c r="AK15" s="326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86"/>
      <c r="F16" s="387"/>
      <c r="G16" s="387"/>
      <c r="H16" s="388"/>
      <c r="I16" s="394" t="s">
        <v>0</v>
      </c>
      <c r="J16" s="128" t="s">
        <v>561</v>
      </c>
      <c r="K16" s="244" t="str">
        <f>UPPER(IF(OR(J16="a",J16="as"),F15,IF(OR(J16="b",J16="bs"),F17,)))</f>
        <v>SÁNDOR</v>
      </c>
      <c r="L16" s="244"/>
      <c r="M16" s="239"/>
      <c r="N16" s="252"/>
      <c r="O16" s="394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51"/>
      <c r="Z16" s="351"/>
      <c r="AA16" s="351" t="s">
        <v>64</v>
      </c>
      <c r="AB16" s="342">
        <v>150</v>
      </c>
      <c r="AC16" s="342">
        <v>120</v>
      </c>
      <c r="AD16" s="342">
        <v>90</v>
      </c>
      <c r="AE16" s="342">
        <v>60</v>
      </c>
      <c r="AF16" s="342">
        <v>40</v>
      </c>
      <c r="AG16" s="342">
        <v>25</v>
      </c>
      <c r="AH16" s="342">
        <v>15</v>
      </c>
      <c r="AI16" s="326"/>
      <c r="AJ16" s="326"/>
      <c r="AK16" s="326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 t="str">
        <f>IF($E17="","",VLOOKUP($E17,'Fiú 3B ELO'!$A$7:$O$22,14))</f>
        <v/>
      </c>
      <c r="C17" s="235" t="str">
        <f>IF($E17="","",VLOOKUP($E17,'Fiú 3B ELO'!$A$7:$O$22,15))</f>
        <v/>
      </c>
      <c r="D17" s="235" t="str">
        <f>IF($E17="","",VLOOKUP($E17,'Fiú 3B ELO'!$A$7:$O$22,5))</f>
        <v/>
      </c>
      <c r="E17" s="385"/>
      <c r="F17" s="425" t="s">
        <v>377</v>
      </c>
      <c r="G17" s="425" t="s">
        <v>233</v>
      </c>
      <c r="H17" s="286"/>
      <c r="I17" s="425" t="s">
        <v>558</v>
      </c>
      <c r="J17" s="246"/>
      <c r="K17" s="250" t="s">
        <v>534</v>
      </c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51"/>
      <c r="Z17" s="351"/>
      <c r="AA17" s="351" t="s">
        <v>88</v>
      </c>
      <c r="AB17" s="342">
        <v>120</v>
      </c>
      <c r="AC17" s="342">
        <v>90</v>
      </c>
      <c r="AD17" s="342">
        <v>60</v>
      </c>
      <c r="AE17" s="342">
        <v>40</v>
      </c>
      <c r="AF17" s="342">
        <v>25</v>
      </c>
      <c r="AG17" s="342">
        <v>15</v>
      </c>
      <c r="AH17" s="342">
        <v>8</v>
      </c>
      <c r="AI17" s="326"/>
      <c r="AJ17" s="326"/>
      <c r="AK17" s="326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86"/>
      <c r="F18" s="387"/>
      <c r="G18" s="387"/>
      <c r="H18" s="388"/>
      <c r="I18" s="387"/>
      <c r="J18" s="248"/>
      <c r="K18" s="394" t="s">
        <v>0</v>
      </c>
      <c r="L18" s="129" t="s">
        <v>561</v>
      </c>
      <c r="M18" s="244" t="str">
        <f>UPPER(IF(OR(L18="a",L18="as"),K16,IF(OR(L18="b",L18="bs"),K20,)))</f>
        <v>SÁNDOR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51"/>
      <c r="Z18" s="351"/>
      <c r="AA18" s="351" t="s">
        <v>89</v>
      </c>
      <c r="AB18" s="342">
        <v>90</v>
      </c>
      <c r="AC18" s="342">
        <v>60</v>
      </c>
      <c r="AD18" s="342">
        <v>40</v>
      </c>
      <c r="AE18" s="342">
        <v>25</v>
      </c>
      <c r="AF18" s="342">
        <v>15</v>
      </c>
      <c r="AG18" s="342">
        <v>8</v>
      </c>
      <c r="AH18" s="342">
        <v>4</v>
      </c>
      <c r="AI18" s="326"/>
      <c r="AJ18" s="326"/>
      <c r="AK18" s="326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 t="str">
        <f>IF($E19="","",VLOOKUP($E19,'Fiú 3B ELO'!$A$7:$O$22,14))</f>
        <v/>
      </c>
      <c r="C19" s="235" t="str">
        <f>IF($E19="","",VLOOKUP($E19,'Fiú 3B ELO'!$A$7:$O$22,15))</f>
        <v/>
      </c>
      <c r="D19" s="235" t="str">
        <f>IF($E19="","",VLOOKUP($E19,'Fiú 3B ELO'!$A$7:$O$22,5))</f>
        <v/>
      </c>
      <c r="E19" s="385"/>
      <c r="F19" s="425" t="s">
        <v>559</v>
      </c>
      <c r="G19" s="286" t="str">
        <f>IF($E19="","",VLOOKUP($E19,'Fiú 3B ELO'!$A$7:$O$22,3))</f>
        <v/>
      </c>
      <c r="H19" s="286"/>
      <c r="I19" s="286" t="str">
        <f>IF($E19="","",VLOOKUP($E19,'Fiú 3B ELO'!$A$7:$O$22,4))</f>
        <v/>
      </c>
      <c r="J19" s="238"/>
      <c r="K19" s="239"/>
      <c r="L19" s="251"/>
      <c r="M19" s="250" t="s">
        <v>534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51"/>
      <c r="Z19" s="351"/>
      <c r="AA19" s="351" t="s">
        <v>90</v>
      </c>
      <c r="AB19" s="342">
        <v>60</v>
      </c>
      <c r="AC19" s="342">
        <v>40</v>
      </c>
      <c r="AD19" s="342">
        <v>25</v>
      </c>
      <c r="AE19" s="342">
        <v>15</v>
      </c>
      <c r="AF19" s="342">
        <v>8</v>
      </c>
      <c r="AG19" s="342">
        <v>4</v>
      </c>
      <c r="AH19" s="342">
        <v>2</v>
      </c>
      <c r="AI19" s="326"/>
      <c r="AJ19" s="326"/>
      <c r="AK19" s="326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94" t="s">
        <v>0</v>
      </c>
      <c r="J20" s="128" t="s">
        <v>560</v>
      </c>
      <c r="K20" s="244" t="str">
        <f>UPPER(IF(OR(J20="a",J20="as"),F19,IF(OR(J20="b",J20="bs"),F21,)))</f>
        <v xml:space="preserve">HRABOVSZKI 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51"/>
      <c r="Z20" s="351"/>
      <c r="AA20" s="351" t="s">
        <v>91</v>
      </c>
      <c r="AB20" s="342">
        <v>40</v>
      </c>
      <c r="AC20" s="342">
        <v>25</v>
      </c>
      <c r="AD20" s="342">
        <v>15</v>
      </c>
      <c r="AE20" s="342">
        <v>8</v>
      </c>
      <c r="AF20" s="342">
        <v>4</v>
      </c>
      <c r="AG20" s="342">
        <v>2</v>
      </c>
      <c r="AH20" s="342">
        <v>1</v>
      </c>
      <c r="AI20" s="326"/>
      <c r="AJ20" s="326"/>
      <c r="AK20" s="326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>
        <f>IF($E21="","",VLOOKUP($E21,'Fiú 3B ELO'!$A$7:$O$22,14))</f>
        <v>0</v>
      </c>
      <c r="C21" s="235">
        <f>IF($E21="","",VLOOKUP($E21,'Fiú 3B ELO'!$A$7:$O$22,15))</f>
        <v>0</v>
      </c>
      <c r="D21" s="235">
        <f>IF($E21="","",VLOOKUP($E21,'Fiú 3B ELO'!$A$7:$O$22,5))</f>
        <v>0</v>
      </c>
      <c r="E21" s="236">
        <v>4</v>
      </c>
      <c r="F21" s="287" t="str">
        <f>UPPER(IF($E21="","",VLOOKUP($E21,'Fiú 3B ELO'!$A$7:$O$22,2)))</f>
        <v xml:space="preserve">HRABOVSZKI </v>
      </c>
      <c r="G21" s="287" t="str">
        <f>IF($E21="","",VLOOKUP($E21,'Fiú 3B ELO'!$A$7:$O$22,3))</f>
        <v>Bence</v>
      </c>
      <c r="H21" s="287"/>
      <c r="I21" s="287" t="str">
        <f>IF($E21="","",VLOOKUP($E21,'Fiú 3B ELO'!$A$7:$O$22,4))</f>
        <v>Békéscsaba Jankay</v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51"/>
      <c r="Z21" s="351"/>
      <c r="AA21" s="351" t="s">
        <v>92</v>
      </c>
      <c r="AB21" s="342">
        <v>25</v>
      </c>
      <c r="AC21" s="342">
        <v>15</v>
      </c>
      <c r="AD21" s="342">
        <v>10</v>
      </c>
      <c r="AE21" s="342">
        <v>6</v>
      </c>
      <c r="AF21" s="342">
        <v>3</v>
      </c>
      <c r="AG21" s="342">
        <v>1</v>
      </c>
      <c r="AH21" s="342">
        <v>0</v>
      </c>
      <c r="AI21" s="326"/>
      <c r="AJ21" s="326"/>
      <c r="AK21" s="326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51"/>
      <c r="Z22" s="351"/>
      <c r="AA22" s="351" t="s">
        <v>93</v>
      </c>
      <c r="AB22" s="342">
        <v>15</v>
      </c>
      <c r="AC22" s="342">
        <v>10</v>
      </c>
      <c r="AD22" s="342">
        <v>6</v>
      </c>
      <c r="AE22" s="342">
        <v>3</v>
      </c>
      <c r="AF22" s="342">
        <v>1</v>
      </c>
      <c r="AG22" s="342">
        <v>0</v>
      </c>
      <c r="AH22" s="342">
        <v>0</v>
      </c>
      <c r="AI22" s="326"/>
      <c r="AJ22" s="326"/>
      <c r="AK22" s="326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51"/>
      <c r="Z23" s="351"/>
      <c r="AA23" s="351" t="s">
        <v>94</v>
      </c>
      <c r="AB23" s="342">
        <v>10</v>
      </c>
      <c r="AC23" s="342">
        <v>6</v>
      </c>
      <c r="AD23" s="342">
        <v>3</v>
      </c>
      <c r="AE23" s="342">
        <v>1</v>
      </c>
      <c r="AF23" s="342">
        <v>0</v>
      </c>
      <c r="AG23" s="342">
        <v>0</v>
      </c>
      <c r="AH23" s="342">
        <v>0</v>
      </c>
      <c r="AI23" s="326"/>
      <c r="AJ23" s="326"/>
      <c r="AK23" s="326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51"/>
      <c r="Z24" s="351"/>
      <c r="AA24" s="351" t="s">
        <v>95</v>
      </c>
      <c r="AB24" s="342">
        <v>6</v>
      </c>
      <c r="AC24" s="342">
        <v>3</v>
      </c>
      <c r="AD24" s="342">
        <v>1</v>
      </c>
      <c r="AE24" s="342">
        <v>0</v>
      </c>
      <c r="AF24" s="342">
        <v>0</v>
      </c>
      <c r="AG24" s="342">
        <v>0</v>
      </c>
      <c r="AH24" s="342">
        <v>0</v>
      </c>
      <c r="AI24" s="326"/>
      <c r="AJ24" s="326"/>
      <c r="AK24" s="326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51"/>
      <c r="Z25" s="351"/>
      <c r="AA25" s="351" t="s">
        <v>100</v>
      </c>
      <c r="AB25" s="342">
        <v>3</v>
      </c>
      <c r="AC25" s="342">
        <v>2</v>
      </c>
      <c r="AD25" s="342">
        <v>1</v>
      </c>
      <c r="AE25" s="342">
        <v>0</v>
      </c>
      <c r="AF25" s="342">
        <v>0</v>
      </c>
      <c r="AG25" s="342">
        <v>0</v>
      </c>
      <c r="AH25" s="342">
        <v>0</v>
      </c>
      <c r="AI25" s="326"/>
      <c r="AJ25" s="326"/>
      <c r="AK25" s="326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6"/>
      <c r="AJ26" s="326"/>
      <c r="AK26" s="326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6"/>
      <c r="AJ27" s="326"/>
      <c r="AK27" s="326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67"/>
      <c r="AJ28" s="367"/>
      <c r="AK28" s="367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67"/>
      <c r="AJ29" s="367"/>
      <c r="AK29" s="367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67"/>
      <c r="AJ30" s="367"/>
      <c r="AK30" s="367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67"/>
      <c r="AJ31" s="367"/>
      <c r="AK31" s="367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67"/>
      <c r="AJ32" s="367"/>
      <c r="AK32" s="367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67"/>
      <c r="AJ33" s="367"/>
      <c r="AK33" s="367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67"/>
      <c r="AJ34" s="367"/>
      <c r="AK34" s="367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67"/>
      <c r="AJ35" s="367"/>
      <c r="AK35" s="367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67"/>
      <c r="AJ36" s="367"/>
      <c r="AK36" s="367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67"/>
      <c r="AJ37" s="367"/>
      <c r="AK37" s="367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67"/>
      <c r="AJ38" s="367"/>
      <c r="AK38" s="367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67"/>
      <c r="AJ39" s="367"/>
      <c r="AK39" s="367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67"/>
      <c r="AJ40" s="367"/>
      <c r="AK40" s="367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67"/>
      <c r="AJ41" s="367"/>
      <c r="AK41" s="367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67"/>
      <c r="AJ42" s="367"/>
      <c r="AK42" s="367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67"/>
      <c r="AJ43" s="367"/>
      <c r="AK43" s="367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67"/>
      <c r="AJ44" s="367"/>
      <c r="AK44" s="367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67"/>
      <c r="AJ45" s="367"/>
      <c r="AK45" s="367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67"/>
      <c r="AJ46" s="367"/>
      <c r="AK46" s="367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67"/>
      <c r="AJ47" s="367"/>
      <c r="AK47" s="367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67"/>
      <c r="AJ48" s="367"/>
      <c r="AK48" s="367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67"/>
      <c r="AJ49" s="367"/>
      <c r="AK49" s="367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67"/>
      <c r="AJ50" s="367"/>
      <c r="AK50" s="367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67"/>
      <c r="AJ51" s="367"/>
      <c r="AK51" s="367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406"/>
      <c r="G52" s="406"/>
      <c r="H52" s="406"/>
      <c r="I52" s="40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67"/>
      <c r="AJ52" s="367"/>
      <c r="AK52" s="367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407"/>
      <c r="G53" s="407"/>
      <c r="H53" s="407"/>
      <c r="I53" s="40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67"/>
      <c r="AJ53" s="367"/>
      <c r="AK53" s="367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8"/>
      <c r="AJ54" s="368"/>
      <c r="AK54" s="368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IF(E55&gt;$R$62,,UPPER(VLOOKUP(E55,'Fiú 3B ELO'!$A$7:$Q$134,2)))</f>
        <v xml:space="preserve">VARGA 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8"/>
      <c r="AJ55" s="368"/>
      <c r="AK55" s="368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IF(E56&gt;$R$62,,UPPER(VLOOKUP(E56,'Fiú 3B ELO'!$A$7:$Q$134,2)))</f>
        <v xml:space="preserve">HORVÁTH 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8"/>
      <c r="AJ56" s="368"/>
      <c r="AK56" s="368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8"/>
      <c r="AJ57" s="368"/>
      <c r="AK57" s="368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8"/>
      <c r="AJ58" s="368"/>
      <c r="AK58" s="368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8"/>
      <c r="AJ59" s="368"/>
      <c r="AK59" s="368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8"/>
      <c r="AJ60" s="368"/>
      <c r="AK60" s="368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8"/>
      <c r="AJ61" s="368"/>
      <c r="AK61" s="368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MIN(4,'Fiú 3B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8"/>
      <c r="AJ62" s="368"/>
      <c r="AK62" s="368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16" priority="7" stopIfTrue="1" operator="equal">
      <formula>"QA"</formula>
    </cfRule>
    <cfRule type="cellIs" dxfId="15" priority="8" stopIfTrue="1" operator="equal">
      <formula>"DA"</formula>
    </cfRule>
  </conditionalFormatting>
  <conditionalFormatting sqref="E7 E21">
    <cfRule type="expression" dxfId="14" priority="5" stopIfTrue="1">
      <formula>$E7&lt;5</formula>
    </cfRule>
  </conditionalFormatting>
  <conditionalFormatting sqref="E22 E24 E26 E28 E30 E32 E34 E36 E38 E40 E42 E44 E46 E48 E50 E52">
    <cfRule type="expression" dxfId="13" priority="13" stopIfTrue="1">
      <formula>AND($E22&lt;9,$C22&gt;0)</formula>
    </cfRule>
  </conditionalFormatting>
  <conditionalFormatting sqref="F7 F9 F11 F13 F15 F17 F19 F21:F22">
    <cfRule type="cellIs" dxfId="12" priority="4" stopIfTrue="1" operator="equal">
      <formula>"Bye"</formula>
    </cfRule>
  </conditionalFormatting>
  <conditionalFormatting sqref="F24 F26 F28 F30 F32 F34 F36 F38 F40 F42 F44 F46 F48 F50">
    <cfRule type="cellIs" dxfId="1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" priority="12" stopIfTrue="1">
      <formula>AND($E22&lt;9,$C22&gt;0)</formula>
    </cfRule>
  </conditionalFormatting>
  <conditionalFormatting sqref="H7 H9 H11 H13 H15 H17 H19 H21">
    <cfRule type="expression" dxfId="9" priority="17" stopIfTrue="1">
      <formula>AND($E7&lt;9,$C7&gt;0)</formula>
    </cfRule>
  </conditionalFormatting>
  <conditionalFormatting sqref="I8 K10 I12 M14 I16 K18 I20 I23 K25 I27 M29 I31 K33 I35 I39 K41 I43 M45 I47 K49 I51">
    <cfRule type="expression" dxfId="8" priority="14" stopIfTrue="1">
      <formula>AND($O$1="CU",I8="Umpire")</formula>
    </cfRule>
    <cfRule type="expression" dxfId="7" priority="15" stopIfTrue="1">
      <formula>AND($O$1="CU",I8&lt;&gt;"Umpire",J8&lt;&gt;"")</formula>
    </cfRule>
    <cfRule type="expression" dxfId="6" priority="16" stopIfTrue="1">
      <formula>AND($O$1="CU",I8&lt;&gt;"Umpire")</formula>
    </cfRule>
  </conditionalFormatting>
  <conditionalFormatting sqref="J8 L10 J12 N14 J16 L18 J20 R62">
    <cfRule type="expression" dxfId="5" priority="6" stopIfTrue="1">
      <formula>$O$1="CU"</formula>
    </cfRule>
  </conditionalFormatting>
  <conditionalFormatting sqref="K8 M10 K12 O14 K16 M18 K20 K23 M25 K27 O29 K31 M33 K35 K39 M41 K43 O45 K47 M49 K51">
    <cfRule type="expression" dxfId="4" priority="9" stopIfTrue="1">
      <formula>J8="as"</formula>
    </cfRule>
    <cfRule type="expression" dxfId="3" priority="10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19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0"/>
  <sheetViews>
    <sheetView topLeftCell="A61" zoomScaleNormal="100" workbookViewId="0">
      <selection activeCell="J73" sqref="J73"/>
    </sheetView>
  </sheetViews>
  <sheetFormatPr defaultRowHeight="14.4" x14ac:dyDescent="0.3"/>
  <cols>
    <col min="1" max="2" width="5.6640625" style="431" customWidth="1"/>
    <col min="3" max="3" width="7.5546875" style="431" customWidth="1"/>
    <col min="4" max="4" width="6.88671875" style="431" customWidth="1"/>
    <col min="5" max="6" width="24.6640625" style="431" customWidth="1"/>
    <col min="7" max="7" width="11.5546875" style="431" customWidth="1"/>
    <col min="8" max="256" width="8.88671875" style="429"/>
    <col min="257" max="258" width="5.6640625" style="429" customWidth="1"/>
    <col min="259" max="259" width="7.5546875" style="429" customWidth="1"/>
    <col min="260" max="260" width="6.88671875" style="429" customWidth="1"/>
    <col min="261" max="262" width="24.6640625" style="429" customWidth="1"/>
    <col min="263" max="263" width="11.5546875" style="429" customWidth="1"/>
    <col min="264" max="512" width="8.88671875" style="429"/>
    <col min="513" max="514" width="5.6640625" style="429" customWidth="1"/>
    <col min="515" max="515" width="7.5546875" style="429" customWidth="1"/>
    <col min="516" max="516" width="6.88671875" style="429" customWidth="1"/>
    <col min="517" max="518" width="24.6640625" style="429" customWidth="1"/>
    <col min="519" max="519" width="11.5546875" style="429" customWidth="1"/>
    <col min="520" max="768" width="8.88671875" style="429"/>
    <col min="769" max="770" width="5.6640625" style="429" customWidth="1"/>
    <col min="771" max="771" width="7.5546875" style="429" customWidth="1"/>
    <col min="772" max="772" width="6.88671875" style="429" customWidth="1"/>
    <col min="773" max="774" width="24.6640625" style="429" customWidth="1"/>
    <col min="775" max="775" width="11.5546875" style="429" customWidth="1"/>
    <col min="776" max="1024" width="8.88671875" style="429"/>
    <col min="1025" max="1026" width="5.6640625" style="429" customWidth="1"/>
    <col min="1027" max="1027" width="7.5546875" style="429" customWidth="1"/>
    <col min="1028" max="1028" width="6.88671875" style="429" customWidth="1"/>
    <col min="1029" max="1030" width="24.6640625" style="429" customWidth="1"/>
    <col min="1031" max="1031" width="11.5546875" style="429" customWidth="1"/>
    <col min="1032" max="1280" width="8.88671875" style="429"/>
    <col min="1281" max="1282" width="5.6640625" style="429" customWidth="1"/>
    <col min="1283" max="1283" width="7.5546875" style="429" customWidth="1"/>
    <col min="1284" max="1284" width="6.88671875" style="429" customWidth="1"/>
    <col min="1285" max="1286" width="24.6640625" style="429" customWidth="1"/>
    <col min="1287" max="1287" width="11.5546875" style="429" customWidth="1"/>
    <col min="1288" max="1536" width="8.88671875" style="429"/>
    <col min="1537" max="1538" width="5.6640625" style="429" customWidth="1"/>
    <col min="1539" max="1539" width="7.5546875" style="429" customWidth="1"/>
    <col min="1540" max="1540" width="6.88671875" style="429" customWidth="1"/>
    <col min="1541" max="1542" width="24.6640625" style="429" customWidth="1"/>
    <col min="1543" max="1543" width="11.5546875" style="429" customWidth="1"/>
    <col min="1544" max="1792" width="8.88671875" style="429"/>
    <col min="1793" max="1794" width="5.6640625" style="429" customWidth="1"/>
    <col min="1795" max="1795" width="7.5546875" style="429" customWidth="1"/>
    <col min="1796" max="1796" width="6.88671875" style="429" customWidth="1"/>
    <col min="1797" max="1798" width="24.6640625" style="429" customWidth="1"/>
    <col min="1799" max="1799" width="11.5546875" style="429" customWidth="1"/>
    <col min="1800" max="2048" width="8.88671875" style="429"/>
    <col min="2049" max="2050" width="5.6640625" style="429" customWidth="1"/>
    <col min="2051" max="2051" width="7.5546875" style="429" customWidth="1"/>
    <col min="2052" max="2052" width="6.88671875" style="429" customWidth="1"/>
    <col min="2053" max="2054" width="24.6640625" style="429" customWidth="1"/>
    <col min="2055" max="2055" width="11.5546875" style="429" customWidth="1"/>
    <col min="2056" max="2304" width="8.88671875" style="429"/>
    <col min="2305" max="2306" width="5.6640625" style="429" customWidth="1"/>
    <col min="2307" max="2307" width="7.5546875" style="429" customWidth="1"/>
    <col min="2308" max="2308" width="6.88671875" style="429" customWidth="1"/>
    <col min="2309" max="2310" width="24.6640625" style="429" customWidth="1"/>
    <col min="2311" max="2311" width="11.5546875" style="429" customWidth="1"/>
    <col min="2312" max="2560" width="8.88671875" style="429"/>
    <col min="2561" max="2562" width="5.6640625" style="429" customWidth="1"/>
    <col min="2563" max="2563" width="7.5546875" style="429" customWidth="1"/>
    <col min="2564" max="2564" width="6.88671875" style="429" customWidth="1"/>
    <col min="2565" max="2566" width="24.6640625" style="429" customWidth="1"/>
    <col min="2567" max="2567" width="11.5546875" style="429" customWidth="1"/>
    <col min="2568" max="2816" width="8.88671875" style="429"/>
    <col min="2817" max="2818" width="5.6640625" style="429" customWidth="1"/>
    <col min="2819" max="2819" width="7.5546875" style="429" customWidth="1"/>
    <col min="2820" max="2820" width="6.88671875" style="429" customWidth="1"/>
    <col min="2821" max="2822" width="24.6640625" style="429" customWidth="1"/>
    <col min="2823" max="2823" width="11.5546875" style="429" customWidth="1"/>
    <col min="2824" max="3072" width="8.88671875" style="429"/>
    <col min="3073" max="3074" width="5.6640625" style="429" customWidth="1"/>
    <col min="3075" max="3075" width="7.5546875" style="429" customWidth="1"/>
    <col min="3076" max="3076" width="6.88671875" style="429" customWidth="1"/>
    <col min="3077" max="3078" width="24.6640625" style="429" customWidth="1"/>
    <col min="3079" max="3079" width="11.5546875" style="429" customWidth="1"/>
    <col min="3080" max="3328" width="8.88671875" style="429"/>
    <col min="3329" max="3330" width="5.6640625" style="429" customWidth="1"/>
    <col min="3331" max="3331" width="7.5546875" style="429" customWidth="1"/>
    <col min="3332" max="3332" width="6.88671875" style="429" customWidth="1"/>
    <col min="3333" max="3334" width="24.6640625" style="429" customWidth="1"/>
    <col min="3335" max="3335" width="11.5546875" style="429" customWidth="1"/>
    <col min="3336" max="3584" width="8.88671875" style="429"/>
    <col min="3585" max="3586" width="5.6640625" style="429" customWidth="1"/>
    <col min="3587" max="3587" width="7.5546875" style="429" customWidth="1"/>
    <col min="3588" max="3588" width="6.88671875" style="429" customWidth="1"/>
    <col min="3589" max="3590" width="24.6640625" style="429" customWidth="1"/>
    <col min="3591" max="3591" width="11.5546875" style="429" customWidth="1"/>
    <col min="3592" max="3840" width="8.88671875" style="429"/>
    <col min="3841" max="3842" width="5.6640625" style="429" customWidth="1"/>
    <col min="3843" max="3843" width="7.5546875" style="429" customWidth="1"/>
    <col min="3844" max="3844" width="6.88671875" style="429" customWidth="1"/>
    <col min="3845" max="3846" width="24.6640625" style="429" customWidth="1"/>
    <col min="3847" max="3847" width="11.5546875" style="429" customWidth="1"/>
    <col min="3848" max="4096" width="8.88671875" style="429"/>
    <col min="4097" max="4098" width="5.6640625" style="429" customWidth="1"/>
    <col min="4099" max="4099" width="7.5546875" style="429" customWidth="1"/>
    <col min="4100" max="4100" width="6.88671875" style="429" customWidth="1"/>
    <col min="4101" max="4102" width="24.6640625" style="429" customWidth="1"/>
    <col min="4103" max="4103" width="11.5546875" style="429" customWidth="1"/>
    <col min="4104" max="4352" width="8.88671875" style="429"/>
    <col min="4353" max="4354" width="5.6640625" style="429" customWidth="1"/>
    <col min="4355" max="4355" width="7.5546875" style="429" customWidth="1"/>
    <col min="4356" max="4356" width="6.88671875" style="429" customWidth="1"/>
    <col min="4357" max="4358" width="24.6640625" style="429" customWidth="1"/>
    <col min="4359" max="4359" width="11.5546875" style="429" customWidth="1"/>
    <col min="4360" max="4608" width="8.88671875" style="429"/>
    <col min="4609" max="4610" width="5.6640625" style="429" customWidth="1"/>
    <col min="4611" max="4611" width="7.5546875" style="429" customWidth="1"/>
    <col min="4612" max="4612" width="6.88671875" style="429" customWidth="1"/>
    <col min="4613" max="4614" width="24.6640625" style="429" customWidth="1"/>
    <col min="4615" max="4615" width="11.5546875" style="429" customWidth="1"/>
    <col min="4616" max="4864" width="8.88671875" style="429"/>
    <col min="4865" max="4866" width="5.6640625" style="429" customWidth="1"/>
    <col min="4867" max="4867" width="7.5546875" style="429" customWidth="1"/>
    <col min="4868" max="4868" width="6.88671875" style="429" customWidth="1"/>
    <col min="4869" max="4870" width="24.6640625" style="429" customWidth="1"/>
    <col min="4871" max="4871" width="11.5546875" style="429" customWidth="1"/>
    <col min="4872" max="5120" width="8.88671875" style="429"/>
    <col min="5121" max="5122" width="5.6640625" style="429" customWidth="1"/>
    <col min="5123" max="5123" width="7.5546875" style="429" customWidth="1"/>
    <col min="5124" max="5124" width="6.88671875" style="429" customWidth="1"/>
    <col min="5125" max="5126" width="24.6640625" style="429" customWidth="1"/>
    <col min="5127" max="5127" width="11.5546875" style="429" customWidth="1"/>
    <col min="5128" max="5376" width="8.88671875" style="429"/>
    <col min="5377" max="5378" width="5.6640625" style="429" customWidth="1"/>
    <col min="5379" max="5379" width="7.5546875" style="429" customWidth="1"/>
    <col min="5380" max="5380" width="6.88671875" style="429" customWidth="1"/>
    <col min="5381" max="5382" width="24.6640625" style="429" customWidth="1"/>
    <col min="5383" max="5383" width="11.5546875" style="429" customWidth="1"/>
    <col min="5384" max="5632" width="8.88671875" style="429"/>
    <col min="5633" max="5634" width="5.6640625" style="429" customWidth="1"/>
    <col min="5635" max="5635" width="7.5546875" style="429" customWidth="1"/>
    <col min="5636" max="5636" width="6.88671875" style="429" customWidth="1"/>
    <col min="5637" max="5638" width="24.6640625" style="429" customWidth="1"/>
    <col min="5639" max="5639" width="11.5546875" style="429" customWidth="1"/>
    <col min="5640" max="5888" width="8.88671875" style="429"/>
    <col min="5889" max="5890" width="5.6640625" style="429" customWidth="1"/>
    <col min="5891" max="5891" width="7.5546875" style="429" customWidth="1"/>
    <col min="5892" max="5892" width="6.88671875" style="429" customWidth="1"/>
    <col min="5893" max="5894" width="24.6640625" style="429" customWidth="1"/>
    <col min="5895" max="5895" width="11.5546875" style="429" customWidth="1"/>
    <col min="5896" max="6144" width="8.88671875" style="429"/>
    <col min="6145" max="6146" width="5.6640625" style="429" customWidth="1"/>
    <col min="6147" max="6147" width="7.5546875" style="429" customWidth="1"/>
    <col min="6148" max="6148" width="6.88671875" style="429" customWidth="1"/>
    <col min="6149" max="6150" width="24.6640625" style="429" customWidth="1"/>
    <col min="6151" max="6151" width="11.5546875" style="429" customWidth="1"/>
    <col min="6152" max="6400" width="8.88671875" style="429"/>
    <col min="6401" max="6402" width="5.6640625" style="429" customWidth="1"/>
    <col min="6403" max="6403" width="7.5546875" style="429" customWidth="1"/>
    <col min="6404" max="6404" width="6.88671875" style="429" customWidth="1"/>
    <col min="6405" max="6406" width="24.6640625" style="429" customWidth="1"/>
    <col min="6407" max="6407" width="11.5546875" style="429" customWidth="1"/>
    <col min="6408" max="6656" width="8.88671875" style="429"/>
    <col min="6657" max="6658" width="5.6640625" style="429" customWidth="1"/>
    <col min="6659" max="6659" width="7.5546875" style="429" customWidth="1"/>
    <col min="6660" max="6660" width="6.88671875" style="429" customWidth="1"/>
    <col min="6661" max="6662" width="24.6640625" style="429" customWidth="1"/>
    <col min="6663" max="6663" width="11.5546875" style="429" customWidth="1"/>
    <col min="6664" max="6912" width="8.88671875" style="429"/>
    <col min="6913" max="6914" width="5.6640625" style="429" customWidth="1"/>
    <col min="6915" max="6915" width="7.5546875" style="429" customWidth="1"/>
    <col min="6916" max="6916" width="6.88671875" style="429" customWidth="1"/>
    <col min="6917" max="6918" width="24.6640625" style="429" customWidth="1"/>
    <col min="6919" max="6919" width="11.5546875" style="429" customWidth="1"/>
    <col min="6920" max="7168" width="8.88671875" style="429"/>
    <col min="7169" max="7170" width="5.6640625" style="429" customWidth="1"/>
    <col min="7171" max="7171" width="7.5546875" style="429" customWidth="1"/>
    <col min="7172" max="7172" width="6.88671875" style="429" customWidth="1"/>
    <col min="7173" max="7174" width="24.6640625" style="429" customWidth="1"/>
    <col min="7175" max="7175" width="11.5546875" style="429" customWidth="1"/>
    <col min="7176" max="7424" width="8.88671875" style="429"/>
    <col min="7425" max="7426" width="5.6640625" style="429" customWidth="1"/>
    <col min="7427" max="7427" width="7.5546875" style="429" customWidth="1"/>
    <col min="7428" max="7428" width="6.88671875" style="429" customWidth="1"/>
    <col min="7429" max="7430" width="24.6640625" style="429" customWidth="1"/>
    <col min="7431" max="7431" width="11.5546875" style="429" customWidth="1"/>
    <col min="7432" max="7680" width="8.88671875" style="429"/>
    <col min="7681" max="7682" width="5.6640625" style="429" customWidth="1"/>
    <col min="7683" max="7683" width="7.5546875" style="429" customWidth="1"/>
    <col min="7684" max="7684" width="6.88671875" style="429" customWidth="1"/>
    <col min="7685" max="7686" width="24.6640625" style="429" customWidth="1"/>
    <col min="7687" max="7687" width="11.5546875" style="429" customWidth="1"/>
    <col min="7688" max="7936" width="8.88671875" style="429"/>
    <col min="7937" max="7938" width="5.6640625" style="429" customWidth="1"/>
    <col min="7939" max="7939" width="7.5546875" style="429" customWidth="1"/>
    <col min="7940" max="7940" width="6.88671875" style="429" customWidth="1"/>
    <col min="7941" max="7942" width="24.6640625" style="429" customWidth="1"/>
    <col min="7943" max="7943" width="11.5546875" style="429" customWidth="1"/>
    <col min="7944" max="8192" width="8.88671875" style="429"/>
    <col min="8193" max="8194" width="5.6640625" style="429" customWidth="1"/>
    <col min="8195" max="8195" width="7.5546875" style="429" customWidth="1"/>
    <col min="8196" max="8196" width="6.88671875" style="429" customWidth="1"/>
    <col min="8197" max="8198" width="24.6640625" style="429" customWidth="1"/>
    <col min="8199" max="8199" width="11.5546875" style="429" customWidth="1"/>
    <col min="8200" max="8448" width="8.88671875" style="429"/>
    <col min="8449" max="8450" width="5.6640625" style="429" customWidth="1"/>
    <col min="8451" max="8451" width="7.5546875" style="429" customWidth="1"/>
    <col min="8452" max="8452" width="6.88671875" style="429" customWidth="1"/>
    <col min="8453" max="8454" width="24.6640625" style="429" customWidth="1"/>
    <col min="8455" max="8455" width="11.5546875" style="429" customWidth="1"/>
    <col min="8456" max="8704" width="8.88671875" style="429"/>
    <col min="8705" max="8706" width="5.6640625" style="429" customWidth="1"/>
    <col min="8707" max="8707" width="7.5546875" style="429" customWidth="1"/>
    <col min="8708" max="8708" width="6.88671875" style="429" customWidth="1"/>
    <col min="8709" max="8710" width="24.6640625" style="429" customWidth="1"/>
    <col min="8711" max="8711" width="11.5546875" style="429" customWidth="1"/>
    <col min="8712" max="8960" width="8.88671875" style="429"/>
    <col min="8961" max="8962" width="5.6640625" style="429" customWidth="1"/>
    <col min="8963" max="8963" width="7.5546875" style="429" customWidth="1"/>
    <col min="8964" max="8964" width="6.88671875" style="429" customWidth="1"/>
    <col min="8965" max="8966" width="24.6640625" style="429" customWidth="1"/>
    <col min="8967" max="8967" width="11.5546875" style="429" customWidth="1"/>
    <col min="8968" max="9216" width="8.88671875" style="429"/>
    <col min="9217" max="9218" width="5.6640625" style="429" customWidth="1"/>
    <col min="9219" max="9219" width="7.5546875" style="429" customWidth="1"/>
    <col min="9220" max="9220" width="6.88671875" style="429" customWidth="1"/>
    <col min="9221" max="9222" width="24.6640625" style="429" customWidth="1"/>
    <col min="9223" max="9223" width="11.5546875" style="429" customWidth="1"/>
    <col min="9224" max="9472" width="8.88671875" style="429"/>
    <col min="9473" max="9474" width="5.6640625" style="429" customWidth="1"/>
    <col min="9475" max="9475" width="7.5546875" style="429" customWidth="1"/>
    <col min="9476" max="9476" width="6.88671875" style="429" customWidth="1"/>
    <col min="9477" max="9478" width="24.6640625" style="429" customWidth="1"/>
    <col min="9479" max="9479" width="11.5546875" style="429" customWidth="1"/>
    <col min="9480" max="9728" width="8.88671875" style="429"/>
    <col min="9729" max="9730" width="5.6640625" style="429" customWidth="1"/>
    <col min="9731" max="9731" width="7.5546875" style="429" customWidth="1"/>
    <col min="9732" max="9732" width="6.88671875" style="429" customWidth="1"/>
    <col min="9733" max="9734" width="24.6640625" style="429" customWidth="1"/>
    <col min="9735" max="9735" width="11.5546875" style="429" customWidth="1"/>
    <col min="9736" max="9984" width="8.88671875" style="429"/>
    <col min="9985" max="9986" width="5.6640625" style="429" customWidth="1"/>
    <col min="9987" max="9987" width="7.5546875" style="429" customWidth="1"/>
    <col min="9988" max="9988" width="6.88671875" style="429" customWidth="1"/>
    <col min="9989" max="9990" width="24.6640625" style="429" customWidth="1"/>
    <col min="9991" max="9991" width="11.5546875" style="429" customWidth="1"/>
    <col min="9992" max="10240" width="8.88671875" style="429"/>
    <col min="10241" max="10242" width="5.6640625" style="429" customWidth="1"/>
    <col min="10243" max="10243" width="7.5546875" style="429" customWidth="1"/>
    <col min="10244" max="10244" width="6.88671875" style="429" customWidth="1"/>
    <col min="10245" max="10246" width="24.6640625" style="429" customWidth="1"/>
    <col min="10247" max="10247" width="11.5546875" style="429" customWidth="1"/>
    <col min="10248" max="10496" width="8.88671875" style="429"/>
    <col min="10497" max="10498" width="5.6640625" style="429" customWidth="1"/>
    <col min="10499" max="10499" width="7.5546875" style="429" customWidth="1"/>
    <col min="10500" max="10500" width="6.88671875" style="429" customWidth="1"/>
    <col min="10501" max="10502" width="24.6640625" style="429" customWidth="1"/>
    <col min="10503" max="10503" width="11.5546875" style="429" customWidth="1"/>
    <col min="10504" max="10752" width="8.88671875" style="429"/>
    <col min="10753" max="10754" width="5.6640625" style="429" customWidth="1"/>
    <col min="10755" max="10755" width="7.5546875" style="429" customWidth="1"/>
    <col min="10756" max="10756" width="6.88671875" style="429" customWidth="1"/>
    <col min="10757" max="10758" width="24.6640625" style="429" customWidth="1"/>
    <col min="10759" max="10759" width="11.5546875" style="429" customWidth="1"/>
    <col min="10760" max="11008" width="8.88671875" style="429"/>
    <col min="11009" max="11010" width="5.6640625" style="429" customWidth="1"/>
    <col min="11011" max="11011" width="7.5546875" style="429" customWidth="1"/>
    <col min="11012" max="11012" width="6.88671875" style="429" customWidth="1"/>
    <col min="11013" max="11014" width="24.6640625" style="429" customWidth="1"/>
    <col min="11015" max="11015" width="11.5546875" style="429" customWidth="1"/>
    <col min="11016" max="11264" width="8.88671875" style="429"/>
    <col min="11265" max="11266" width="5.6640625" style="429" customWidth="1"/>
    <col min="11267" max="11267" width="7.5546875" style="429" customWidth="1"/>
    <col min="11268" max="11268" width="6.88671875" style="429" customWidth="1"/>
    <col min="11269" max="11270" width="24.6640625" style="429" customWidth="1"/>
    <col min="11271" max="11271" width="11.5546875" style="429" customWidth="1"/>
    <col min="11272" max="11520" width="8.88671875" style="429"/>
    <col min="11521" max="11522" width="5.6640625" style="429" customWidth="1"/>
    <col min="11523" max="11523" width="7.5546875" style="429" customWidth="1"/>
    <col min="11524" max="11524" width="6.88671875" style="429" customWidth="1"/>
    <col min="11525" max="11526" width="24.6640625" style="429" customWidth="1"/>
    <col min="11527" max="11527" width="11.5546875" style="429" customWidth="1"/>
    <col min="11528" max="11776" width="8.88671875" style="429"/>
    <col min="11777" max="11778" width="5.6640625" style="429" customWidth="1"/>
    <col min="11779" max="11779" width="7.5546875" style="429" customWidth="1"/>
    <col min="11780" max="11780" width="6.88671875" style="429" customWidth="1"/>
    <col min="11781" max="11782" width="24.6640625" style="429" customWidth="1"/>
    <col min="11783" max="11783" width="11.5546875" style="429" customWidth="1"/>
    <col min="11784" max="12032" width="8.88671875" style="429"/>
    <col min="12033" max="12034" width="5.6640625" style="429" customWidth="1"/>
    <col min="12035" max="12035" width="7.5546875" style="429" customWidth="1"/>
    <col min="12036" max="12036" width="6.88671875" style="429" customWidth="1"/>
    <col min="12037" max="12038" width="24.6640625" style="429" customWidth="1"/>
    <col min="12039" max="12039" width="11.5546875" style="429" customWidth="1"/>
    <col min="12040" max="12288" width="8.88671875" style="429"/>
    <col min="12289" max="12290" width="5.6640625" style="429" customWidth="1"/>
    <col min="12291" max="12291" width="7.5546875" style="429" customWidth="1"/>
    <col min="12292" max="12292" width="6.88671875" style="429" customWidth="1"/>
    <col min="12293" max="12294" width="24.6640625" style="429" customWidth="1"/>
    <col min="12295" max="12295" width="11.5546875" style="429" customWidth="1"/>
    <col min="12296" max="12544" width="8.88671875" style="429"/>
    <col min="12545" max="12546" width="5.6640625" style="429" customWidth="1"/>
    <col min="12547" max="12547" width="7.5546875" style="429" customWidth="1"/>
    <col min="12548" max="12548" width="6.88671875" style="429" customWidth="1"/>
    <col min="12549" max="12550" width="24.6640625" style="429" customWidth="1"/>
    <col min="12551" max="12551" width="11.5546875" style="429" customWidth="1"/>
    <col min="12552" max="12800" width="8.88671875" style="429"/>
    <col min="12801" max="12802" width="5.6640625" style="429" customWidth="1"/>
    <col min="12803" max="12803" width="7.5546875" style="429" customWidth="1"/>
    <col min="12804" max="12804" width="6.88671875" style="429" customWidth="1"/>
    <col min="12805" max="12806" width="24.6640625" style="429" customWidth="1"/>
    <col min="12807" max="12807" width="11.5546875" style="429" customWidth="1"/>
    <col min="12808" max="13056" width="8.88671875" style="429"/>
    <col min="13057" max="13058" width="5.6640625" style="429" customWidth="1"/>
    <col min="13059" max="13059" width="7.5546875" style="429" customWidth="1"/>
    <col min="13060" max="13060" width="6.88671875" style="429" customWidth="1"/>
    <col min="13061" max="13062" width="24.6640625" style="429" customWidth="1"/>
    <col min="13063" max="13063" width="11.5546875" style="429" customWidth="1"/>
    <col min="13064" max="13312" width="8.88671875" style="429"/>
    <col min="13313" max="13314" width="5.6640625" style="429" customWidth="1"/>
    <col min="13315" max="13315" width="7.5546875" style="429" customWidth="1"/>
    <col min="13316" max="13316" width="6.88671875" style="429" customWidth="1"/>
    <col min="13317" max="13318" width="24.6640625" style="429" customWidth="1"/>
    <col min="13319" max="13319" width="11.5546875" style="429" customWidth="1"/>
    <col min="13320" max="13568" width="8.88671875" style="429"/>
    <col min="13569" max="13570" width="5.6640625" style="429" customWidth="1"/>
    <col min="13571" max="13571" width="7.5546875" style="429" customWidth="1"/>
    <col min="13572" max="13572" width="6.88671875" style="429" customWidth="1"/>
    <col min="13573" max="13574" width="24.6640625" style="429" customWidth="1"/>
    <col min="13575" max="13575" width="11.5546875" style="429" customWidth="1"/>
    <col min="13576" max="13824" width="8.88671875" style="429"/>
    <col min="13825" max="13826" width="5.6640625" style="429" customWidth="1"/>
    <col min="13827" max="13827" width="7.5546875" style="429" customWidth="1"/>
    <col min="13828" max="13828" width="6.88671875" style="429" customWidth="1"/>
    <col min="13829" max="13830" width="24.6640625" style="429" customWidth="1"/>
    <col min="13831" max="13831" width="11.5546875" style="429" customWidth="1"/>
    <col min="13832" max="14080" width="8.88671875" style="429"/>
    <col min="14081" max="14082" width="5.6640625" style="429" customWidth="1"/>
    <col min="14083" max="14083" width="7.5546875" style="429" customWidth="1"/>
    <col min="14084" max="14084" width="6.88671875" style="429" customWidth="1"/>
    <col min="14085" max="14086" width="24.6640625" style="429" customWidth="1"/>
    <col min="14087" max="14087" width="11.5546875" style="429" customWidth="1"/>
    <col min="14088" max="14336" width="8.88671875" style="429"/>
    <col min="14337" max="14338" width="5.6640625" style="429" customWidth="1"/>
    <col min="14339" max="14339" width="7.5546875" style="429" customWidth="1"/>
    <col min="14340" max="14340" width="6.88671875" style="429" customWidth="1"/>
    <col min="14341" max="14342" width="24.6640625" style="429" customWidth="1"/>
    <col min="14343" max="14343" width="11.5546875" style="429" customWidth="1"/>
    <col min="14344" max="14592" width="8.88671875" style="429"/>
    <col min="14593" max="14594" width="5.6640625" style="429" customWidth="1"/>
    <col min="14595" max="14595" width="7.5546875" style="429" customWidth="1"/>
    <col min="14596" max="14596" width="6.88671875" style="429" customWidth="1"/>
    <col min="14597" max="14598" width="24.6640625" style="429" customWidth="1"/>
    <col min="14599" max="14599" width="11.5546875" style="429" customWidth="1"/>
    <col min="14600" max="14848" width="8.88671875" style="429"/>
    <col min="14849" max="14850" width="5.6640625" style="429" customWidth="1"/>
    <col min="14851" max="14851" width="7.5546875" style="429" customWidth="1"/>
    <col min="14852" max="14852" width="6.88671875" style="429" customWidth="1"/>
    <col min="14853" max="14854" width="24.6640625" style="429" customWidth="1"/>
    <col min="14855" max="14855" width="11.5546875" style="429" customWidth="1"/>
    <col min="14856" max="15104" width="8.88671875" style="429"/>
    <col min="15105" max="15106" width="5.6640625" style="429" customWidth="1"/>
    <col min="15107" max="15107" width="7.5546875" style="429" customWidth="1"/>
    <col min="15108" max="15108" width="6.88671875" style="429" customWidth="1"/>
    <col min="15109" max="15110" width="24.6640625" style="429" customWidth="1"/>
    <col min="15111" max="15111" width="11.5546875" style="429" customWidth="1"/>
    <col min="15112" max="15360" width="8.88671875" style="429"/>
    <col min="15361" max="15362" width="5.6640625" style="429" customWidth="1"/>
    <col min="15363" max="15363" width="7.5546875" style="429" customWidth="1"/>
    <col min="15364" max="15364" width="6.88671875" style="429" customWidth="1"/>
    <col min="15365" max="15366" width="24.6640625" style="429" customWidth="1"/>
    <col min="15367" max="15367" width="11.5546875" style="429" customWidth="1"/>
    <col min="15368" max="15616" width="8.88671875" style="429"/>
    <col min="15617" max="15618" width="5.6640625" style="429" customWidth="1"/>
    <col min="15619" max="15619" width="7.5546875" style="429" customWidth="1"/>
    <col min="15620" max="15620" width="6.88671875" style="429" customWidth="1"/>
    <col min="15621" max="15622" width="24.6640625" style="429" customWidth="1"/>
    <col min="15623" max="15623" width="11.5546875" style="429" customWidth="1"/>
    <col min="15624" max="15872" width="8.88671875" style="429"/>
    <col min="15873" max="15874" width="5.6640625" style="429" customWidth="1"/>
    <col min="15875" max="15875" width="7.5546875" style="429" customWidth="1"/>
    <col min="15876" max="15876" width="6.88671875" style="429" customWidth="1"/>
    <col min="15877" max="15878" width="24.6640625" style="429" customWidth="1"/>
    <col min="15879" max="15879" width="11.5546875" style="429" customWidth="1"/>
    <col min="15880" max="16128" width="8.88671875" style="429"/>
    <col min="16129" max="16130" width="5.6640625" style="429" customWidth="1"/>
    <col min="16131" max="16131" width="7.5546875" style="429" customWidth="1"/>
    <col min="16132" max="16132" width="6.88671875" style="429" customWidth="1"/>
    <col min="16133" max="16134" width="24.6640625" style="429" customWidth="1"/>
    <col min="16135" max="16135" width="11.5546875" style="429" customWidth="1"/>
    <col min="16136" max="16384" width="8.88671875" style="429"/>
  </cols>
  <sheetData>
    <row r="1" spans="1:7" ht="45" customHeight="1" x14ac:dyDescent="0.3">
      <c r="A1" s="451" t="s">
        <v>379</v>
      </c>
      <c r="B1" s="451"/>
      <c r="C1" s="451"/>
      <c r="D1" s="451"/>
      <c r="E1" s="451"/>
      <c r="F1" s="451"/>
      <c r="G1" s="451"/>
    </row>
    <row r="2" spans="1:7" ht="46.5" customHeight="1" x14ac:dyDescent="0.3">
      <c r="A2" s="452" t="s">
        <v>380</v>
      </c>
      <c r="B2" s="452"/>
      <c r="C2" s="452"/>
      <c r="D2" s="452"/>
      <c r="E2" s="452"/>
      <c r="F2" s="452"/>
      <c r="G2" s="452"/>
    </row>
    <row r="3" spans="1:7" ht="48" customHeight="1" x14ac:dyDescent="0.3">
      <c r="A3" s="430" t="s">
        <v>381</v>
      </c>
      <c r="B3" s="430" t="s">
        <v>382</v>
      </c>
      <c r="C3" s="430" t="s">
        <v>383</v>
      </c>
      <c r="D3" s="430" t="s">
        <v>384</v>
      </c>
      <c r="G3" s="431" t="s">
        <v>385</v>
      </c>
    </row>
    <row r="4" spans="1:7" ht="18.600000000000001" customHeight="1" x14ac:dyDescent="0.3">
      <c r="A4" s="432" t="s">
        <v>386</v>
      </c>
      <c r="B4" s="433"/>
      <c r="C4" s="432" t="s">
        <v>387</v>
      </c>
      <c r="D4" s="432"/>
      <c r="E4" s="432" t="s">
        <v>388</v>
      </c>
      <c r="F4" s="432" t="s">
        <v>389</v>
      </c>
      <c r="G4" s="432"/>
    </row>
    <row r="5" spans="1:7" ht="18.600000000000001" customHeight="1" x14ac:dyDescent="0.3">
      <c r="A5" s="432"/>
      <c r="B5" s="433"/>
      <c r="C5" s="432"/>
      <c r="D5" s="432"/>
      <c r="E5" s="432" t="s">
        <v>390</v>
      </c>
      <c r="F5" s="432" t="s">
        <v>391</v>
      </c>
      <c r="G5" s="432"/>
    </row>
    <row r="6" spans="1:7" ht="18.600000000000001" customHeight="1" x14ac:dyDescent="0.3">
      <c r="A6" s="432"/>
      <c r="B6" s="433"/>
      <c r="C6" s="432"/>
      <c r="D6" s="432"/>
      <c r="E6" s="432" t="s">
        <v>392</v>
      </c>
      <c r="F6" s="432" t="s">
        <v>393</v>
      </c>
      <c r="G6" s="432"/>
    </row>
    <row r="7" spans="1:7" ht="18.600000000000001" customHeight="1" x14ac:dyDescent="0.3">
      <c r="A7" s="432"/>
      <c r="B7" s="433"/>
      <c r="C7" s="432"/>
      <c r="D7" s="432"/>
      <c r="E7" s="432" t="s">
        <v>394</v>
      </c>
      <c r="F7" s="432" t="s">
        <v>395</v>
      </c>
      <c r="G7" s="432"/>
    </row>
    <row r="8" spans="1:7" ht="18.600000000000001" customHeight="1" x14ac:dyDescent="0.3">
      <c r="A8" s="432"/>
      <c r="B8" s="433"/>
      <c r="C8" s="432"/>
      <c r="D8" s="432"/>
      <c r="E8" s="432" t="s">
        <v>396</v>
      </c>
      <c r="F8" s="432" t="s">
        <v>397</v>
      </c>
      <c r="G8" s="432"/>
    </row>
    <row r="9" spans="1:7" ht="18.600000000000001" customHeight="1" x14ac:dyDescent="0.3">
      <c r="A9" s="432"/>
      <c r="B9" s="433"/>
      <c r="C9" s="432"/>
      <c r="D9" s="432"/>
      <c r="E9" s="432" t="s">
        <v>398</v>
      </c>
      <c r="F9" s="437" t="s">
        <v>527</v>
      </c>
      <c r="G9" s="438" t="s">
        <v>526</v>
      </c>
    </row>
    <row r="10" spans="1:7" ht="18.600000000000001" customHeight="1" x14ac:dyDescent="0.3">
      <c r="A10" s="432"/>
      <c r="B10" s="433"/>
      <c r="C10" s="432"/>
      <c r="D10" s="432"/>
      <c r="E10" s="432" t="s">
        <v>400</v>
      </c>
      <c r="F10" s="432" t="s">
        <v>401</v>
      </c>
      <c r="G10" s="432"/>
    </row>
    <row r="11" spans="1:7" ht="18.600000000000001" customHeight="1" x14ac:dyDescent="0.3">
      <c r="A11" s="432"/>
      <c r="B11" s="433"/>
      <c r="C11" s="432"/>
      <c r="D11" s="432"/>
      <c r="E11" s="432" t="s">
        <v>402</v>
      </c>
      <c r="F11" s="432" t="s">
        <v>403</v>
      </c>
      <c r="G11" s="432"/>
    </row>
    <row r="12" spans="1:7" ht="18.600000000000001" customHeight="1" x14ac:dyDescent="0.3">
      <c r="A12" s="432" t="s">
        <v>404</v>
      </c>
      <c r="B12" s="433"/>
      <c r="C12" s="432" t="s">
        <v>387</v>
      </c>
      <c r="D12" s="432"/>
      <c r="E12" s="432" t="s">
        <v>405</v>
      </c>
      <c r="F12" s="432" t="s">
        <v>406</v>
      </c>
      <c r="G12" s="432"/>
    </row>
    <row r="13" spans="1:7" ht="18.600000000000001" customHeight="1" x14ac:dyDescent="0.3">
      <c r="A13" s="432"/>
      <c r="B13" s="433"/>
      <c r="C13" s="432"/>
      <c r="D13" s="432"/>
      <c r="E13" s="432" t="s">
        <v>407</v>
      </c>
      <c r="F13" s="432" t="s">
        <v>408</v>
      </c>
      <c r="G13" s="432"/>
    </row>
    <row r="14" spans="1:7" ht="18.600000000000001" customHeight="1" x14ac:dyDescent="0.3">
      <c r="A14" s="432"/>
      <c r="B14" s="433"/>
      <c r="C14" s="432"/>
      <c r="D14" s="432"/>
      <c r="E14" s="432" t="s">
        <v>409</v>
      </c>
      <c r="F14" s="432" t="s">
        <v>410</v>
      </c>
      <c r="G14" s="432"/>
    </row>
    <row r="15" spans="1:7" ht="18.600000000000001" customHeight="1" x14ac:dyDescent="0.3">
      <c r="A15" s="432"/>
      <c r="B15" s="433"/>
      <c r="C15" s="432" t="s">
        <v>411</v>
      </c>
      <c r="D15" s="432"/>
      <c r="E15" s="432" t="s">
        <v>412</v>
      </c>
      <c r="F15" s="432" t="s">
        <v>413</v>
      </c>
      <c r="G15" s="432"/>
    </row>
    <row r="16" spans="1:7" ht="18.600000000000001" customHeight="1" x14ac:dyDescent="0.3">
      <c r="A16" s="432"/>
      <c r="B16" s="433"/>
      <c r="C16" s="432"/>
      <c r="D16" s="432"/>
      <c r="E16" s="432" t="s">
        <v>414</v>
      </c>
      <c r="F16" s="432" t="s">
        <v>415</v>
      </c>
      <c r="G16" s="432"/>
    </row>
    <row r="17" spans="1:7" ht="18.600000000000001" customHeight="1" x14ac:dyDescent="0.3">
      <c r="A17" s="432"/>
      <c r="B17" s="433"/>
      <c r="C17" s="432"/>
      <c r="D17" s="432"/>
      <c r="E17" s="432" t="s">
        <v>416</v>
      </c>
      <c r="F17" s="432" t="s">
        <v>417</v>
      </c>
      <c r="G17" s="432"/>
    </row>
    <row r="18" spans="1:7" ht="18.600000000000001" customHeight="1" x14ac:dyDescent="0.3">
      <c r="A18" s="432"/>
      <c r="B18" s="433"/>
      <c r="C18" s="432"/>
      <c r="D18" s="432"/>
      <c r="E18" s="432" t="s">
        <v>418</v>
      </c>
      <c r="F18" s="432" t="s">
        <v>419</v>
      </c>
      <c r="G18" s="432"/>
    </row>
    <row r="19" spans="1:7" ht="18.600000000000001" customHeight="1" x14ac:dyDescent="0.3">
      <c r="A19" s="432"/>
      <c r="B19" s="433"/>
      <c r="C19" s="432"/>
      <c r="D19" s="432"/>
      <c r="E19" s="432" t="s">
        <v>420</v>
      </c>
      <c r="F19" s="432" t="s">
        <v>421</v>
      </c>
      <c r="G19" s="432"/>
    </row>
    <row r="20" spans="1:7" ht="18.600000000000001" customHeight="1" x14ac:dyDescent="0.3">
      <c r="A20" s="432" t="s">
        <v>422</v>
      </c>
      <c r="B20" s="433"/>
      <c r="C20" s="432"/>
      <c r="D20" s="432"/>
      <c r="E20" s="432" t="s">
        <v>423</v>
      </c>
      <c r="F20" s="432" t="s">
        <v>424</v>
      </c>
      <c r="G20" s="432"/>
    </row>
    <row r="21" spans="1:7" ht="18.600000000000001" customHeight="1" x14ac:dyDescent="0.3">
      <c r="A21" s="432"/>
      <c r="B21" s="433"/>
      <c r="C21" s="432"/>
      <c r="D21" s="432"/>
      <c r="E21" s="432" t="s">
        <v>425</v>
      </c>
      <c r="F21" s="432" t="s">
        <v>426</v>
      </c>
      <c r="G21" s="432"/>
    </row>
    <row r="22" spans="1:7" ht="18.600000000000001" customHeight="1" x14ac:dyDescent="0.3">
      <c r="A22" s="432"/>
      <c r="B22" s="433"/>
      <c r="C22" s="432"/>
      <c r="D22" s="432"/>
      <c r="E22" s="432" t="s">
        <v>427</v>
      </c>
      <c r="F22" s="432" t="s">
        <v>428</v>
      </c>
      <c r="G22" s="432"/>
    </row>
    <row r="23" spans="1:7" ht="18.600000000000001" customHeight="1" x14ac:dyDescent="0.3">
      <c r="A23" s="432"/>
      <c r="B23" s="433"/>
      <c r="C23" s="432" t="s">
        <v>429</v>
      </c>
      <c r="D23" s="432"/>
      <c r="E23" s="432" t="s">
        <v>388</v>
      </c>
      <c r="F23" s="432" t="s">
        <v>391</v>
      </c>
      <c r="G23" s="432"/>
    </row>
    <row r="24" spans="1:7" ht="18.600000000000001" customHeight="1" x14ac:dyDescent="0.3">
      <c r="A24" s="432"/>
      <c r="B24" s="433"/>
      <c r="C24" s="432"/>
      <c r="D24" s="432"/>
      <c r="E24" s="432" t="s">
        <v>390</v>
      </c>
      <c r="F24" s="432" t="s">
        <v>389</v>
      </c>
      <c r="G24" s="432"/>
    </row>
    <row r="25" spans="1:7" ht="18.600000000000001" customHeight="1" x14ac:dyDescent="0.3">
      <c r="A25" s="432"/>
      <c r="B25" s="433"/>
      <c r="C25" s="432"/>
      <c r="D25" s="432"/>
      <c r="E25" s="432" t="s">
        <v>430</v>
      </c>
      <c r="F25" s="432" t="s">
        <v>393</v>
      </c>
      <c r="G25" s="432"/>
    </row>
    <row r="26" spans="1:7" ht="18.600000000000001" customHeight="1" x14ac:dyDescent="0.3">
      <c r="A26" s="432"/>
      <c r="B26" s="433"/>
      <c r="C26" s="432"/>
      <c r="D26" s="432"/>
      <c r="E26" s="432" t="s">
        <v>431</v>
      </c>
      <c r="F26" s="432" t="s">
        <v>395</v>
      </c>
      <c r="G26" s="432"/>
    </row>
    <row r="27" spans="1:7" ht="18.600000000000001" customHeight="1" x14ac:dyDescent="0.3">
      <c r="A27" s="432"/>
      <c r="B27" s="433"/>
      <c r="C27" s="432"/>
      <c r="D27" s="432"/>
      <c r="E27" s="432" t="s">
        <v>396</v>
      </c>
      <c r="F27" s="432" t="s">
        <v>399</v>
      </c>
      <c r="G27" s="432"/>
    </row>
    <row r="28" spans="1:7" ht="18.600000000000001" customHeight="1" x14ac:dyDescent="0.3">
      <c r="A28" s="432" t="s">
        <v>432</v>
      </c>
      <c r="B28" s="433"/>
      <c r="C28" s="432"/>
      <c r="D28" s="432"/>
      <c r="E28" s="432" t="s">
        <v>398</v>
      </c>
      <c r="F28" s="437" t="s">
        <v>397</v>
      </c>
      <c r="G28" s="438" t="s">
        <v>526</v>
      </c>
    </row>
    <row r="29" spans="1:7" ht="18.600000000000001" customHeight="1" x14ac:dyDescent="0.3">
      <c r="A29" s="432"/>
      <c r="B29" s="433"/>
      <c r="C29" s="432"/>
      <c r="D29" s="432"/>
      <c r="E29" s="432" t="s">
        <v>400</v>
      </c>
      <c r="F29" s="432" t="s">
        <v>403</v>
      </c>
      <c r="G29" s="432"/>
    </row>
    <row r="30" spans="1:7" ht="18.600000000000001" customHeight="1" x14ac:dyDescent="0.3">
      <c r="A30" s="432"/>
      <c r="B30" s="433"/>
      <c r="C30" s="432"/>
      <c r="D30" s="432"/>
      <c r="E30" s="432" t="s">
        <v>433</v>
      </c>
      <c r="F30" s="432" t="s">
        <v>401</v>
      </c>
      <c r="G30" s="432"/>
    </row>
    <row r="31" spans="1:7" ht="18.600000000000001" customHeight="1" x14ac:dyDescent="0.3">
      <c r="A31" s="432"/>
      <c r="B31" s="433"/>
      <c r="C31" s="432"/>
      <c r="D31" s="432"/>
      <c r="E31" s="432" t="s">
        <v>434</v>
      </c>
      <c r="F31" s="432" t="s">
        <v>406</v>
      </c>
      <c r="G31" s="432"/>
    </row>
    <row r="32" spans="1:7" ht="18.600000000000001" customHeight="1" x14ac:dyDescent="0.3">
      <c r="A32" s="432"/>
      <c r="B32" s="433"/>
      <c r="C32" s="432"/>
      <c r="D32" s="432"/>
      <c r="E32" s="432" t="s">
        <v>407</v>
      </c>
      <c r="F32" s="432" t="s">
        <v>410</v>
      </c>
      <c r="G32" s="432"/>
    </row>
    <row r="33" spans="1:7" ht="18.600000000000001" customHeight="1" x14ac:dyDescent="0.3">
      <c r="A33" s="432"/>
      <c r="B33" s="433"/>
      <c r="C33" s="432"/>
      <c r="D33" s="432"/>
      <c r="E33" s="446" t="s">
        <v>543</v>
      </c>
      <c r="F33" s="432" t="s">
        <v>408</v>
      </c>
      <c r="G33" s="432"/>
    </row>
    <row r="34" spans="1:7" ht="18.600000000000001" customHeight="1" x14ac:dyDescent="0.3">
      <c r="A34" s="432"/>
      <c r="B34" s="433"/>
      <c r="C34" s="432" t="s">
        <v>411</v>
      </c>
      <c r="D34" s="432"/>
      <c r="E34" s="432" t="s">
        <v>435</v>
      </c>
      <c r="F34" s="432" t="s">
        <v>413</v>
      </c>
      <c r="G34" s="432"/>
    </row>
    <row r="35" spans="1:7" ht="18.600000000000001" customHeight="1" x14ac:dyDescent="0.3">
      <c r="A35" s="432"/>
      <c r="B35" s="433"/>
      <c r="C35" s="432"/>
      <c r="D35" s="432"/>
      <c r="E35" s="432" t="s">
        <v>436</v>
      </c>
      <c r="F35" s="432" t="s">
        <v>415</v>
      </c>
      <c r="G35" s="432"/>
    </row>
    <row r="36" spans="1:7" ht="18.600000000000001" customHeight="1" x14ac:dyDescent="0.3">
      <c r="A36" s="432" t="s">
        <v>437</v>
      </c>
      <c r="B36" s="433"/>
      <c r="C36" s="432"/>
      <c r="D36" s="432"/>
      <c r="E36" s="432" t="s">
        <v>438</v>
      </c>
      <c r="F36" s="432" t="s">
        <v>417</v>
      </c>
      <c r="G36" s="432"/>
    </row>
    <row r="37" spans="1:7" ht="18.600000000000001" customHeight="1" x14ac:dyDescent="0.3">
      <c r="A37" s="432"/>
      <c r="B37" s="433"/>
      <c r="C37" s="432"/>
      <c r="D37" s="432"/>
      <c r="E37" s="432" t="s">
        <v>439</v>
      </c>
      <c r="F37" s="432" t="s">
        <v>419</v>
      </c>
      <c r="G37" s="432"/>
    </row>
    <row r="38" spans="1:7" ht="18.600000000000001" customHeight="1" x14ac:dyDescent="0.3">
      <c r="A38" s="432"/>
      <c r="B38" s="433"/>
      <c r="C38" s="432"/>
      <c r="D38" s="432"/>
      <c r="E38" s="432" t="s">
        <v>440</v>
      </c>
      <c r="F38" s="432" t="s">
        <v>421</v>
      </c>
      <c r="G38" s="432"/>
    </row>
    <row r="39" spans="1:7" ht="18.600000000000001" customHeight="1" x14ac:dyDescent="0.3">
      <c r="A39" s="432"/>
      <c r="B39" s="433"/>
      <c r="C39" s="432"/>
      <c r="D39" s="432"/>
      <c r="E39" s="432" t="s">
        <v>441</v>
      </c>
      <c r="F39" s="432" t="s">
        <v>424</v>
      </c>
      <c r="G39" s="432"/>
    </row>
    <row r="40" spans="1:7" ht="18.600000000000001" customHeight="1" x14ac:dyDescent="0.3">
      <c r="A40" s="432"/>
      <c r="B40" s="433"/>
      <c r="C40" s="432"/>
      <c r="D40" s="432"/>
      <c r="E40" s="432" t="s">
        <v>442</v>
      </c>
      <c r="F40" s="432" t="s">
        <v>426</v>
      </c>
      <c r="G40" s="432"/>
    </row>
    <row r="41" spans="1:7" ht="18.600000000000001" customHeight="1" x14ac:dyDescent="0.3">
      <c r="A41" s="432"/>
      <c r="B41" s="433"/>
      <c r="C41" s="432"/>
      <c r="D41" s="432"/>
      <c r="E41" s="432" t="s">
        <v>443</v>
      </c>
      <c r="F41" s="432" t="s">
        <v>428</v>
      </c>
      <c r="G41" s="432"/>
    </row>
    <row r="42" spans="1:7" ht="18.600000000000001" customHeight="1" x14ac:dyDescent="0.3">
      <c r="A42" s="432"/>
      <c r="B42" s="433"/>
      <c r="C42" s="432" t="s">
        <v>387</v>
      </c>
      <c r="D42" s="432"/>
      <c r="E42" s="432" t="s">
        <v>388</v>
      </c>
      <c r="F42" s="432" t="s">
        <v>390</v>
      </c>
      <c r="G42" s="432"/>
    </row>
    <row r="43" spans="1:7" ht="18.600000000000001" customHeight="1" x14ac:dyDescent="0.3">
      <c r="A43" s="432"/>
      <c r="B43" s="433"/>
      <c r="C43" s="432"/>
      <c r="D43" s="432"/>
      <c r="E43" s="432" t="s">
        <v>391</v>
      </c>
      <c r="F43" s="432" t="s">
        <v>389</v>
      </c>
      <c r="G43" s="432"/>
    </row>
    <row r="44" spans="1:7" ht="18.600000000000001" customHeight="1" x14ac:dyDescent="0.3">
      <c r="A44" s="432" t="s">
        <v>444</v>
      </c>
      <c r="B44" s="433"/>
      <c r="C44" s="432"/>
      <c r="D44" s="432"/>
      <c r="E44" s="432" t="s">
        <v>430</v>
      </c>
      <c r="F44" s="432" t="s">
        <v>392</v>
      </c>
      <c r="G44" s="432"/>
    </row>
    <row r="45" spans="1:7" ht="18.600000000000001" customHeight="1" x14ac:dyDescent="0.3">
      <c r="A45" s="432"/>
      <c r="B45" s="433"/>
      <c r="C45" s="432"/>
      <c r="D45" s="432"/>
      <c r="E45" s="432" t="s">
        <v>431</v>
      </c>
      <c r="F45" s="432" t="s">
        <v>394</v>
      </c>
      <c r="G45" s="432"/>
    </row>
    <row r="46" spans="1:7" ht="18.600000000000001" customHeight="1" x14ac:dyDescent="0.3">
      <c r="A46" s="432"/>
      <c r="B46" s="433"/>
      <c r="C46" s="432"/>
      <c r="D46" s="432"/>
      <c r="E46" s="432" t="s">
        <v>445</v>
      </c>
      <c r="F46" s="432" t="s">
        <v>405</v>
      </c>
      <c r="G46" s="432"/>
    </row>
    <row r="47" spans="1:7" ht="18.600000000000001" customHeight="1" x14ac:dyDescent="0.3">
      <c r="A47" s="432"/>
      <c r="B47" s="433"/>
      <c r="C47" s="432"/>
      <c r="D47" s="432"/>
      <c r="E47" s="432" t="s">
        <v>407</v>
      </c>
      <c r="F47" s="432" t="s">
        <v>409</v>
      </c>
      <c r="G47" s="432"/>
    </row>
    <row r="48" spans="1:7" ht="18.600000000000001" customHeight="1" x14ac:dyDescent="0.3">
      <c r="A48" s="432"/>
      <c r="B48" s="433"/>
      <c r="C48" s="432"/>
      <c r="D48" s="432"/>
      <c r="E48" s="432" t="s">
        <v>410</v>
      </c>
      <c r="F48" s="432" t="s">
        <v>408</v>
      </c>
      <c r="G48" s="432"/>
    </row>
    <row r="49" spans="1:7" ht="18.600000000000001" customHeight="1" x14ac:dyDescent="0.3">
      <c r="A49" s="432"/>
      <c r="B49" s="433"/>
      <c r="C49" s="432"/>
      <c r="D49" s="432"/>
      <c r="E49" s="437" t="s">
        <v>396</v>
      </c>
      <c r="F49" s="432" t="s">
        <v>398</v>
      </c>
      <c r="G49" s="438" t="s">
        <v>528</v>
      </c>
    </row>
    <row r="50" spans="1:7" ht="18.600000000000001" customHeight="1" x14ac:dyDescent="0.3">
      <c r="A50" s="432"/>
      <c r="B50" s="433"/>
      <c r="C50" s="432"/>
      <c r="D50" s="432"/>
      <c r="E50" s="432" t="s">
        <v>399</v>
      </c>
      <c r="F50" s="432" t="s">
        <v>397</v>
      </c>
      <c r="G50" s="432"/>
    </row>
    <row r="51" spans="1:7" ht="18.600000000000001" customHeight="1" x14ac:dyDescent="0.3">
      <c r="A51" s="432"/>
      <c r="B51" s="433"/>
      <c r="C51" s="432"/>
      <c r="D51" s="432"/>
      <c r="E51" s="432" t="s">
        <v>400</v>
      </c>
      <c r="F51" s="432" t="s">
        <v>446</v>
      </c>
      <c r="G51" s="432"/>
    </row>
    <row r="52" spans="1:7" ht="18.600000000000001" customHeight="1" x14ac:dyDescent="0.3">
      <c r="A52" s="432" t="s">
        <v>447</v>
      </c>
      <c r="B52" s="433"/>
      <c r="C52" s="432"/>
      <c r="D52" s="432"/>
      <c r="E52" s="432" t="s">
        <v>403</v>
      </c>
      <c r="F52" s="432" t="s">
        <v>401</v>
      </c>
      <c r="G52" s="432"/>
    </row>
    <row r="53" spans="1:7" ht="18.600000000000001" customHeight="1" x14ac:dyDescent="0.3">
      <c r="A53" s="432"/>
      <c r="B53" s="433"/>
      <c r="C53" s="432" t="s">
        <v>411</v>
      </c>
      <c r="D53" s="432"/>
      <c r="E53" s="432" t="s">
        <v>435</v>
      </c>
      <c r="F53" s="432" t="s">
        <v>412</v>
      </c>
      <c r="G53" s="432"/>
    </row>
    <row r="54" spans="1:7" ht="18.600000000000001" customHeight="1" x14ac:dyDescent="0.3">
      <c r="A54" s="432"/>
      <c r="B54" s="433"/>
      <c r="C54" s="432"/>
      <c r="D54" s="432"/>
      <c r="E54" s="432" t="s">
        <v>436</v>
      </c>
      <c r="F54" s="432" t="s">
        <v>414</v>
      </c>
      <c r="G54" s="432"/>
    </row>
    <row r="55" spans="1:7" ht="18.600000000000001" customHeight="1" x14ac:dyDescent="0.3">
      <c r="A55" s="432"/>
      <c r="B55" s="433"/>
      <c r="C55" s="432"/>
      <c r="D55" s="432"/>
      <c r="E55" s="432" t="s">
        <v>438</v>
      </c>
      <c r="F55" s="432" t="s">
        <v>416</v>
      </c>
      <c r="G55" s="432"/>
    </row>
    <row r="56" spans="1:7" ht="18.600000000000001" customHeight="1" x14ac:dyDescent="0.3">
      <c r="A56" s="432"/>
      <c r="B56" s="433"/>
      <c r="C56" s="432"/>
      <c r="D56" s="432"/>
      <c r="E56" s="432" t="s">
        <v>439</v>
      </c>
      <c r="F56" s="432" t="s">
        <v>517</v>
      </c>
      <c r="G56" s="432"/>
    </row>
    <row r="57" spans="1:7" ht="18.600000000000001" customHeight="1" x14ac:dyDescent="0.3">
      <c r="A57" s="432"/>
      <c r="B57" s="433"/>
      <c r="C57" s="432"/>
      <c r="D57" s="432"/>
      <c r="E57" s="432" t="s">
        <v>440</v>
      </c>
      <c r="F57" s="432" t="s">
        <v>420</v>
      </c>
      <c r="G57" s="432"/>
    </row>
    <row r="58" spans="1:7" ht="18.600000000000001" customHeight="1" x14ac:dyDescent="0.3">
      <c r="A58" s="432"/>
      <c r="B58" s="433"/>
      <c r="C58" s="432"/>
      <c r="D58" s="432"/>
      <c r="E58" s="432" t="s">
        <v>441</v>
      </c>
      <c r="F58" s="432" t="s">
        <v>423</v>
      </c>
      <c r="G58" s="432"/>
    </row>
    <row r="59" spans="1:7" ht="18.600000000000001" customHeight="1" x14ac:dyDescent="0.3">
      <c r="A59" s="432"/>
      <c r="B59" s="433"/>
      <c r="C59" s="432"/>
      <c r="D59" s="432"/>
      <c r="E59" s="432" t="s">
        <v>442</v>
      </c>
      <c r="F59" s="432" t="s">
        <v>425</v>
      </c>
      <c r="G59" s="432"/>
    </row>
    <row r="60" spans="1:7" ht="18.600000000000001" customHeight="1" x14ac:dyDescent="0.3">
      <c r="A60" s="432" t="s">
        <v>456</v>
      </c>
      <c r="B60" s="433"/>
      <c r="C60" s="432"/>
      <c r="D60" s="432"/>
      <c r="E60" s="432" t="s">
        <v>443</v>
      </c>
      <c r="F60" s="432" t="s">
        <v>427</v>
      </c>
      <c r="G60" s="432"/>
    </row>
    <row r="61" spans="1:7" ht="18.600000000000001" customHeight="1" x14ac:dyDescent="0.3">
      <c r="A61" s="432"/>
      <c r="B61" s="433"/>
      <c r="C61" s="432" t="s">
        <v>449</v>
      </c>
      <c r="D61" s="432"/>
      <c r="E61" s="432" t="s">
        <v>450</v>
      </c>
      <c r="F61" s="432" t="s">
        <v>451</v>
      </c>
      <c r="G61" s="432"/>
    </row>
    <row r="62" spans="1:7" ht="18.600000000000001" customHeight="1" x14ac:dyDescent="0.3">
      <c r="A62" s="432"/>
      <c r="B62" s="433"/>
      <c r="C62" s="432"/>
      <c r="D62" s="432"/>
      <c r="E62" s="432" t="s">
        <v>452</v>
      </c>
      <c r="F62" s="432" t="s">
        <v>453</v>
      </c>
      <c r="G62" s="432"/>
    </row>
    <row r="63" spans="1:7" ht="18.600000000000001" customHeight="1" x14ac:dyDescent="0.3">
      <c r="A63" s="432"/>
      <c r="B63" s="433"/>
      <c r="C63" s="432"/>
      <c r="D63" s="432"/>
      <c r="E63" s="432" t="s">
        <v>454</v>
      </c>
      <c r="F63" s="432" t="s">
        <v>455</v>
      </c>
      <c r="G63" s="432"/>
    </row>
    <row r="64" spans="1:7" ht="18.600000000000001" customHeight="1" x14ac:dyDescent="0.3">
      <c r="A64" s="432"/>
      <c r="B64" s="433"/>
      <c r="C64" s="432" t="s">
        <v>457</v>
      </c>
      <c r="D64" s="432"/>
      <c r="E64" s="432" t="s">
        <v>458</v>
      </c>
      <c r="F64" s="432"/>
      <c r="G64" s="432"/>
    </row>
    <row r="65" spans="1:7" ht="18.600000000000001" customHeight="1" x14ac:dyDescent="0.3">
      <c r="A65" s="432"/>
      <c r="B65" s="433"/>
      <c r="C65" s="432"/>
      <c r="D65" s="432"/>
      <c r="E65" s="432"/>
      <c r="F65" s="432"/>
      <c r="G65" s="432"/>
    </row>
    <row r="66" spans="1:7" ht="18.600000000000001" customHeight="1" x14ac:dyDescent="0.3">
      <c r="A66" s="432"/>
      <c r="B66" s="433"/>
      <c r="C66" s="432"/>
      <c r="D66" s="432"/>
      <c r="E66" s="432"/>
      <c r="F66" s="432"/>
      <c r="G66" s="432"/>
    </row>
    <row r="67" spans="1:7" ht="18.600000000000001" customHeight="1" x14ac:dyDescent="0.3">
      <c r="A67" s="432" t="s">
        <v>518</v>
      </c>
      <c r="B67" s="433"/>
      <c r="C67" s="432" t="s">
        <v>519</v>
      </c>
      <c r="D67" s="432"/>
      <c r="E67" s="432" t="s">
        <v>448</v>
      </c>
      <c r="F67" s="432"/>
      <c r="G67" s="432"/>
    </row>
    <row r="68" spans="1:7" ht="18.600000000000001" customHeight="1" x14ac:dyDescent="0.3">
      <c r="A68" s="432"/>
      <c r="B68" s="433"/>
      <c r="C68" s="432"/>
      <c r="D68" s="432"/>
      <c r="E68" s="432"/>
      <c r="F68" s="432"/>
      <c r="G68" s="432"/>
    </row>
    <row r="69" spans="1:7" ht="18.600000000000001" customHeight="1" x14ac:dyDescent="0.3">
      <c r="A69" s="432"/>
      <c r="B69" s="433"/>
      <c r="C69" s="432"/>
      <c r="D69" s="432"/>
      <c r="E69" s="432"/>
      <c r="F69" s="432"/>
      <c r="G69" s="432"/>
    </row>
    <row r="70" spans="1:7" ht="18.600000000000001" customHeight="1" x14ac:dyDescent="0.3">
      <c r="A70" s="432"/>
      <c r="B70" s="433"/>
      <c r="C70" s="432"/>
      <c r="D70" s="432"/>
      <c r="E70" s="432"/>
      <c r="F70" s="432"/>
      <c r="G70" s="432"/>
    </row>
    <row r="71" spans="1:7" ht="18.600000000000001" customHeight="1" x14ac:dyDescent="0.3">
      <c r="A71" s="432"/>
      <c r="B71" s="433"/>
      <c r="C71" s="432" t="s">
        <v>459</v>
      </c>
      <c r="D71" s="432"/>
      <c r="E71" s="432" t="s">
        <v>460</v>
      </c>
      <c r="F71" s="432" t="s">
        <v>461</v>
      </c>
      <c r="G71" s="432"/>
    </row>
    <row r="72" spans="1:7" ht="18.600000000000001" customHeight="1" x14ac:dyDescent="0.3">
      <c r="A72" s="432"/>
      <c r="B72" s="433"/>
      <c r="C72" s="432"/>
      <c r="D72" s="432"/>
      <c r="E72" s="432" t="s">
        <v>462</v>
      </c>
      <c r="F72" s="432" t="s">
        <v>463</v>
      </c>
      <c r="G72" s="432"/>
    </row>
    <row r="73" spans="1:7" ht="18.600000000000001" customHeight="1" x14ac:dyDescent="0.3">
      <c r="A73" s="432"/>
      <c r="B73" s="433"/>
      <c r="C73" s="432"/>
      <c r="D73" s="432"/>
      <c r="E73" s="432" t="s">
        <v>464</v>
      </c>
      <c r="F73" s="432" t="s">
        <v>465</v>
      </c>
      <c r="G73" s="432"/>
    </row>
    <row r="74" spans="1:7" ht="18.600000000000001" customHeight="1" x14ac:dyDescent="0.3">
      <c r="A74" s="432"/>
      <c r="B74" s="433"/>
      <c r="C74" s="432"/>
      <c r="D74" s="446" t="s">
        <v>11</v>
      </c>
      <c r="E74" s="432" t="s">
        <v>466</v>
      </c>
      <c r="F74" s="432" t="s">
        <v>467</v>
      </c>
      <c r="G74" s="432"/>
    </row>
    <row r="75" spans="1:7" ht="18.600000000000001" customHeight="1" x14ac:dyDescent="0.3">
      <c r="A75" s="432" t="s">
        <v>520</v>
      </c>
      <c r="B75" s="433"/>
      <c r="C75" s="432"/>
      <c r="D75" s="432"/>
      <c r="E75" s="432" t="s">
        <v>468</v>
      </c>
      <c r="F75" s="432" t="s">
        <v>469</v>
      </c>
      <c r="G75" s="432"/>
    </row>
    <row r="76" spans="1:7" ht="18.600000000000001" customHeight="1" x14ac:dyDescent="0.3">
      <c r="A76" s="432"/>
      <c r="B76" s="433"/>
      <c r="C76" s="432"/>
      <c r="D76" s="432"/>
      <c r="E76" s="432" t="s">
        <v>470</v>
      </c>
      <c r="F76" s="432" t="s">
        <v>471</v>
      </c>
      <c r="G76" s="432"/>
    </row>
    <row r="77" spans="1:7" ht="18.600000000000001" customHeight="1" x14ac:dyDescent="0.3">
      <c r="A77" s="432"/>
      <c r="B77" s="433"/>
      <c r="C77" s="432" t="s">
        <v>472</v>
      </c>
      <c r="D77" s="432"/>
      <c r="E77" s="432"/>
      <c r="F77" s="432"/>
      <c r="G77" s="432"/>
    </row>
    <row r="78" spans="1:7" ht="18.600000000000001" customHeight="1" x14ac:dyDescent="0.3">
      <c r="A78" s="432"/>
      <c r="B78" s="433"/>
      <c r="C78" s="432"/>
      <c r="D78" s="432"/>
      <c r="E78" s="432"/>
      <c r="F78" s="432"/>
      <c r="G78" s="432"/>
    </row>
    <row r="79" spans="1:7" ht="18.600000000000001" customHeight="1" x14ac:dyDescent="0.3">
      <c r="A79" s="432"/>
      <c r="B79" s="433"/>
      <c r="C79" s="432" t="s">
        <v>473</v>
      </c>
      <c r="D79" s="432"/>
      <c r="E79" s="432"/>
      <c r="F79" s="432"/>
      <c r="G79" s="432"/>
    </row>
    <row r="80" spans="1:7" ht="18.600000000000001" customHeight="1" x14ac:dyDescent="0.3">
      <c r="A80" s="432"/>
      <c r="B80" s="433"/>
      <c r="C80" s="432"/>
      <c r="D80" s="432"/>
      <c r="E80" s="432"/>
      <c r="F80" s="432"/>
      <c r="G80" s="432"/>
    </row>
    <row r="81" spans="1:7" ht="18.600000000000001" customHeight="1" x14ac:dyDescent="0.3">
      <c r="A81" s="432"/>
      <c r="B81" s="433"/>
      <c r="C81" s="432"/>
      <c r="D81" s="432"/>
      <c r="E81" s="432"/>
      <c r="F81" s="432"/>
      <c r="G81" s="432"/>
    </row>
    <row r="82" spans="1:7" ht="18.600000000000001" customHeight="1" x14ac:dyDescent="0.3">
      <c r="A82" s="432"/>
      <c r="B82" s="433"/>
      <c r="C82" s="432"/>
      <c r="D82" s="432"/>
      <c r="E82" s="432"/>
      <c r="F82" s="432"/>
      <c r="G82" s="432"/>
    </row>
    <row r="83" spans="1:7" ht="18.600000000000001" customHeight="1" x14ac:dyDescent="0.3">
      <c r="A83" s="436" t="s">
        <v>521</v>
      </c>
      <c r="B83" s="433"/>
      <c r="C83" s="432" t="s">
        <v>474</v>
      </c>
      <c r="D83" s="432"/>
      <c r="E83" s="432" t="s">
        <v>450</v>
      </c>
      <c r="F83" s="432" t="s">
        <v>453</v>
      </c>
      <c r="G83" s="432"/>
    </row>
    <row r="84" spans="1:7" ht="18.600000000000001" customHeight="1" x14ac:dyDescent="0.3">
      <c r="A84" s="432"/>
      <c r="B84" s="433"/>
      <c r="C84" s="432"/>
      <c r="D84" s="432"/>
      <c r="E84" s="432" t="s">
        <v>475</v>
      </c>
      <c r="F84" s="432" t="s">
        <v>451</v>
      </c>
      <c r="G84" s="432"/>
    </row>
    <row r="85" spans="1:7" ht="18.600000000000001" customHeight="1" x14ac:dyDescent="0.3">
      <c r="A85" s="432"/>
      <c r="B85" s="433"/>
      <c r="C85" s="432"/>
      <c r="D85" s="432"/>
      <c r="E85" s="432" t="s">
        <v>476</v>
      </c>
      <c r="F85" s="432" t="s">
        <v>455</v>
      </c>
      <c r="G85" s="432"/>
    </row>
    <row r="86" spans="1:7" ht="18.600000000000001" customHeight="1" x14ac:dyDescent="0.3">
      <c r="A86" s="432"/>
      <c r="B86" s="433"/>
      <c r="C86" s="432"/>
      <c r="D86" s="432"/>
      <c r="E86" s="432" t="s">
        <v>460</v>
      </c>
      <c r="F86" s="432" t="s">
        <v>477</v>
      </c>
      <c r="G86" s="432"/>
    </row>
    <row r="87" spans="1:7" ht="18.600000000000001" customHeight="1" x14ac:dyDescent="0.3">
      <c r="A87" s="432"/>
      <c r="B87" s="433"/>
      <c r="C87" s="432"/>
      <c r="D87" s="432"/>
      <c r="E87" s="432" t="s">
        <v>462</v>
      </c>
      <c r="F87" s="432" t="s">
        <v>461</v>
      </c>
      <c r="G87" s="432"/>
    </row>
    <row r="88" spans="1:7" ht="18.600000000000001" customHeight="1" x14ac:dyDescent="0.3">
      <c r="A88" s="432"/>
      <c r="B88" s="433"/>
      <c r="C88" s="432"/>
      <c r="D88" s="432"/>
      <c r="E88" s="432" t="s">
        <v>464</v>
      </c>
      <c r="F88" s="432" t="s">
        <v>478</v>
      </c>
      <c r="G88" s="432"/>
    </row>
    <row r="89" spans="1:7" ht="18.600000000000001" customHeight="1" x14ac:dyDescent="0.3">
      <c r="A89" s="432"/>
      <c r="B89" s="433"/>
      <c r="C89" s="432"/>
      <c r="D89" s="432"/>
      <c r="E89" s="432" t="s">
        <v>466</v>
      </c>
      <c r="F89" s="432" t="s">
        <v>465</v>
      </c>
      <c r="G89" s="432"/>
    </row>
    <row r="90" spans="1:7" ht="18.600000000000001" customHeight="1" x14ac:dyDescent="0.3">
      <c r="A90" s="432"/>
      <c r="B90" s="433"/>
      <c r="C90" s="432"/>
      <c r="D90" s="432"/>
      <c r="E90" s="432" t="s">
        <v>468</v>
      </c>
      <c r="F90" s="432" t="s">
        <v>471</v>
      </c>
      <c r="G90" s="432"/>
    </row>
    <row r="91" spans="1:7" ht="18.600000000000001" customHeight="1" x14ac:dyDescent="0.3">
      <c r="A91" s="436" t="s">
        <v>522</v>
      </c>
      <c r="B91" s="433"/>
      <c r="C91" s="432"/>
      <c r="D91" s="432"/>
      <c r="E91" s="432" t="s">
        <v>479</v>
      </c>
      <c r="F91" s="432" t="s">
        <v>469</v>
      </c>
      <c r="G91" s="432"/>
    </row>
    <row r="92" spans="1:7" ht="18.600000000000001" customHeight="1" x14ac:dyDescent="0.3">
      <c r="A92" s="432"/>
      <c r="B92" s="433"/>
      <c r="C92" s="432" t="s">
        <v>480</v>
      </c>
      <c r="D92" s="432"/>
      <c r="E92" s="432"/>
      <c r="F92" s="432"/>
      <c r="G92" s="432"/>
    </row>
    <row r="93" spans="1:7" ht="18.600000000000001" customHeight="1" x14ac:dyDescent="0.3">
      <c r="A93" s="432"/>
      <c r="B93" s="433"/>
      <c r="C93" s="432" t="s">
        <v>481</v>
      </c>
      <c r="D93" s="432"/>
      <c r="E93" s="432"/>
      <c r="F93" s="432"/>
      <c r="G93" s="432"/>
    </row>
    <row r="94" spans="1:7" ht="18.600000000000001" customHeight="1" x14ac:dyDescent="0.3">
      <c r="A94" s="432"/>
      <c r="B94" s="433"/>
      <c r="C94" s="432" t="s">
        <v>482</v>
      </c>
      <c r="D94" s="432"/>
      <c r="E94" s="432" t="s">
        <v>483</v>
      </c>
      <c r="F94" s="432" t="s">
        <v>484</v>
      </c>
      <c r="G94" s="432"/>
    </row>
    <row r="95" spans="1:7" ht="18.600000000000001" customHeight="1" x14ac:dyDescent="0.3">
      <c r="A95" s="432"/>
      <c r="B95" s="433"/>
      <c r="C95" s="432"/>
      <c r="D95" s="432"/>
      <c r="E95" s="432" t="s">
        <v>485</v>
      </c>
      <c r="F95" s="432" t="s">
        <v>486</v>
      </c>
      <c r="G95" s="432"/>
    </row>
    <row r="96" spans="1:7" ht="18.600000000000001" customHeight="1" x14ac:dyDescent="0.3">
      <c r="A96" s="432"/>
      <c r="B96" s="433"/>
      <c r="C96" s="432"/>
      <c r="D96" s="432"/>
      <c r="E96" s="432" t="s">
        <v>487</v>
      </c>
      <c r="F96" s="432" t="s">
        <v>488</v>
      </c>
      <c r="G96" s="432"/>
    </row>
    <row r="97" spans="1:7" ht="18.600000000000001" customHeight="1" x14ac:dyDescent="0.3">
      <c r="A97" s="432"/>
      <c r="B97" s="433"/>
      <c r="C97" s="432"/>
      <c r="D97" s="432"/>
      <c r="E97" s="432" t="s">
        <v>489</v>
      </c>
      <c r="F97" s="432" t="s">
        <v>490</v>
      </c>
      <c r="G97" s="432"/>
    </row>
    <row r="98" spans="1:7" ht="18.600000000000001" customHeight="1" x14ac:dyDescent="0.3">
      <c r="A98" s="432"/>
      <c r="B98" s="433"/>
      <c r="C98" s="432"/>
      <c r="D98" s="432"/>
      <c r="E98" s="432" t="s">
        <v>491</v>
      </c>
      <c r="F98" s="432" t="s">
        <v>492</v>
      </c>
      <c r="G98" s="432"/>
    </row>
    <row r="99" spans="1:7" ht="18.600000000000001" customHeight="1" x14ac:dyDescent="0.3">
      <c r="A99" s="436" t="s">
        <v>523</v>
      </c>
      <c r="B99" s="433"/>
      <c r="C99" s="432"/>
      <c r="D99" s="432"/>
      <c r="E99" s="432" t="s">
        <v>493</v>
      </c>
      <c r="F99" s="432" t="s">
        <v>494</v>
      </c>
      <c r="G99" s="432"/>
    </row>
    <row r="100" spans="1:7" ht="18.600000000000001" customHeight="1" x14ac:dyDescent="0.3">
      <c r="A100" s="432"/>
      <c r="B100" s="433"/>
      <c r="C100" s="432"/>
      <c r="D100" s="432"/>
      <c r="E100" s="432" t="s">
        <v>495</v>
      </c>
      <c r="F100" s="432" t="s">
        <v>496</v>
      </c>
      <c r="G100" s="432"/>
    </row>
    <row r="101" spans="1:7" ht="18.600000000000001" customHeight="1" x14ac:dyDescent="0.3">
      <c r="A101" s="432"/>
      <c r="B101" s="433"/>
      <c r="C101" s="432"/>
      <c r="D101" s="432"/>
      <c r="E101" s="432" t="s">
        <v>497</v>
      </c>
      <c r="F101" s="432" t="s">
        <v>498</v>
      </c>
      <c r="G101" s="432"/>
    </row>
    <row r="102" spans="1:7" ht="18.600000000000001" customHeight="1" x14ac:dyDescent="0.3">
      <c r="A102" s="432"/>
      <c r="B102" s="433"/>
      <c r="C102" s="432" t="s">
        <v>449</v>
      </c>
      <c r="D102" s="432"/>
      <c r="E102" s="432" t="s">
        <v>450</v>
      </c>
      <c r="F102" s="432" t="s">
        <v>475</v>
      </c>
      <c r="G102" s="432"/>
    </row>
    <row r="103" spans="1:7" ht="18.600000000000001" customHeight="1" x14ac:dyDescent="0.3">
      <c r="A103" s="432"/>
      <c r="B103" s="433"/>
      <c r="C103" s="432"/>
      <c r="D103" s="432"/>
      <c r="E103" s="432" t="s">
        <v>453</v>
      </c>
      <c r="F103" s="432" t="s">
        <v>451</v>
      </c>
      <c r="G103" s="432"/>
    </row>
    <row r="104" spans="1:7" ht="18.600000000000001" customHeight="1" x14ac:dyDescent="0.3">
      <c r="A104" s="432"/>
      <c r="B104" s="433"/>
      <c r="C104" s="432"/>
      <c r="D104" s="432"/>
      <c r="E104" s="432" t="s">
        <v>476</v>
      </c>
      <c r="F104" s="432" t="s">
        <v>499</v>
      </c>
      <c r="G104" s="432"/>
    </row>
    <row r="105" spans="1:7" ht="18.600000000000001" customHeight="1" x14ac:dyDescent="0.3">
      <c r="A105" s="432"/>
      <c r="B105" s="433"/>
      <c r="C105" s="432"/>
      <c r="D105" s="432"/>
      <c r="E105" s="432" t="s">
        <v>460</v>
      </c>
      <c r="F105" s="432" t="s">
        <v>462</v>
      </c>
      <c r="G105" s="432"/>
    </row>
    <row r="106" spans="1:7" ht="18.600000000000001" customHeight="1" x14ac:dyDescent="0.3">
      <c r="A106" s="432"/>
      <c r="B106" s="433"/>
      <c r="C106" s="432"/>
      <c r="D106" s="432"/>
      <c r="E106" s="432" t="s">
        <v>477</v>
      </c>
      <c r="F106" s="432" t="s">
        <v>500</v>
      </c>
      <c r="G106" s="432"/>
    </row>
    <row r="107" spans="1:7" ht="18.600000000000001" customHeight="1" x14ac:dyDescent="0.3">
      <c r="A107" s="436" t="s">
        <v>524</v>
      </c>
      <c r="B107" s="433"/>
      <c r="C107" s="432"/>
      <c r="D107" s="432"/>
      <c r="E107" s="432" t="s">
        <v>501</v>
      </c>
      <c r="F107" s="432" t="s">
        <v>466</v>
      </c>
      <c r="G107" s="432"/>
    </row>
    <row r="108" spans="1:7" ht="18.600000000000001" customHeight="1" x14ac:dyDescent="0.3">
      <c r="A108" s="432"/>
      <c r="B108" s="433"/>
      <c r="C108" s="432"/>
      <c r="D108" s="432"/>
      <c r="E108" s="432" t="s">
        <v>467</v>
      </c>
      <c r="F108" s="432" t="s">
        <v>465</v>
      </c>
      <c r="G108" s="432"/>
    </row>
    <row r="109" spans="1:7" ht="18.600000000000001" customHeight="1" x14ac:dyDescent="0.3">
      <c r="A109" s="432"/>
      <c r="B109" s="433"/>
      <c r="C109" s="432"/>
      <c r="D109" s="432"/>
      <c r="E109" s="432" t="s">
        <v>468</v>
      </c>
      <c r="F109" s="432" t="s">
        <v>502</v>
      </c>
      <c r="G109" s="432"/>
    </row>
    <row r="110" spans="1:7" ht="18.600000000000001" customHeight="1" x14ac:dyDescent="0.3">
      <c r="A110" s="432"/>
      <c r="B110" s="433"/>
      <c r="C110" s="432"/>
      <c r="D110" s="432"/>
      <c r="E110" s="432" t="s">
        <v>471</v>
      </c>
      <c r="F110" s="432" t="s">
        <v>469</v>
      </c>
      <c r="G110" s="432"/>
    </row>
    <row r="111" spans="1:7" ht="18.600000000000001" customHeight="1" x14ac:dyDescent="0.3">
      <c r="A111" s="432"/>
      <c r="B111" s="433"/>
      <c r="C111" s="432" t="s">
        <v>503</v>
      </c>
      <c r="D111" s="432"/>
      <c r="E111" s="432" t="s">
        <v>483</v>
      </c>
      <c r="F111" s="432" t="s">
        <v>504</v>
      </c>
      <c r="G111" s="432"/>
    </row>
    <row r="112" spans="1:7" ht="18.600000000000001" customHeight="1" x14ac:dyDescent="0.3">
      <c r="A112" s="432"/>
      <c r="B112" s="433"/>
      <c r="C112" s="432"/>
      <c r="D112" s="432"/>
      <c r="E112" s="432" t="s">
        <v>485</v>
      </c>
      <c r="F112" s="432" t="s">
        <v>505</v>
      </c>
      <c r="G112" s="432"/>
    </row>
    <row r="113" spans="1:7" ht="18.600000000000001" customHeight="1" x14ac:dyDescent="0.3">
      <c r="A113" s="432"/>
      <c r="B113" s="433"/>
      <c r="C113" s="432"/>
      <c r="D113" s="432"/>
      <c r="E113" s="432" t="s">
        <v>506</v>
      </c>
      <c r="F113" s="432" t="s">
        <v>507</v>
      </c>
      <c r="G113" s="432"/>
    </row>
    <row r="114" spans="1:7" ht="18.600000000000001" customHeight="1" x14ac:dyDescent="0.3">
      <c r="A114" s="432"/>
      <c r="B114" s="433"/>
      <c r="C114" s="432"/>
      <c r="D114" s="432"/>
      <c r="E114" s="432" t="s">
        <v>489</v>
      </c>
      <c r="F114" s="432" t="s">
        <v>488</v>
      </c>
      <c r="G114" s="432"/>
    </row>
    <row r="115" spans="1:7" ht="18.600000000000001" customHeight="1" x14ac:dyDescent="0.3">
      <c r="A115" s="436" t="s">
        <v>525</v>
      </c>
      <c r="B115" s="433"/>
      <c r="C115" s="432"/>
      <c r="D115" s="432"/>
      <c r="E115" s="432" t="s">
        <v>491</v>
      </c>
      <c r="F115" s="432" t="s">
        <v>494</v>
      </c>
      <c r="G115" s="432"/>
    </row>
    <row r="116" spans="1:7" ht="18.600000000000001" customHeight="1" x14ac:dyDescent="0.3">
      <c r="A116" s="432"/>
      <c r="B116" s="433"/>
      <c r="C116" s="432"/>
      <c r="D116" s="432"/>
      <c r="E116" s="432" t="s">
        <v>493</v>
      </c>
      <c r="F116" s="432" t="s">
        <v>492</v>
      </c>
      <c r="G116" s="432"/>
    </row>
    <row r="117" spans="1:7" ht="18.600000000000001" customHeight="1" x14ac:dyDescent="0.3">
      <c r="A117" s="432"/>
      <c r="B117" s="433"/>
      <c r="C117" s="432"/>
      <c r="D117" s="432"/>
      <c r="E117" s="432" t="s">
        <v>495</v>
      </c>
      <c r="F117" s="432" t="s">
        <v>498</v>
      </c>
      <c r="G117" s="432"/>
    </row>
    <row r="118" spans="1:7" ht="18.600000000000001" customHeight="1" x14ac:dyDescent="0.3">
      <c r="A118" s="432"/>
      <c r="B118" s="433"/>
      <c r="C118" s="432"/>
      <c r="D118" s="432"/>
      <c r="E118" s="432" t="s">
        <v>497</v>
      </c>
      <c r="F118" s="432" t="s">
        <v>508</v>
      </c>
      <c r="G118" s="432"/>
    </row>
    <row r="119" spans="1:7" ht="18.600000000000001" customHeight="1" x14ac:dyDescent="0.3">
      <c r="A119" s="432"/>
      <c r="B119" s="433"/>
      <c r="C119" s="432" t="s">
        <v>449</v>
      </c>
      <c r="D119" s="432"/>
      <c r="E119" s="432" t="s">
        <v>509</v>
      </c>
      <c r="F119" s="432"/>
      <c r="G119" s="432"/>
    </row>
    <row r="120" spans="1:7" ht="18.600000000000001" customHeight="1" x14ac:dyDescent="0.3">
      <c r="A120" s="432"/>
      <c r="B120" s="433"/>
      <c r="C120" s="432"/>
      <c r="D120" s="432"/>
      <c r="E120" s="432" t="s">
        <v>510</v>
      </c>
      <c r="F120" s="432"/>
      <c r="G120" s="432"/>
    </row>
    <row r="121" spans="1:7" ht="18.600000000000001" customHeight="1" x14ac:dyDescent="0.3">
      <c r="A121" s="432"/>
      <c r="B121" s="434"/>
      <c r="C121" s="432" t="s">
        <v>511</v>
      </c>
      <c r="D121" s="435"/>
      <c r="E121" s="432" t="s">
        <v>483</v>
      </c>
      <c r="F121" s="432" t="s">
        <v>512</v>
      </c>
      <c r="G121" s="432"/>
    </row>
    <row r="122" spans="1:7" ht="18.600000000000001" customHeight="1" x14ac:dyDescent="0.3">
      <c r="A122" s="432"/>
      <c r="B122" s="433"/>
      <c r="C122" s="432"/>
      <c r="D122" s="432"/>
      <c r="E122" s="432" t="s">
        <v>504</v>
      </c>
      <c r="F122" s="432" t="s">
        <v>505</v>
      </c>
      <c r="G122" s="432"/>
    </row>
    <row r="123" spans="1:7" ht="18.600000000000001" customHeight="1" x14ac:dyDescent="0.3">
      <c r="A123" s="432"/>
      <c r="B123" s="433"/>
      <c r="C123" s="432"/>
      <c r="D123" s="432"/>
      <c r="E123" s="432" t="s">
        <v>513</v>
      </c>
      <c r="F123" s="432" t="s">
        <v>489</v>
      </c>
      <c r="G123" s="432"/>
    </row>
    <row r="124" spans="1:7" ht="18.600000000000001" customHeight="1" x14ac:dyDescent="0.3">
      <c r="A124" s="432"/>
      <c r="B124" s="433"/>
      <c r="C124" s="432"/>
      <c r="D124" s="432"/>
      <c r="E124" s="432" t="s">
        <v>507</v>
      </c>
      <c r="F124" s="432" t="s">
        <v>488</v>
      </c>
      <c r="G124" s="432"/>
    </row>
    <row r="125" spans="1:7" ht="18.600000000000001" customHeight="1" x14ac:dyDescent="0.3">
      <c r="A125" s="432"/>
      <c r="B125" s="433"/>
      <c r="C125" s="432"/>
      <c r="D125" s="432"/>
      <c r="E125" s="432" t="s">
        <v>491</v>
      </c>
      <c r="F125" s="432" t="s">
        <v>493</v>
      </c>
      <c r="G125" s="432"/>
    </row>
    <row r="126" spans="1:7" ht="18.600000000000001" customHeight="1" x14ac:dyDescent="0.3">
      <c r="A126" s="432"/>
      <c r="B126" s="433"/>
      <c r="C126" s="432"/>
      <c r="D126" s="432"/>
      <c r="E126" s="432" t="s">
        <v>494</v>
      </c>
      <c r="F126" s="432" t="s">
        <v>492</v>
      </c>
      <c r="G126" s="432"/>
    </row>
    <row r="127" spans="1:7" ht="18.600000000000001" customHeight="1" x14ac:dyDescent="0.3">
      <c r="A127" s="432"/>
      <c r="B127" s="433"/>
      <c r="C127" s="432"/>
      <c r="D127" s="432"/>
      <c r="E127" s="432" t="s">
        <v>495</v>
      </c>
      <c r="F127" s="432" t="s">
        <v>497</v>
      </c>
      <c r="G127" s="432"/>
    </row>
    <row r="128" spans="1:7" ht="18.600000000000001" customHeight="1" x14ac:dyDescent="0.3">
      <c r="A128" s="432"/>
      <c r="B128" s="433"/>
      <c r="C128" s="432"/>
      <c r="D128" s="432"/>
      <c r="E128" s="432" t="s">
        <v>498</v>
      </c>
      <c r="F128" s="432" t="s">
        <v>508</v>
      </c>
      <c r="G128" s="432"/>
    </row>
    <row r="129" spans="1:7" ht="18.600000000000001" customHeight="1" x14ac:dyDescent="0.3">
      <c r="A129" s="432"/>
      <c r="B129" s="433"/>
      <c r="C129" s="432" t="s">
        <v>514</v>
      </c>
      <c r="D129" s="432"/>
      <c r="E129" s="432" t="s">
        <v>515</v>
      </c>
      <c r="F129" s="432"/>
      <c r="G129" s="432"/>
    </row>
    <row r="130" spans="1:7" ht="18.600000000000001" customHeight="1" x14ac:dyDescent="0.3">
      <c r="A130" s="432"/>
      <c r="B130" s="433"/>
      <c r="C130" s="432" t="s">
        <v>516</v>
      </c>
      <c r="D130" s="432"/>
      <c r="E130" s="432" t="s">
        <v>515</v>
      </c>
      <c r="F130" s="432"/>
      <c r="G130" s="432"/>
    </row>
    <row r="131" spans="1:7" ht="18.600000000000001" customHeight="1" x14ac:dyDescent="0.3">
      <c r="A131" s="432"/>
      <c r="B131" s="433"/>
      <c r="C131" s="432"/>
      <c r="D131" s="432"/>
      <c r="E131" s="432" t="s">
        <v>515</v>
      </c>
      <c r="F131" s="432"/>
      <c r="G131" s="432"/>
    </row>
    <row r="132" spans="1:7" ht="18.600000000000001" customHeight="1" x14ac:dyDescent="0.3">
      <c r="A132" s="432"/>
      <c r="B132" s="433"/>
      <c r="C132" s="432"/>
      <c r="D132" s="432"/>
      <c r="E132" s="432"/>
      <c r="F132" s="432"/>
      <c r="G132" s="432"/>
    </row>
    <row r="133" spans="1:7" ht="18.600000000000001" customHeight="1" x14ac:dyDescent="0.3">
      <c r="A133" s="432"/>
      <c r="B133" s="433"/>
      <c r="C133" s="432" t="s">
        <v>459</v>
      </c>
      <c r="D133" s="432"/>
      <c r="E133" s="432" t="s">
        <v>58</v>
      </c>
      <c r="F133" s="432"/>
      <c r="G133" s="432"/>
    </row>
    <row r="134" spans="1:7" ht="18.600000000000001" customHeight="1" x14ac:dyDescent="0.3">
      <c r="A134" s="432"/>
      <c r="B134" s="433"/>
      <c r="C134" s="432" t="s">
        <v>503</v>
      </c>
      <c r="D134" s="432"/>
      <c r="E134" s="432" t="s">
        <v>58</v>
      </c>
      <c r="F134" s="432"/>
      <c r="G134" s="432"/>
    </row>
    <row r="135" spans="1:7" ht="18.600000000000001" customHeight="1" x14ac:dyDescent="0.3">
      <c r="A135" s="432"/>
      <c r="B135" s="433"/>
      <c r="C135" s="432"/>
      <c r="D135" s="432"/>
      <c r="E135" s="432"/>
      <c r="F135" s="432"/>
      <c r="G135" s="432"/>
    </row>
    <row r="136" spans="1:7" ht="18.600000000000001" customHeight="1" x14ac:dyDescent="0.3">
      <c r="A136" s="432"/>
      <c r="B136" s="433"/>
      <c r="C136" s="432"/>
      <c r="D136" s="432"/>
      <c r="E136" s="432"/>
      <c r="F136" s="432"/>
      <c r="G136" s="432"/>
    </row>
    <row r="137" spans="1:7" ht="18.600000000000001" customHeight="1" x14ac:dyDescent="0.3">
      <c r="A137" s="432"/>
      <c r="B137" s="434"/>
      <c r="C137" s="432"/>
      <c r="D137" s="435"/>
      <c r="E137" s="432"/>
      <c r="F137" s="432"/>
      <c r="G137" s="432"/>
    </row>
    <row r="138" spans="1:7" ht="18.600000000000001" customHeight="1" x14ac:dyDescent="0.3">
      <c r="A138" s="432"/>
      <c r="B138" s="433"/>
      <c r="C138" s="432"/>
      <c r="D138" s="432"/>
      <c r="E138" s="432"/>
      <c r="F138" s="432"/>
      <c r="G138" s="432"/>
    </row>
    <row r="139" spans="1:7" ht="18.600000000000001" customHeight="1" x14ac:dyDescent="0.3">
      <c r="A139" s="432"/>
      <c r="B139" s="433"/>
      <c r="C139" s="432"/>
      <c r="D139" s="432"/>
      <c r="E139" s="432"/>
      <c r="F139" s="432"/>
      <c r="G139" s="432"/>
    </row>
    <row r="140" spans="1:7" ht="18.600000000000001" customHeight="1" x14ac:dyDescent="0.3">
      <c r="A140" s="432"/>
      <c r="B140" s="433"/>
      <c r="C140" s="432"/>
      <c r="D140" s="432"/>
      <c r="E140" s="432"/>
      <c r="F140" s="432"/>
      <c r="G140" s="432"/>
    </row>
    <row r="141" spans="1:7" ht="18.600000000000001" customHeight="1" x14ac:dyDescent="0.3">
      <c r="A141" s="432"/>
      <c r="B141" s="433"/>
      <c r="C141" s="432"/>
      <c r="D141" s="432"/>
      <c r="E141" s="432"/>
      <c r="F141" s="432"/>
      <c r="G141" s="432"/>
    </row>
    <row r="142" spans="1:7" ht="18.600000000000001" customHeight="1" x14ac:dyDescent="0.3">
      <c r="A142" s="432"/>
      <c r="B142" s="433"/>
      <c r="C142" s="432"/>
      <c r="D142" s="432"/>
      <c r="E142" s="432"/>
      <c r="F142" s="432"/>
      <c r="G142" s="432"/>
    </row>
    <row r="143" spans="1:7" ht="18.600000000000001" customHeight="1" x14ac:dyDescent="0.3">
      <c r="A143" s="432"/>
      <c r="B143" s="433"/>
      <c r="C143" s="432"/>
      <c r="D143" s="432"/>
      <c r="E143" s="432"/>
      <c r="F143" s="432"/>
      <c r="G143" s="432"/>
    </row>
    <row r="144" spans="1:7" ht="18.600000000000001" customHeight="1" x14ac:dyDescent="0.3">
      <c r="A144" s="432"/>
      <c r="B144" s="433"/>
      <c r="C144" s="432"/>
      <c r="D144" s="432"/>
      <c r="E144" s="432"/>
      <c r="F144" s="432"/>
      <c r="G144" s="432"/>
    </row>
    <row r="145" spans="1:7" ht="18.600000000000001" customHeight="1" x14ac:dyDescent="0.3">
      <c r="A145" s="432"/>
      <c r="B145" s="433"/>
      <c r="C145" s="432"/>
      <c r="D145" s="432"/>
      <c r="E145" s="432"/>
      <c r="F145" s="432"/>
      <c r="G145" s="432"/>
    </row>
    <row r="146" spans="1:7" ht="18.600000000000001" customHeight="1" x14ac:dyDescent="0.3">
      <c r="A146" s="432"/>
      <c r="B146" s="433"/>
      <c r="C146" s="432"/>
      <c r="D146" s="432"/>
      <c r="E146" s="432"/>
      <c r="F146" s="432"/>
      <c r="G146" s="432"/>
    </row>
    <row r="147" spans="1:7" ht="18.600000000000001" customHeight="1" x14ac:dyDescent="0.3">
      <c r="A147" s="432"/>
      <c r="B147" s="433"/>
      <c r="C147" s="432"/>
      <c r="D147" s="432"/>
      <c r="E147" s="432"/>
      <c r="F147" s="432"/>
      <c r="G147" s="432"/>
    </row>
    <row r="148" spans="1:7" ht="18.600000000000001" customHeight="1" x14ac:dyDescent="0.3">
      <c r="A148" s="432"/>
      <c r="B148" s="433"/>
      <c r="C148" s="432"/>
      <c r="D148" s="432"/>
      <c r="E148" s="432"/>
      <c r="F148" s="432"/>
      <c r="G148" s="432"/>
    </row>
    <row r="149" spans="1:7" ht="21.9" customHeight="1" x14ac:dyDescent="0.3">
      <c r="A149" s="432"/>
      <c r="B149" s="432"/>
      <c r="C149" s="432"/>
      <c r="D149" s="432"/>
      <c r="E149" s="432"/>
      <c r="F149" s="432"/>
      <c r="G149" s="432"/>
    </row>
    <row r="150" spans="1:7" ht="21.9" customHeight="1" x14ac:dyDescent="0.3">
      <c r="A150" s="432"/>
      <c r="B150" s="432"/>
      <c r="C150" s="432"/>
      <c r="D150" s="432"/>
      <c r="E150" s="432"/>
      <c r="F150" s="432"/>
      <c r="G150" s="432"/>
    </row>
    <row r="151" spans="1:7" ht="21.9" customHeight="1" x14ac:dyDescent="0.3">
      <c r="A151" s="432"/>
      <c r="B151" s="432"/>
      <c r="C151" s="432"/>
      <c r="D151" s="432"/>
      <c r="E151" s="432"/>
      <c r="F151" s="432"/>
      <c r="G151" s="432"/>
    </row>
    <row r="152" spans="1:7" ht="21.9" customHeight="1" x14ac:dyDescent="0.3">
      <c r="A152" s="432"/>
      <c r="B152" s="432"/>
      <c r="C152" s="432"/>
      <c r="D152" s="432"/>
      <c r="E152" s="432"/>
      <c r="F152" s="432"/>
      <c r="G152" s="432"/>
    </row>
    <row r="153" spans="1:7" ht="21.9" customHeight="1" x14ac:dyDescent="0.3">
      <c r="A153" s="432"/>
      <c r="B153" s="432"/>
      <c r="C153" s="432"/>
      <c r="D153" s="432"/>
      <c r="E153" s="432"/>
      <c r="F153" s="432"/>
      <c r="G153" s="432"/>
    </row>
    <row r="154" spans="1:7" ht="21.9" customHeight="1" x14ac:dyDescent="0.3">
      <c r="A154" s="432"/>
      <c r="B154" s="432"/>
      <c r="C154" s="432"/>
      <c r="D154" s="432"/>
      <c r="E154" s="432"/>
      <c r="F154" s="432"/>
      <c r="G154" s="432"/>
    </row>
    <row r="155" spans="1:7" ht="21.9" customHeight="1" x14ac:dyDescent="0.3">
      <c r="A155" s="432"/>
      <c r="B155" s="432"/>
      <c r="C155" s="432"/>
      <c r="D155" s="432"/>
      <c r="E155" s="432"/>
      <c r="F155" s="432"/>
      <c r="G155" s="432"/>
    </row>
    <row r="156" spans="1:7" ht="21.9" customHeight="1" x14ac:dyDescent="0.3">
      <c r="A156" s="432"/>
      <c r="B156" s="432"/>
      <c r="C156" s="432"/>
      <c r="D156" s="432"/>
      <c r="E156" s="432"/>
      <c r="F156" s="432"/>
      <c r="G156" s="432"/>
    </row>
    <row r="157" spans="1:7" ht="21.9" customHeight="1" x14ac:dyDescent="0.3">
      <c r="A157" s="432"/>
      <c r="B157" s="432"/>
      <c r="C157" s="432"/>
      <c r="D157" s="432"/>
      <c r="E157" s="432"/>
      <c r="F157" s="432"/>
      <c r="G157" s="432"/>
    </row>
    <row r="158" spans="1:7" ht="21.9" customHeight="1" x14ac:dyDescent="0.3">
      <c r="A158" s="432"/>
      <c r="B158" s="432"/>
      <c r="C158" s="432"/>
      <c r="D158" s="432"/>
      <c r="E158" s="432"/>
      <c r="F158" s="432"/>
      <c r="G158" s="432"/>
    </row>
    <row r="159" spans="1:7" ht="21.9" customHeight="1" x14ac:dyDescent="0.3">
      <c r="A159" s="432"/>
      <c r="B159" s="432"/>
      <c r="C159" s="432"/>
      <c r="D159" s="432"/>
      <c r="E159" s="432"/>
      <c r="F159" s="432"/>
      <c r="G159" s="432"/>
    </row>
    <row r="160" spans="1:7" ht="21.9" customHeight="1" x14ac:dyDescent="0.3">
      <c r="A160" s="432"/>
      <c r="B160" s="432"/>
      <c r="C160" s="432"/>
      <c r="D160" s="432"/>
      <c r="E160" s="432"/>
      <c r="F160" s="432"/>
      <c r="G160" s="432"/>
    </row>
    <row r="161" spans="1:7" ht="21.9" customHeight="1" x14ac:dyDescent="0.3">
      <c r="A161" s="432"/>
      <c r="B161" s="432"/>
      <c r="C161" s="432"/>
      <c r="D161" s="432"/>
      <c r="E161" s="432"/>
      <c r="F161" s="432"/>
      <c r="G161" s="432"/>
    </row>
    <row r="162" spans="1:7" ht="21.9" customHeight="1" x14ac:dyDescent="0.3">
      <c r="A162" s="432"/>
      <c r="B162" s="432"/>
      <c r="C162" s="432"/>
      <c r="D162" s="432"/>
      <c r="E162" s="432"/>
      <c r="F162" s="432"/>
      <c r="G162" s="432"/>
    </row>
    <row r="163" spans="1:7" ht="21.9" customHeight="1" x14ac:dyDescent="0.3">
      <c r="A163" s="432"/>
      <c r="B163" s="432"/>
      <c r="C163" s="432"/>
      <c r="D163" s="432"/>
      <c r="E163" s="432"/>
      <c r="F163" s="432"/>
      <c r="G163" s="432"/>
    </row>
    <row r="164" spans="1:7" ht="21.9" customHeight="1" x14ac:dyDescent="0.3">
      <c r="A164" s="432"/>
      <c r="B164" s="432"/>
      <c r="C164" s="432"/>
      <c r="D164" s="432"/>
      <c r="E164" s="432"/>
      <c r="F164" s="432"/>
      <c r="G164" s="432"/>
    </row>
    <row r="165" spans="1:7" ht="21.9" customHeight="1" x14ac:dyDescent="0.3">
      <c r="A165" s="432"/>
      <c r="B165" s="432"/>
      <c r="C165" s="432"/>
      <c r="D165" s="432"/>
      <c r="E165" s="432"/>
      <c r="F165" s="432"/>
      <c r="G165" s="432"/>
    </row>
    <row r="166" spans="1:7" ht="21.9" customHeight="1" x14ac:dyDescent="0.3">
      <c r="A166" s="432"/>
      <c r="B166" s="432"/>
      <c r="C166" s="432"/>
      <c r="D166" s="432"/>
      <c r="E166" s="432"/>
      <c r="F166" s="432"/>
      <c r="G166" s="432"/>
    </row>
    <row r="167" spans="1:7" ht="21.9" customHeight="1" x14ac:dyDescent="0.3">
      <c r="A167" s="432"/>
      <c r="B167" s="432"/>
      <c r="C167" s="432"/>
      <c r="D167" s="432"/>
      <c r="E167" s="432"/>
      <c r="F167" s="432"/>
      <c r="G167" s="432"/>
    </row>
    <row r="168" spans="1:7" ht="21.9" customHeight="1" x14ac:dyDescent="0.3">
      <c r="A168" s="432"/>
      <c r="B168" s="432"/>
      <c r="C168" s="432"/>
      <c r="D168" s="432"/>
      <c r="E168" s="432"/>
      <c r="F168" s="432"/>
      <c r="G168" s="432"/>
    </row>
    <row r="169" spans="1:7" ht="21.9" customHeight="1" x14ac:dyDescent="0.3">
      <c r="A169" s="432"/>
      <c r="B169" s="432"/>
      <c r="C169" s="432"/>
      <c r="D169" s="432"/>
      <c r="E169" s="432"/>
      <c r="F169" s="432"/>
      <c r="G169" s="432"/>
    </row>
    <row r="170" spans="1:7" ht="21.9" customHeight="1" x14ac:dyDescent="0.3">
      <c r="A170" s="432"/>
      <c r="B170" s="432"/>
      <c r="C170" s="432"/>
      <c r="D170" s="432"/>
      <c r="E170" s="432"/>
      <c r="F170" s="432"/>
      <c r="G170" s="432"/>
    </row>
    <row r="171" spans="1:7" ht="21.9" customHeight="1" x14ac:dyDescent="0.3">
      <c r="A171" s="432"/>
      <c r="B171" s="432"/>
      <c r="C171" s="432"/>
      <c r="D171" s="432"/>
      <c r="E171" s="432"/>
      <c r="F171" s="432"/>
      <c r="G171" s="432"/>
    </row>
    <row r="172" spans="1:7" ht="21.9" customHeight="1" x14ac:dyDescent="0.3">
      <c r="A172" s="432"/>
      <c r="B172" s="432"/>
      <c r="C172" s="432"/>
      <c r="D172" s="432"/>
      <c r="E172" s="432"/>
      <c r="F172" s="432"/>
      <c r="G172" s="432"/>
    </row>
    <row r="173" spans="1:7" ht="21.9" customHeight="1" x14ac:dyDescent="0.3">
      <c r="A173" s="432"/>
      <c r="B173" s="432"/>
      <c r="C173" s="432"/>
      <c r="D173" s="432"/>
      <c r="E173" s="432"/>
      <c r="F173" s="432"/>
      <c r="G173" s="432"/>
    </row>
    <row r="174" spans="1:7" ht="21.9" customHeight="1" x14ac:dyDescent="0.3">
      <c r="A174" s="432"/>
      <c r="B174" s="432"/>
      <c r="C174" s="432"/>
      <c r="D174" s="432"/>
      <c r="E174" s="432"/>
      <c r="F174" s="432"/>
      <c r="G174" s="432"/>
    </row>
    <row r="175" spans="1:7" ht="21.9" customHeight="1" x14ac:dyDescent="0.3">
      <c r="A175" s="432"/>
      <c r="B175" s="432"/>
      <c r="C175" s="432"/>
      <c r="D175" s="432"/>
      <c r="E175" s="432"/>
      <c r="F175" s="432"/>
      <c r="G175" s="432"/>
    </row>
    <row r="176" spans="1:7" ht="21.9" customHeight="1" x14ac:dyDescent="0.3">
      <c r="A176" s="432"/>
      <c r="B176" s="432"/>
      <c r="C176" s="432"/>
      <c r="D176" s="432"/>
      <c r="E176" s="432"/>
      <c r="F176" s="432"/>
      <c r="G176" s="432"/>
    </row>
    <row r="177" spans="1:7" ht="21.9" customHeight="1" x14ac:dyDescent="0.3">
      <c r="A177" s="432"/>
      <c r="B177" s="432"/>
      <c r="C177" s="432"/>
      <c r="D177" s="432"/>
      <c r="E177" s="432"/>
      <c r="F177" s="432"/>
      <c r="G177" s="432"/>
    </row>
    <row r="178" spans="1:7" ht="21.9" customHeight="1" x14ac:dyDescent="0.3">
      <c r="A178" s="432"/>
      <c r="B178" s="432"/>
      <c r="C178" s="432"/>
      <c r="D178" s="432"/>
      <c r="E178" s="432"/>
      <c r="F178" s="432"/>
      <c r="G178" s="432"/>
    </row>
    <row r="179" spans="1:7" ht="21.9" customHeight="1" x14ac:dyDescent="0.3">
      <c r="A179" s="432"/>
      <c r="B179" s="432"/>
      <c r="C179" s="432"/>
      <c r="D179" s="432"/>
      <c r="E179" s="432"/>
      <c r="F179" s="432"/>
      <c r="G179" s="432"/>
    </row>
    <row r="180" spans="1:7" ht="21.9" customHeight="1" x14ac:dyDescent="0.3">
      <c r="A180" s="432"/>
      <c r="B180" s="432"/>
      <c r="C180" s="432"/>
      <c r="D180" s="432"/>
      <c r="E180" s="432"/>
      <c r="F180" s="432"/>
      <c r="G180" s="432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indexed="42"/>
  </sheetPr>
  <dimension ref="A1:Q156"/>
  <sheetViews>
    <sheetView showGridLines="0" showZeros="0" workbookViewId="0">
      <pane ySplit="6" topLeftCell="A16" activePane="bottomLeft" state="frozen"/>
      <selection activeCell="C12" sqref="C12"/>
      <selection pane="bottomLeft" activeCell="G28" sqref="G28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78.33203125" style="40" bestFit="1" customWidth="1"/>
    <col min="5" max="5" width="10.5546875" style="389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Diákolimpia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88" t="str">
        <f>Altalanos!$A$8</f>
        <v>3 lány A elo</v>
      </c>
      <c r="D2" s="103"/>
      <c r="E2" s="195" t="s">
        <v>34</v>
      </c>
      <c r="F2" s="92"/>
      <c r="G2" s="92"/>
      <c r="H2" s="378"/>
      <c r="I2" s="378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72" t="s">
        <v>50</v>
      </c>
      <c r="B3" s="376"/>
      <c r="C3" s="376"/>
      <c r="D3" s="376"/>
      <c r="E3" s="376"/>
      <c r="F3" s="376"/>
      <c r="G3" s="376"/>
      <c r="H3" s="376"/>
      <c r="I3" s="377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91" t="s">
        <v>30</v>
      </c>
      <c r="I4" s="382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2024.05.27-06.01.</v>
      </c>
      <c r="B5" s="189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92"/>
      <c r="J5" s="110"/>
      <c r="K5" s="82"/>
      <c r="L5" s="82"/>
      <c r="M5" s="82"/>
      <c r="N5" s="110"/>
      <c r="O5" s="90"/>
      <c r="P5" s="90"/>
      <c r="Q5" s="400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107</v>
      </c>
      <c r="H6" s="379" t="s">
        <v>37</v>
      </c>
      <c r="I6" s="380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3">
      <c r="A7" s="185">
        <v>1</v>
      </c>
      <c r="B7" s="413" t="s">
        <v>240</v>
      </c>
      <c r="C7" s="414" t="s">
        <v>241</v>
      </c>
      <c r="D7" s="415" t="s">
        <v>242</v>
      </c>
      <c r="E7" s="198"/>
      <c r="F7" s="373"/>
      <c r="G7" s="374"/>
      <c r="H7" s="94"/>
      <c r="I7" s="94"/>
      <c r="J7" s="182"/>
      <c r="K7" s="180"/>
      <c r="L7" s="184"/>
      <c r="M7" s="180"/>
      <c r="N7" s="177"/>
      <c r="O7" s="94"/>
      <c r="P7" s="111"/>
      <c r="Q7" s="95"/>
    </row>
    <row r="8" spans="1:17" s="11" customFormat="1" ht="18.899999999999999" customHeight="1" x14ac:dyDescent="0.3">
      <c r="A8" s="185">
        <v>2</v>
      </c>
      <c r="B8" s="414" t="s">
        <v>243</v>
      </c>
      <c r="C8" s="414" t="s">
        <v>244</v>
      </c>
      <c r="D8" s="414" t="s">
        <v>245</v>
      </c>
      <c r="E8" s="198"/>
      <c r="F8" s="375"/>
      <c r="G8" s="209"/>
      <c r="H8" s="94"/>
      <c r="I8" s="94"/>
      <c r="J8" s="182"/>
      <c r="K8" s="180"/>
      <c r="L8" s="184"/>
      <c r="M8" s="180"/>
      <c r="N8" s="177"/>
      <c r="O8" s="94"/>
      <c r="P8" s="111"/>
      <c r="Q8" s="95"/>
    </row>
    <row r="9" spans="1:17" s="11" customFormat="1" ht="18.899999999999999" customHeight="1" x14ac:dyDescent="0.3">
      <c r="A9" s="185">
        <v>3</v>
      </c>
      <c r="B9" s="414" t="s">
        <v>246</v>
      </c>
      <c r="C9" s="414" t="s">
        <v>247</v>
      </c>
      <c r="D9" s="414" t="s">
        <v>248</v>
      </c>
      <c r="E9" s="198"/>
      <c r="F9" s="375"/>
      <c r="G9" s="209"/>
      <c r="H9" s="94"/>
      <c r="I9" s="94"/>
      <c r="J9" s="182"/>
      <c r="K9" s="180"/>
      <c r="L9" s="184"/>
      <c r="M9" s="180"/>
      <c r="N9" s="177"/>
      <c r="O9" s="94"/>
      <c r="P9" s="384"/>
      <c r="Q9" s="205"/>
    </row>
    <row r="10" spans="1:17" s="11" customFormat="1" ht="18.899999999999999" customHeight="1" x14ac:dyDescent="0.3">
      <c r="A10" s="185">
        <v>4</v>
      </c>
      <c r="B10" s="414" t="s">
        <v>249</v>
      </c>
      <c r="C10" s="414" t="s">
        <v>350</v>
      </c>
      <c r="D10" s="415" t="s">
        <v>250</v>
      </c>
      <c r="E10" s="198"/>
      <c r="F10" s="375"/>
      <c r="G10" s="209"/>
      <c r="H10" s="94"/>
      <c r="I10" s="94"/>
      <c r="J10" s="182"/>
      <c r="K10" s="180"/>
      <c r="L10" s="184"/>
      <c r="M10" s="180"/>
      <c r="N10" s="177"/>
      <c r="O10" s="94"/>
      <c r="P10" s="383"/>
      <c r="Q10" s="381"/>
    </row>
    <row r="11" spans="1:17" s="11" customFormat="1" ht="18.899999999999999" customHeight="1" x14ac:dyDescent="0.3">
      <c r="A11" s="185">
        <v>5</v>
      </c>
      <c r="B11" s="414" t="s">
        <v>251</v>
      </c>
      <c r="C11" s="414" t="s">
        <v>351</v>
      </c>
      <c r="D11" s="415" t="s">
        <v>252</v>
      </c>
      <c r="E11" s="198"/>
      <c r="F11" s="375"/>
      <c r="G11" s="209"/>
      <c r="H11" s="94"/>
      <c r="I11" s="94"/>
      <c r="J11" s="182"/>
      <c r="K11" s="180"/>
      <c r="L11" s="184"/>
      <c r="M11" s="180"/>
      <c r="N11" s="177"/>
      <c r="O11" s="94"/>
      <c r="P11" s="383"/>
      <c r="Q11" s="381"/>
    </row>
    <row r="12" spans="1:17" s="11" customFormat="1" ht="18.899999999999999" customHeight="1" x14ac:dyDescent="0.25">
      <c r="A12" s="185">
        <v>6</v>
      </c>
      <c r="B12" s="418" t="s">
        <v>253</v>
      </c>
      <c r="C12" s="418" t="s">
        <v>254</v>
      </c>
      <c r="D12" s="418" t="s">
        <v>146</v>
      </c>
      <c r="E12" s="198"/>
      <c r="F12" s="375"/>
      <c r="G12" s="209"/>
      <c r="H12" s="94"/>
      <c r="I12" s="94"/>
      <c r="J12" s="182"/>
      <c r="K12" s="180"/>
      <c r="L12" s="184"/>
      <c r="M12" s="180"/>
      <c r="N12" s="177"/>
      <c r="O12" s="94"/>
      <c r="P12" s="383"/>
      <c r="Q12" s="381"/>
    </row>
    <row r="13" spans="1:17" s="11" customFormat="1" ht="18.899999999999999" customHeight="1" x14ac:dyDescent="0.3">
      <c r="A13" s="185">
        <v>7</v>
      </c>
      <c r="B13" s="423" t="s">
        <v>256</v>
      </c>
      <c r="C13" s="423" t="s">
        <v>257</v>
      </c>
      <c r="D13" s="424" t="s">
        <v>349</v>
      </c>
      <c r="E13" s="198"/>
      <c r="F13" s="375"/>
      <c r="G13" s="209"/>
      <c r="H13" s="94"/>
      <c r="I13" s="94"/>
      <c r="J13" s="182"/>
      <c r="K13" s="180"/>
      <c r="L13" s="184"/>
      <c r="M13" s="180"/>
      <c r="N13" s="177"/>
      <c r="O13" s="94"/>
      <c r="P13" s="383"/>
      <c r="Q13" s="381"/>
    </row>
    <row r="14" spans="1:17" s="11" customFormat="1" ht="18.899999999999999" customHeight="1" x14ac:dyDescent="0.3">
      <c r="A14" s="185">
        <v>8</v>
      </c>
      <c r="B14" s="414" t="s">
        <v>144</v>
      </c>
      <c r="C14" s="418" t="s">
        <v>340</v>
      </c>
      <c r="D14" s="418" t="s">
        <v>255</v>
      </c>
      <c r="E14" s="198"/>
      <c r="F14" s="95"/>
      <c r="G14" s="95"/>
      <c r="H14" s="94"/>
      <c r="I14" s="94"/>
      <c r="J14" s="182"/>
      <c r="K14" s="180"/>
      <c r="L14" s="184"/>
      <c r="M14" s="208"/>
      <c r="N14" s="177"/>
      <c r="O14" s="94"/>
      <c r="P14" s="383"/>
      <c r="Q14" s="381"/>
    </row>
    <row r="15" spans="1:17" s="11" customFormat="1" ht="18.899999999999999" customHeight="1" x14ac:dyDescent="0.3">
      <c r="A15" s="185">
        <v>9</v>
      </c>
      <c r="B15" s="419" t="s">
        <v>258</v>
      </c>
      <c r="C15" s="419" t="s">
        <v>259</v>
      </c>
      <c r="D15" s="419" t="s">
        <v>260</v>
      </c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25">
      <c r="A16" s="185">
        <v>10</v>
      </c>
      <c r="B16" s="420" t="s">
        <v>261</v>
      </c>
      <c r="C16" s="420" t="s">
        <v>262</v>
      </c>
      <c r="D16" s="421" t="s">
        <v>158</v>
      </c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418" t="s">
        <v>263</v>
      </c>
      <c r="C17" s="418" t="s">
        <v>264</v>
      </c>
      <c r="D17" s="418" t="s">
        <v>265</v>
      </c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3">
      <c r="A18" s="185">
        <v>12</v>
      </c>
      <c r="B18" s="414" t="s">
        <v>266</v>
      </c>
      <c r="C18" s="414" t="s">
        <v>267</v>
      </c>
      <c r="D18" s="414" t="s">
        <v>268</v>
      </c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3">
      <c r="A19" s="185">
        <v>13</v>
      </c>
      <c r="B19" s="417" t="s">
        <v>269</v>
      </c>
      <c r="C19" s="414" t="s">
        <v>270</v>
      </c>
      <c r="D19" s="415" t="s">
        <v>271</v>
      </c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3">
      <c r="A20" s="185">
        <v>14</v>
      </c>
      <c r="B20" s="414" t="s">
        <v>272</v>
      </c>
      <c r="C20" s="414" t="s">
        <v>273</v>
      </c>
      <c r="D20" s="416" t="s">
        <v>274</v>
      </c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3">
      <c r="A21" s="185">
        <v>15</v>
      </c>
      <c r="B21" s="414" t="s">
        <v>275</v>
      </c>
      <c r="C21" s="414" t="s">
        <v>276</v>
      </c>
      <c r="D21" s="416" t="s">
        <v>277</v>
      </c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3">
      <c r="A22" s="185">
        <v>16</v>
      </c>
      <c r="B22" s="424" t="s">
        <v>281</v>
      </c>
      <c r="C22" s="424" t="s">
        <v>282</v>
      </c>
      <c r="D22" s="424" t="s">
        <v>348</v>
      </c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25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408"/>
      <c r="F28" s="393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409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90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75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75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75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71" si="0">IF(Q40="",999,Q40)</f>
        <v>999</v>
      </c>
      <c r="M40" s="208">
        <f t="shared" ref="M40:M71" si="1">IF(P40=999,999,1)</f>
        <v>999</v>
      </c>
      <c r="N40" s="205"/>
      <c r="O40" s="95"/>
      <c r="P40" s="111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75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75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75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75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75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75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75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75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75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75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75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75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75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75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75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75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75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75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75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75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75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75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75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75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75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75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75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75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75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75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75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75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ref="L72:L100" si="3">IF(Q72="",999,Q72)</f>
        <v>999</v>
      </c>
      <c r="M72" s="208">
        <f t="shared" ref="M72:M100" si="4">IF(P72=999,999,1)</f>
        <v>999</v>
      </c>
      <c r="N72" s="205"/>
      <c r="O72" s="95"/>
      <c r="P72" s="111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75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3"/>
        <v>999</v>
      </c>
      <c r="M73" s="208">
        <f t="shared" si="4"/>
        <v>999</v>
      </c>
      <c r="N73" s="205"/>
      <c r="O73" s="95"/>
      <c r="P73" s="111">
        <f t="shared" si="5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75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3"/>
        <v>999</v>
      </c>
      <c r="M74" s="208">
        <f t="shared" si="4"/>
        <v>999</v>
      </c>
      <c r="N74" s="205"/>
      <c r="O74" s="95"/>
      <c r="P74" s="111">
        <f t="shared" si="5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75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3"/>
        <v>999</v>
      </c>
      <c r="M75" s="208">
        <f t="shared" si="4"/>
        <v>999</v>
      </c>
      <c r="N75" s="205"/>
      <c r="O75" s="95"/>
      <c r="P75" s="111">
        <f t="shared" si="5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75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3"/>
        <v>999</v>
      </c>
      <c r="M76" s="208">
        <f t="shared" si="4"/>
        <v>999</v>
      </c>
      <c r="N76" s="205"/>
      <c r="O76" s="95"/>
      <c r="P76" s="111">
        <f t="shared" si="5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75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3"/>
        <v>999</v>
      </c>
      <c r="M77" s="208">
        <f t="shared" si="4"/>
        <v>999</v>
      </c>
      <c r="N77" s="205"/>
      <c r="O77" s="95"/>
      <c r="P77" s="111">
        <f t="shared" si="5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75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3"/>
        <v>999</v>
      </c>
      <c r="M78" s="208">
        <f t="shared" si="4"/>
        <v>999</v>
      </c>
      <c r="N78" s="205"/>
      <c r="O78" s="95"/>
      <c r="P78" s="111">
        <f t="shared" si="5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75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3"/>
        <v>999</v>
      </c>
      <c r="M79" s="208">
        <f t="shared" si="4"/>
        <v>999</v>
      </c>
      <c r="N79" s="205"/>
      <c r="O79" s="95"/>
      <c r="P79" s="111">
        <f t="shared" si="5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75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3"/>
        <v>999</v>
      </c>
      <c r="M80" s="208">
        <f t="shared" si="4"/>
        <v>999</v>
      </c>
      <c r="N80" s="205"/>
      <c r="O80" s="95"/>
      <c r="P80" s="111">
        <f t="shared" si="5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75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3"/>
        <v>999</v>
      </c>
      <c r="M81" s="208">
        <f t="shared" si="4"/>
        <v>999</v>
      </c>
      <c r="N81" s="205"/>
      <c r="O81" s="95"/>
      <c r="P81" s="111">
        <f t="shared" si="5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75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3"/>
        <v>999</v>
      </c>
      <c r="M82" s="208">
        <f t="shared" si="4"/>
        <v>999</v>
      </c>
      <c r="N82" s="205"/>
      <c r="O82" s="95"/>
      <c r="P82" s="111">
        <f t="shared" si="5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75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3"/>
        <v>999</v>
      </c>
      <c r="M83" s="208">
        <f t="shared" si="4"/>
        <v>999</v>
      </c>
      <c r="N83" s="205"/>
      <c r="O83" s="95"/>
      <c r="P83" s="111">
        <f t="shared" si="5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75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3"/>
        <v>999</v>
      </c>
      <c r="M84" s="208">
        <f t="shared" si="4"/>
        <v>999</v>
      </c>
      <c r="N84" s="205"/>
      <c r="O84" s="95"/>
      <c r="P84" s="111">
        <f t="shared" si="5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75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3"/>
        <v>999</v>
      </c>
      <c r="M85" s="208">
        <f t="shared" si="4"/>
        <v>999</v>
      </c>
      <c r="N85" s="205"/>
      <c r="O85" s="95"/>
      <c r="P85" s="111">
        <f t="shared" si="5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75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3"/>
        <v>999</v>
      </c>
      <c r="M86" s="208">
        <f t="shared" si="4"/>
        <v>999</v>
      </c>
      <c r="N86" s="205"/>
      <c r="O86" s="95"/>
      <c r="P86" s="111">
        <f t="shared" si="5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75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3"/>
        <v>999</v>
      </c>
      <c r="M87" s="208">
        <f t="shared" si="4"/>
        <v>999</v>
      </c>
      <c r="N87" s="205"/>
      <c r="O87" s="95"/>
      <c r="P87" s="111">
        <f t="shared" si="5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75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3"/>
        <v>999</v>
      </c>
      <c r="M88" s="208">
        <f t="shared" si="4"/>
        <v>999</v>
      </c>
      <c r="N88" s="205"/>
      <c r="O88" s="95"/>
      <c r="P88" s="111">
        <f t="shared" si="5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75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3"/>
        <v>999</v>
      </c>
      <c r="M89" s="208">
        <f t="shared" si="4"/>
        <v>999</v>
      </c>
      <c r="N89" s="205"/>
      <c r="O89" s="95"/>
      <c r="P89" s="111">
        <f t="shared" si="5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75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3"/>
        <v>999</v>
      </c>
      <c r="M90" s="208">
        <f t="shared" si="4"/>
        <v>999</v>
      </c>
      <c r="N90" s="205"/>
      <c r="O90" s="95"/>
      <c r="P90" s="111">
        <f t="shared" si="5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75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3"/>
        <v>999</v>
      </c>
      <c r="M91" s="208">
        <f t="shared" si="4"/>
        <v>999</v>
      </c>
      <c r="N91" s="205"/>
      <c r="O91" s="95"/>
      <c r="P91" s="111">
        <f t="shared" si="5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75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3"/>
        <v>999</v>
      </c>
      <c r="M92" s="208">
        <f t="shared" si="4"/>
        <v>999</v>
      </c>
      <c r="N92" s="205"/>
      <c r="O92" s="95"/>
      <c r="P92" s="111">
        <f t="shared" si="5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75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3"/>
        <v>999</v>
      </c>
      <c r="M93" s="208">
        <f t="shared" si="4"/>
        <v>999</v>
      </c>
      <c r="N93" s="205"/>
      <c r="O93" s="95"/>
      <c r="P93" s="111">
        <f t="shared" si="5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75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3"/>
        <v>999</v>
      </c>
      <c r="M94" s="208">
        <f t="shared" si="4"/>
        <v>999</v>
      </c>
      <c r="N94" s="205"/>
      <c r="O94" s="95"/>
      <c r="P94" s="111">
        <f t="shared" si="5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75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3"/>
        <v>999</v>
      </c>
      <c r="M95" s="208">
        <f t="shared" si="4"/>
        <v>999</v>
      </c>
      <c r="N95" s="205"/>
      <c r="O95" s="95"/>
      <c r="P95" s="111">
        <f t="shared" si="5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75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3"/>
        <v>999</v>
      </c>
      <c r="M96" s="208">
        <f t="shared" si="4"/>
        <v>999</v>
      </c>
      <c r="N96" s="205"/>
      <c r="O96" s="95"/>
      <c r="P96" s="111">
        <f t="shared" si="5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75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3"/>
        <v>999</v>
      </c>
      <c r="M97" s="208">
        <f t="shared" si="4"/>
        <v>999</v>
      </c>
      <c r="N97" s="205"/>
      <c r="O97" s="95"/>
      <c r="P97" s="111">
        <f t="shared" si="5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75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3"/>
        <v>999</v>
      </c>
      <c r="M98" s="208">
        <f t="shared" si="4"/>
        <v>999</v>
      </c>
      <c r="N98" s="205"/>
      <c r="O98" s="95"/>
      <c r="P98" s="111">
        <f t="shared" si="5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75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3"/>
        <v>999</v>
      </c>
      <c r="M99" s="208">
        <f t="shared" si="4"/>
        <v>999</v>
      </c>
      <c r="N99" s="205"/>
      <c r="O99" s="95"/>
      <c r="P99" s="111">
        <f t="shared" si="5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75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3"/>
        <v>999</v>
      </c>
      <c r="M100" s="208">
        <f t="shared" si="4"/>
        <v>999</v>
      </c>
      <c r="N100" s="205"/>
      <c r="O100" s="95"/>
      <c r="P100" s="111">
        <f t="shared" si="5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75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ref="L101:L134" si="6">IF(Q101="",999,Q101)</f>
        <v>999</v>
      </c>
      <c r="M101" s="208">
        <f t="shared" ref="M101:M134" si="7">IF(P101=999,999,1)</f>
        <v>999</v>
      </c>
      <c r="N101" s="205"/>
      <c r="O101" s="95"/>
      <c r="P101" s="111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75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6"/>
        <v>999</v>
      </c>
      <c r="M102" s="208">
        <f t="shared" si="7"/>
        <v>999</v>
      </c>
      <c r="N102" s="205"/>
      <c r="O102" s="95"/>
      <c r="P102" s="111">
        <f t="shared" si="8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75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6"/>
        <v>999</v>
      </c>
      <c r="M103" s="208">
        <f t="shared" si="7"/>
        <v>999</v>
      </c>
      <c r="N103" s="205"/>
      <c r="O103" s="95"/>
      <c r="P103" s="111">
        <f t="shared" si="8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75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si="6"/>
        <v>999</v>
      </c>
      <c r="M104" s="208">
        <f t="shared" si="7"/>
        <v>999</v>
      </c>
      <c r="N104" s="205"/>
      <c r="O104" s="95"/>
      <c r="P104" s="111">
        <f t="shared" si="8"/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75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6"/>
        <v>999</v>
      </c>
      <c r="M105" s="208">
        <f t="shared" si="7"/>
        <v>999</v>
      </c>
      <c r="N105" s="205"/>
      <c r="O105" s="95"/>
      <c r="P105" s="111">
        <f t="shared" si="8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75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6"/>
        <v>999</v>
      </c>
      <c r="M106" s="208">
        <f t="shared" si="7"/>
        <v>999</v>
      </c>
      <c r="N106" s="205"/>
      <c r="O106" s="95"/>
      <c r="P106" s="111">
        <f t="shared" si="8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75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6"/>
        <v>999</v>
      </c>
      <c r="M107" s="208">
        <f t="shared" si="7"/>
        <v>999</v>
      </c>
      <c r="N107" s="205"/>
      <c r="O107" s="95"/>
      <c r="P107" s="111">
        <f t="shared" si="8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75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6"/>
        <v>999</v>
      </c>
      <c r="M108" s="208">
        <f t="shared" si="7"/>
        <v>999</v>
      </c>
      <c r="N108" s="205"/>
      <c r="O108" s="95"/>
      <c r="P108" s="111">
        <f t="shared" si="8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75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6"/>
        <v>999</v>
      </c>
      <c r="M109" s="208">
        <f t="shared" si="7"/>
        <v>999</v>
      </c>
      <c r="N109" s="205"/>
      <c r="O109" s="95"/>
      <c r="P109" s="111">
        <f t="shared" si="8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75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6"/>
        <v>999</v>
      </c>
      <c r="M110" s="208">
        <f t="shared" si="7"/>
        <v>999</v>
      </c>
      <c r="N110" s="205"/>
      <c r="O110" s="95"/>
      <c r="P110" s="111">
        <f t="shared" si="8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75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6"/>
        <v>999</v>
      </c>
      <c r="M111" s="208">
        <f t="shared" si="7"/>
        <v>999</v>
      </c>
      <c r="N111" s="205"/>
      <c r="O111" s="95"/>
      <c r="P111" s="111">
        <f t="shared" si="8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75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6"/>
        <v>999</v>
      </c>
      <c r="M112" s="208">
        <f t="shared" si="7"/>
        <v>999</v>
      </c>
      <c r="N112" s="205"/>
      <c r="O112" s="95"/>
      <c r="P112" s="111">
        <f t="shared" si="8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75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6"/>
        <v>999</v>
      </c>
      <c r="M113" s="208">
        <f t="shared" si="7"/>
        <v>999</v>
      </c>
      <c r="N113" s="205"/>
      <c r="O113" s="95"/>
      <c r="P113" s="111">
        <f t="shared" si="8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75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6"/>
        <v>999</v>
      </c>
      <c r="M114" s="208">
        <f t="shared" si="7"/>
        <v>999</v>
      </c>
      <c r="N114" s="205"/>
      <c r="O114" s="95"/>
      <c r="P114" s="111">
        <f t="shared" si="8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75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6"/>
        <v>999</v>
      </c>
      <c r="M115" s="208">
        <f t="shared" si="7"/>
        <v>999</v>
      </c>
      <c r="N115" s="205"/>
      <c r="O115" s="95"/>
      <c r="P115" s="111">
        <f t="shared" si="8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75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6"/>
        <v>999</v>
      </c>
      <c r="M116" s="208">
        <f t="shared" si="7"/>
        <v>999</v>
      </c>
      <c r="N116" s="205"/>
      <c r="O116" s="95"/>
      <c r="P116" s="111">
        <f t="shared" si="8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75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6"/>
        <v>999</v>
      </c>
      <c r="M117" s="208">
        <f t="shared" si="7"/>
        <v>999</v>
      </c>
      <c r="N117" s="205"/>
      <c r="O117" s="95"/>
      <c r="P117" s="111">
        <f t="shared" si="8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75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6"/>
        <v>999</v>
      </c>
      <c r="M118" s="208">
        <f t="shared" si="7"/>
        <v>999</v>
      </c>
      <c r="N118" s="205"/>
      <c r="O118" s="95"/>
      <c r="P118" s="111">
        <f t="shared" si="8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75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6"/>
        <v>999</v>
      </c>
      <c r="M119" s="208">
        <f t="shared" si="7"/>
        <v>999</v>
      </c>
      <c r="N119" s="205"/>
      <c r="O119" s="95"/>
      <c r="P119" s="111">
        <f t="shared" si="8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75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6"/>
        <v>999</v>
      </c>
      <c r="M120" s="208">
        <f t="shared" si="7"/>
        <v>999</v>
      </c>
      <c r="N120" s="205"/>
      <c r="O120" s="95"/>
      <c r="P120" s="111">
        <f t="shared" si="8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75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6"/>
        <v>999</v>
      </c>
      <c r="M121" s="208">
        <f t="shared" si="7"/>
        <v>999</v>
      </c>
      <c r="N121" s="205"/>
      <c r="O121" s="95"/>
      <c r="P121" s="111">
        <f t="shared" si="8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75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6"/>
        <v>999</v>
      </c>
      <c r="M122" s="208">
        <f t="shared" si="7"/>
        <v>999</v>
      </c>
      <c r="N122" s="205"/>
      <c r="O122" s="95"/>
      <c r="P122" s="111">
        <f t="shared" si="8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75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6"/>
        <v>999</v>
      </c>
      <c r="M123" s="208">
        <f t="shared" si="7"/>
        <v>999</v>
      </c>
      <c r="N123" s="205"/>
      <c r="O123" s="95"/>
      <c r="P123" s="111">
        <f t="shared" si="8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75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6"/>
        <v>999</v>
      </c>
      <c r="M124" s="208">
        <f t="shared" si="7"/>
        <v>999</v>
      </c>
      <c r="N124" s="205"/>
      <c r="O124" s="95"/>
      <c r="P124" s="111">
        <f t="shared" si="8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75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6"/>
        <v>999</v>
      </c>
      <c r="M125" s="208">
        <f t="shared" si="7"/>
        <v>999</v>
      </c>
      <c r="N125" s="205"/>
      <c r="O125" s="95"/>
      <c r="P125" s="111">
        <f t="shared" si="8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75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6"/>
        <v>999</v>
      </c>
      <c r="M126" s="208">
        <f t="shared" si="7"/>
        <v>999</v>
      </c>
      <c r="N126" s="205"/>
      <c r="O126" s="95"/>
      <c r="P126" s="111">
        <f t="shared" si="8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75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6"/>
        <v>999</v>
      </c>
      <c r="M127" s="208">
        <f t="shared" si="7"/>
        <v>999</v>
      </c>
      <c r="N127" s="205"/>
      <c r="O127" s="95"/>
      <c r="P127" s="111">
        <f t="shared" si="8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75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6"/>
        <v>999</v>
      </c>
      <c r="M128" s="208">
        <f t="shared" si="7"/>
        <v>999</v>
      </c>
      <c r="N128" s="205"/>
      <c r="O128" s="95"/>
      <c r="P128" s="111">
        <f t="shared" si="8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75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6"/>
        <v>999</v>
      </c>
      <c r="M129" s="208">
        <f t="shared" si="7"/>
        <v>999</v>
      </c>
      <c r="N129" s="205"/>
      <c r="O129" s="95"/>
      <c r="P129" s="111">
        <f t="shared" si="8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75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6"/>
        <v>999</v>
      </c>
      <c r="M130" s="208">
        <f t="shared" si="7"/>
        <v>999</v>
      </c>
      <c r="N130" s="205"/>
      <c r="O130" s="95"/>
      <c r="P130" s="111">
        <f t="shared" si="8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75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6"/>
        <v>999</v>
      </c>
      <c r="M131" s="208">
        <f t="shared" si="7"/>
        <v>999</v>
      </c>
      <c r="N131" s="205"/>
      <c r="O131" s="95"/>
      <c r="P131" s="111">
        <f t="shared" si="8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75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6"/>
        <v>999</v>
      </c>
      <c r="M132" s="208">
        <f t="shared" si="7"/>
        <v>999</v>
      </c>
      <c r="N132" s="205"/>
      <c r="O132" s="95"/>
      <c r="P132" s="111">
        <f t="shared" si="8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75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6"/>
        <v>999</v>
      </c>
      <c r="M133" s="208">
        <f t="shared" si="7"/>
        <v>999</v>
      </c>
      <c r="N133" s="205"/>
      <c r="O133" s="95"/>
      <c r="P133" s="111">
        <f t="shared" si="8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75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6"/>
        <v>999</v>
      </c>
      <c r="M134" s="208">
        <f t="shared" si="7"/>
        <v>999</v>
      </c>
      <c r="N134" s="205"/>
      <c r="O134" s="209"/>
      <c r="P134" s="210">
        <f t="shared" si="8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75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ref="L135:L156" si="9">IF(Q135="",999,Q135)</f>
        <v>999</v>
      </c>
      <c r="M135" s="208">
        <f t="shared" ref="M135:M156" si="10">IF(P135=999,999,1)</f>
        <v>999</v>
      </c>
      <c r="N135" s="205"/>
      <c r="O135" s="95"/>
      <c r="P135" s="111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75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9"/>
        <v>999</v>
      </c>
      <c r="M136" s="208">
        <f t="shared" si="10"/>
        <v>999</v>
      </c>
      <c r="N136" s="205"/>
      <c r="O136" s="95"/>
      <c r="P136" s="111">
        <f t="shared" si="11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75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9"/>
        <v>999</v>
      </c>
      <c r="M137" s="208">
        <f t="shared" si="10"/>
        <v>999</v>
      </c>
      <c r="N137" s="205"/>
      <c r="O137" s="95"/>
      <c r="P137" s="111">
        <f t="shared" si="11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75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9"/>
        <v>999</v>
      </c>
      <c r="M138" s="208">
        <f t="shared" si="10"/>
        <v>999</v>
      </c>
      <c r="N138" s="205"/>
      <c r="O138" s="95"/>
      <c r="P138" s="111">
        <f t="shared" si="11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75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9"/>
        <v>999</v>
      </c>
      <c r="M139" s="208">
        <f t="shared" si="10"/>
        <v>999</v>
      </c>
      <c r="N139" s="205"/>
      <c r="O139" s="95"/>
      <c r="P139" s="111">
        <f t="shared" si="11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75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9"/>
        <v>999</v>
      </c>
      <c r="M140" s="208">
        <f t="shared" si="10"/>
        <v>999</v>
      </c>
      <c r="N140" s="205"/>
      <c r="O140" s="95"/>
      <c r="P140" s="111">
        <f t="shared" si="11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75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9"/>
        <v>999</v>
      </c>
      <c r="M141" s="208">
        <f t="shared" si="10"/>
        <v>999</v>
      </c>
      <c r="N141" s="205"/>
      <c r="O141" s="209"/>
      <c r="P141" s="210">
        <f t="shared" si="11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75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9"/>
        <v>999</v>
      </c>
      <c r="M142" s="208">
        <f t="shared" si="10"/>
        <v>999</v>
      </c>
      <c r="N142" s="205"/>
      <c r="O142" s="95"/>
      <c r="P142" s="111">
        <f t="shared" si="11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75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9"/>
        <v>999</v>
      </c>
      <c r="M143" s="208">
        <f t="shared" si="10"/>
        <v>999</v>
      </c>
      <c r="N143" s="205"/>
      <c r="O143" s="95"/>
      <c r="P143" s="111">
        <f t="shared" si="11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75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9"/>
        <v>999</v>
      </c>
      <c r="M144" s="208">
        <f t="shared" si="10"/>
        <v>999</v>
      </c>
      <c r="N144" s="205"/>
      <c r="O144" s="95"/>
      <c r="P144" s="111">
        <f t="shared" si="11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75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9"/>
        <v>999</v>
      </c>
      <c r="M145" s="208">
        <f t="shared" si="10"/>
        <v>999</v>
      </c>
      <c r="N145" s="205"/>
      <c r="O145" s="95"/>
      <c r="P145" s="111">
        <f t="shared" si="11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75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9"/>
        <v>999</v>
      </c>
      <c r="M146" s="208">
        <f t="shared" si="10"/>
        <v>999</v>
      </c>
      <c r="N146" s="205"/>
      <c r="O146" s="95"/>
      <c r="P146" s="111">
        <f t="shared" si="11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75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9"/>
        <v>999</v>
      </c>
      <c r="M147" s="208">
        <f t="shared" si="10"/>
        <v>999</v>
      </c>
      <c r="N147" s="205"/>
      <c r="O147" s="95"/>
      <c r="P147" s="111">
        <f t="shared" si="11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75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9"/>
        <v>999</v>
      </c>
      <c r="M148" s="208">
        <f t="shared" si="10"/>
        <v>999</v>
      </c>
      <c r="N148" s="205"/>
      <c r="O148" s="209"/>
      <c r="P148" s="210">
        <f t="shared" si="11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75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9"/>
        <v>999</v>
      </c>
      <c r="M149" s="208">
        <f t="shared" si="10"/>
        <v>999</v>
      </c>
      <c r="N149" s="205"/>
      <c r="O149" s="95"/>
      <c r="P149" s="111">
        <f t="shared" si="11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75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9"/>
        <v>999</v>
      </c>
      <c r="M150" s="208">
        <f t="shared" si="10"/>
        <v>999</v>
      </c>
      <c r="N150" s="205"/>
      <c r="O150" s="95"/>
      <c r="P150" s="111">
        <f t="shared" si="11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75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9"/>
        <v>999</v>
      </c>
      <c r="M151" s="208">
        <f t="shared" si="10"/>
        <v>999</v>
      </c>
      <c r="N151" s="205"/>
      <c r="O151" s="95"/>
      <c r="P151" s="111">
        <f t="shared" si="11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75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9"/>
        <v>999</v>
      </c>
      <c r="M152" s="208">
        <f t="shared" si="10"/>
        <v>999</v>
      </c>
      <c r="N152" s="205"/>
      <c r="O152" s="95"/>
      <c r="P152" s="111">
        <f t="shared" si="11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75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9"/>
        <v>999</v>
      </c>
      <c r="M153" s="208">
        <f t="shared" si="10"/>
        <v>999</v>
      </c>
      <c r="N153" s="205"/>
      <c r="O153" s="95"/>
      <c r="P153" s="111">
        <f t="shared" si="11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75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9"/>
        <v>999</v>
      </c>
      <c r="M154" s="208">
        <f t="shared" si="10"/>
        <v>999</v>
      </c>
      <c r="N154" s="205"/>
      <c r="O154" s="95"/>
      <c r="P154" s="111">
        <f t="shared" si="11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75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9"/>
        <v>999</v>
      </c>
      <c r="M155" s="208">
        <f t="shared" si="10"/>
        <v>999</v>
      </c>
      <c r="N155" s="205"/>
      <c r="O155" s="95"/>
      <c r="P155" s="111">
        <f t="shared" si="11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75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9"/>
        <v>999</v>
      </c>
      <c r="M156" s="208">
        <f t="shared" si="10"/>
        <v>999</v>
      </c>
      <c r="N156" s="205"/>
      <c r="O156" s="95"/>
      <c r="P156" s="111">
        <f t="shared" si="11"/>
        <v>999</v>
      </c>
      <c r="Q156" s="95"/>
    </row>
  </sheetData>
  <phoneticPr fontId="65" type="noConversion"/>
  <conditionalFormatting sqref="A7:A22 A23:D156">
    <cfRule type="expression" dxfId="187" priority="34" stopIfTrue="1">
      <formula>$Q7&gt;=1</formula>
    </cfRule>
  </conditionalFormatting>
  <conditionalFormatting sqref="B12:C13">
    <cfRule type="expression" dxfId="186" priority="7" stopIfTrue="1">
      <formula>$S12&gt;=1</formula>
    </cfRule>
  </conditionalFormatting>
  <conditionalFormatting sqref="B13:C13">
    <cfRule type="expression" dxfId="185" priority="4" stopIfTrue="1">
      <formula>$S13&gt;=1</formula>
    </cfRule>
  </conditionalFormatting>
  <conditionalFormatting sqref="B14:C14">
    <cfRule type="expression" dxfId="184" priority="12" stopIfTrue="1">
      <formula>$S14&gt;=1</formula>
    </cfRule>
  </conditionalFormatting>
  <conditionalFormatting sqref="B14:D15">
    <cfRule type="expression" dxfId="183" priority="5" stopIfTrue="1">
      <formula>$S14&gt;=1</formula>
    </cfRule>
  </conditionalFormatting>
  <conditionalFormatting sqref="B17:D18">
    <cfRule type="expression" dxfId="182" priority="3" stopIfTrue="1">
      <formula>$S17&gt;=1</formula>
    </cfRule>
  </conditionalFormatting>
  <conditionalFormatting sqref="B23:D37">
    <cfRule type="expression" dxfId="181" priority="17" stopIfTrue="1">
      <formula>$Q23&gt;=1</formula>
    </cfRule>
  </conditionalFormatting>
  <conditionalFormatting sqref="D12">
    <cfRule type="expression" dxfId="180" priority="6" stopIfTrue="1">
      <formula>$S12&gt;=1</formula>
    </cfRule>
  </conditionalFormatting>
  <conditionalFormatting sqref="D14">
    <cfRule type="expression" dxfId="179" priority="16" stopIfTrue="1">
      <formula>$S13&gt;=1</formula>
    </cfRule>
  </conditionalFormatting>
  <conditionalFormatting sqref="D19:D20">
    <cfRule type="expression" dxfId="178" priority="1" stopIfTrue="1">
      <formula>$Q19&gt;=1</formula>
    </cfRule>
    <cfRule type="expression" dxfId="177" priority="2" stopIfTrue="1">
      <formula>$O19&gt;=1</formula>
    </cfRule>
  </conditionalFormatting>
  <conditionalFormatting sqref="E7:E14">
    <cfRule type="expression" dxfId="176" priority="22" stopIfTrue="1">
      <formula>AND(ROUNDDOWN(($A$4-E7)/365.25,0)&lt;=13,G7&lt;&gt;"OK")</formula>
    </cfRule>
    <cfRule type="expression" dxfId="175" priority="23" stopIfTrue="1">
      <formula>AND(ROUNDDOWN(($A$4-E7)/365.25,0)&lt;=14,G7&lt;&gt;"OK")</formula>
    </cfRule>
    <cfRule type="expression" dxfId="174" priority="24" stopIfTrue="1">
      <formula>AND(ROUNDDOWN(($A$4-E7)/365.25,0)&lt;=17,G7&lt;&gt;"OK")</formula>
    </cfRule>
    <cfRule type="expression" dxfId="173" priority="27" stopIfTrue="1">
      <formula>AND(ROUNDDOWN(($A$4-E7)/365.25,0)&lt;=13,G7&lt;&gt;"OK")</formula>
    </cfRule>
    <cfRule type="expression" dxfId="172" priority="28" stopIfTrue="1">
      <formula>AND(ROUNDDOWN(($A$4-E7)/365.25,0)&lt;=14,G7&lt;&gt;"OK")</formula>
    </cfRule>
    <cfRule type="expression" dxfId="171" priority="29" stopIfTrue="1">
      <formula>AND(ROUNDDOWN(($A$4-E7)/365.25,0)&lt;=17,G7&lt;&gt;"OK")</formula>
    </cfRule>
  </conditionalFormatting>
  <conditionalFormatting sqref="E7:E27 E29:E37">
    <cfRule type="expression" dxfId="170" priority="18" stopIfTrue="1">
      <formula>AND(ROUNDDOWN(($A$4-E7)/365.25,0)&lt;=13,G7&lt;&gt;"OK")</formula>
    </cfRule>
    <cfRule type="expression" dxfId="169" priority="19" stopIfTrue="1">
      <formula>AND(ROUNDDOWN(($A$4-E7)/365.25,0)&lt;=14,G7&lt;&gt;"OK")</formula>
    </cfRule>
    <cfRule type="expression" dxfId="168" priority="20" stopIfTrue="1">
      <formula>AND(ROUNDDOWN(($A$4-E7)/365.25,0)&lt;=17,G7&lt;&gt;"OK")</formula>
    </cfRule>
  </conditionalFormatting>
  <conditionalFormatting sqref="E7:E156">
    <cfRule type="expression" dxfId="167" priority="30" stopIfTrue="1">
      <formula>AND(ROUNDDOWN(($A$4-E7)/365.25,0)&lt;=13,G7&lt;&gt;"OK")</formula>
    </cfRule>
    <cfRule type="expression" dxfId="166" priority="31" stopIfTrue="1">
      <formula>AND(ROUNDDOWN(($A$4-E7)/365.25,0)&lt;=14,G7&lt;&gt;"OK")</formula>
    </cfRule>
    <cfRule type="expression" dxfId="165" priority="32" stopIfTrue="1">
      <formula>AND(ROUNDDOWN(($A$4-E7)/365.25,0)&lt;=17,G7&lt;&gt;"OK")</formula>
    </cfRule>
  </conditionalFormatting>
  <conditionalFormatting sqref="J7:J156">
    <cfRule type="cellIs" dxfId="164" priority="2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">
    <tabColor indexed="11"/>
  </sheetPr>
  <dimension ref="A1:AK41"/>
  <sheetViews>
    <sheetView workbookViewId="0">
      <selection activeCell="O20" sqref="O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223" t="str">
        <f>Altalanos!$A$8</f>
        <v>3 lány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354"/>
      <c r="M4" s="233" t="str">
        <f>Altalanos!$E$10</f>
        <v>Rákóczi Andrea</v>
      </c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01" t="s">
        <v>64</v>
      </c>
      <c r="B7" s="328">
        <v>4</v>
      </c>
      <c r="C7" s="330">
        <f>IF($B7="","",VLOOKUP($B7,'Lány 3A ELO'!$A$7:$O$22,5))</f>
        <v>0</v>
      </c>
      <c r="D7" s="330">
        <f>IF($B7="","",VLOOKUP($B7,'Lány 3A ELO'!$A$7:$O$22,15))</f>
        <v>0</v>
      </c>
      <c r="E7" s="457" t="str">
        <f>UPPER(IF($B7="","",VLOOKUP($B7,'Lány 3A ELO'!$A$7:$O$22,2)))</f>
        <v xml:space="preserve">SIKLÓSI </v>
      </c>
      <c r="F7" s="457"/>
      <c r="G7" s="457" t="str">
        <f>IF($B7="","",VLOOKUP($B7,'Lány 3A ELO'!$A$7:$O$22,3))</f>
        <v xml:space="preserve">Odett           </v>
      </c>
      <c r="H7" s="457"/>
      <c r="I7" s="331" t="str">
        <f>IF($B7="","",VLOOKUP($B7,'Lány 3A ELO'!$A$7:$O$22,4))</f>
        <v>Németvölgyi Általános Iskola</v>
      </c>
      <c r="J7" s="267"/>
      <c r="K7" s="447" t="s">
        <v>564</v>
      </c>
      <c r="L7" s="353"/>
      <c r="M7" s="364"/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29"/>
      <c r="C8" s="332"/>
      <c r="D8" s="332"/>
      <c r="E8" s="332"/>
      <c r="F8" s="332"/>
      <c r="G8" s="332"/>
      <c r="H8" s="332"/>
      <c r="I8" s="332"/>
      <c r="J8" s="267"/>
      <c r="K8" s="301"/>
      <c r="L8" s="301"/>
      <c r="M8" s="365"/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28">
        <v>6</v>
      </c>
      <c r="C9" s="330">
        <f>IF($B9="","",VLOOKUP($B9,'Lány 3A ELO'!$A$7:$O$22,5))</f>
        <v>0</v>
      </c>
      <c r="D9" s="330">
        <f>IF($B9="","",VLOOKUP($B9,'Lány 3A ELO'!$A$7:$O$22,15))</f>
        <v>0</v>
      </c>
      <c r="E9" s="457" t="str">
        <f>UPPER(IF($B9="","",VLOOKUP($B9,'Lány 3A ELO'!$A$7:$O$22,2)))</f>
        <v>TAR</v>
      </c>
      <c r="F9" s="457"/>
      <c r="G9" s="457" t="str">
        <f>IF($B9="","",VLOOKUP($B9,'Lány 3A ELO'!$A$7:$O$22,3))</f>
        <v>Dóra</v>
      </c>
      <c r="H9" s="457"/>
      <c r="I9" s="331" t="str">
        <f>IF($B9="","",VLOOKUP($B9,'Lány 3A ELO'!$A$7:$O$22,4))</f>
        <v>Szentesi Koszta J.Ált.Isk.</v>
      </c>
      <c r="J9" s="267"/>
      <c r="K9" s="447" t="s">
        <v>565</v>
      </c>
      <c r="L9" s="353"/>
      <c r="M9" s="364"/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29"/>
      <c r="C10" s="332"/>
      <c r="D10" s="332"/>
      <c r="E10" s="332"/>
      <c r="F10" s="332"/>
      <c r="G10" s="332"/>
      <c r="H10" s="332"/>
      <c r="I10" s="33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28">
        <v>1</v>
      </c>
      <c r="C11" s="330">
        <f>IF($B11="","",VLOOKUP($B11,'Lány 3A ELO'!$A$7:$O$22,5))</f>
        <v>0</v>
      </c>
      <c r="D11" s="330">
        <f>IF($B11="","",VLOOKUP($B11,'Lány 3A ELO'!$A$7:$O$22,15))</f>
        <v>0</v>
      </c>
      <c r="E11" s="457" t="str">
        <f>UPPER(IF($B11="","",VLOOKUP($B11,'Lány 3A ELO'!$A$7:$O$22,2)))</f>
        <v xml:space="preserve">FARKAS </v>
      </c>
      <c r="F11" s="457"/>
      <c r="G11" s="457" t="str">
        <f>IF($B11="","",VLOOKUP($B11,'Lány 3A ELO'!$A$7:$O$22,3))</f>
        <v>Dorka Lívia</v>
      </c>
      <c r="H11" s="457"/>
      <c r="I11" s="331" t="str">
        <f>IF($B11="","",VLOOKUP($B11,'Lány 3A ELO'!$A$7:$O$22,4))</f>
        <v xml:space="preserve"> Petőfi Sándor Katolikus Általános Iskola és Óvoda</v>
      </c>
      <c r="J11" s="267"/>
      <c r="K11" s="447" t="s">
        <v>567</v>
      </c>
      <c r="L11" s="353"/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301"/>
      <c r="B12" s="329"/>
      <c r="C12" s="332"/>
      <c r="D12" s="332"/>
      <c r="E12" s="332"/>
      <c r="F12" s="332"/>
      <c r="G12" s="332"/>
      <c r="H12" s="332"/>
      <c r="I12" s="332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01" t="s">
        <v>71</v>
      </c>
      <c r="B13" s="328">
        <v>13</v>
      </c>
      <c r="C13" s="330">
        <f>IF($B13="","",VLOOKUP($B13,'Lány 3A ELO'!$A$7:$O$22,5))</f>
        <v>0</v>
      </c>
      <c r="D13" s="330">
        <f>IF($B13="","",VLOOKUP($B13,'Lány 3A ELO'!$A$7:$O$22,15))</f>
        <v>0</v>
      </c>
      <c r="E13" s="457" t="str">
        <f>UPPER(IF($B13="","",VLOOKUP($B13,'Lány 3A ELO'!$A$7:$O$22,2)))</f>
        <v>BIERER</v>
      </c>
      <c r="F13" s="457"/>
      <c r="G13" s="457" t="str">
        <f>IF($B13="","",VLOOKUP($B13,'Lány 3A ELO'!$A$7:$O$22,3))</f>
        <v>Zsuzsanna</v>
      </c>
      <c r="H13" s="457"/>
      <c r="I13" s="331" t="str">
        <f>IF($B13="","",VLOOKUP($B13,'Lány 3A ELO'!$A$7:$O$22,4))</f>
        <v>Reményik Sándor Evangélikus Óvoda, Általános Iskola és Alapfokú Művészeti Iskola</v>
      </c>
      <c r="J13" s="267"/>
      <c r="K13" s="447" t="s">
        <v>566</v>
      </c>
      <c r="L13" s="353"/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ht="18.75" customHeight="1" x14ac:dyDescent="0.25">
      <c r="A18" s="267"/>
      <c r="B18" s="455"/>
      <c r="C18" s="455"/>
      <c r="D18" s="456" t="str">
        <f>E7</f>
        <v xml:space="preserve">SIKLÓSI </v>
      </c>
      <c r="E18" s="456"/>
      <c r="F18" s="456" t="str">
        <f>E9</f>
        <v>TAR</v>
      </c>
      <c r="G18" s="456"/>
      <c r="H18" s="456" t="str">
        <f>E11</f>
        <v xml:space="preserve">FARKAS </v>
      </c>
      <c r="I18" s="456"/>
      <c r="J18" s="456" t="str">
        <f>E13</f>
        <v>BIERER</v>
      </c>
      <c r="K18" s="456"/>
      <c r="L18" s="267"/>
      <c r="M18" s="267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ht="18.75" customHeight="1" x14ac:dyDescent="0.25">
      <c r="A19" s="333" t="s">
        <v>64</v>
      </c>
      <c r="B19" s="458" t="str">
        <f>E7</f>
        <v xml:space="preserve">SIKLÓSI </v>
      </c>
      <c r="C19" s="458"/>
      <c r="D19" s="459"/>
      <c r="E19" s="459"/>
      <c r="F19" s="460" t="s">
        <v>538</v>
      </c>
      <c r="G19" s="461"/>
      <c r="H19" s="460" t="s">
        <v>534</v>
      </c>
      <c r="I19" s="461"/>
      <c r="J19" s="464" t="s">
        <v>538</v>
      </c>
      <c r="K19" s="465"/>
      <c r="L19" s="267"/>
      <c r="M19" s="267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ht="18.75" customHeight="1" x14ac:dyDescent="0.25">
      <c r="A20" s="333" t="s">
        <v>65</v>
      </c>
      <c r="B20" s="458" t="str">
        <f>E9</f>
        <v>TAR</v>
      </c>
      <c r="C20" s="458"/>
      <c r="D20" s="460" t="s">
        <v>539</v>
      </c>
      <c r="E20" s="461"/>
      <c r="F20" s="459"/>
      <c r="G20" s="459"/>
      <c r="H20" s="460" t="s">
        <v>545</v>
      </c>
      <c r="I20" s="461"/>
      <c r="J20" s="460" t="s">
        <v>538</v>
      </c>
      <c r="K20" s="461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ht="18.75" customHeight="1" x14ac:dyDescent="0.25">
      <c r="A21" s="333" t="s">
        <v>66</v>
      </c>
      <c r="B21" s="458" t="str">
        <f>E11</f>
        <v xml:space="preserve">FARKAS </v>
      </c>
      <c r="C21" s="458"/>
      <c r="D21" s="460" t="s">
        <v>535</v>
      </c>
      <c r="E21" s="461"/>
      <c r="F21" s="460" t="s">
        <v>544</v>
      </c>
      <c r="G21" s="461"/>
      <c r="H21" s="459"/>
      <c r="I21" s="459"/>
      <c r="J21" s="460" t="s">
        <v>538</v>
      </c>
      <c r="K21" s="461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333" t="s">
        <v>71</v>
      </c>
      <c r="B22" s="458" t="str">
        <f>E13</f>
        <v>BIERER</v>
      </c>
      <c r="C22" s="458"/>
      <c r="D22" s="460" t="s">
        <v>539</v>
      </c>
      <c r="E22" s="461"/>
      <c r="F22" s="460" t="s">
        <v>539</v>
      </c>
      <c r="G22" s="461"/>
      <c r="H22" s="464" t="s">
        <v>539</v>
      </c>
      <c r="I22" s="465"/>
      <c r="J22" s="459"/>
      <c r="K22" s="459"/>
      <c r="L22" s="267"/>
      <c r="M22" s="267"/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9" t="s">
        <v>4</v>
      </c>
      <c r="E33" s="310" t="s">
        <v>45</v>
      </c>
      <c r="F33" s="324"/>
      <c r="G33" s="309" t="s">
        <v>4</v>
      </c>
      <c r="H33" s="310" t="s">
        <v>54</v>
      </c>
      <c r="I33" s="159"/>
      <c r="J33" s="310" t="s">
        <v>55</v>
      </c>
      <c r="K33" s="158" t="s">
        <v>56</v>
      </c>
      <c r="L33" s="33"/>
      <c r="M33" s="324"/>
      <c r="P33" s="303"/>
      <c r="Q33" s="303"/>
      <c r="R33" s="304"/>
    </row>
    <row r="34" spans="1:18" x14ac:dyDescent="0.25">
      <c r="A34" s="278" t="s">
        <v>44</v>
      </c>
      <c r="B34" s="279"/>
      <c r="C34" s="281"/>
      <c r="D34" s="311"/>
      <c r="E34" s="462"/>
      <c r="F34" s="462"/>
      <c r="G34" s="318" t="s">
        <v>5</v>
      </c>
      <c r="H34" s="279"/>
      <c r="I34" s="312"/>
      <c r="J34" s="319"/>
      <c r="K34" s="273" t="s">
        <v>46</v>
      </c>
      <c r="L34" s="325"/>
      <c r="M34" s="313"/>
      <c r="P34" s="305"/>
      <c r="Q34" s="305"/>
      <c r="R34" s="306"/>
    </row>
    <row r="35" spans="1:18" x14ac:dyDescent="0.25">
      <c r="A35" s="282" t="s">
        <v>53</v>
      </c>
      <c r="B35" s="157"/>
      <c r="C35" s="284"/>
      <c r="D35" s="314"/>
      <c r="E35" s="463"/>
      <c r="F35" s="463"/>
      <c r="G35" s="320" t="s">
        <v>6</v>
      </c>
      <c r="H35" s="83"/>
      <c r="I35" s="271"/>
      <c r="J35" s="84"/>
      <c r="K35" s="322"/>
      <c r="L35" s="245"/>
      <c r="M35" s="317"/>
      <c r="P35" s="306"/>
      <c r="Q35" s="307"/>
      <c r="R35" s="306"/>
    </row>
    <row r="36" spans="1:18" x14ac:dyDescent="0.25">
      <c r="A36" s="172"/>
      <c r="B36" s="173"/>
      <c r="C36" s="174"/>
      <c r="D36" s="314"/>
      <c r="E36" s="85"/>
      <c r="F36" s="267"/>
      <c r="G36" s="320" t="s">
        <v>7</v>
      </c>
      <c r="H36" s="83"/>
      <c r="I36" s="271"/>
      <c r="J36" s="84"/>
      <c r="K36" s="273" t="s">
        <v>47</v>
      </c>
      <c r="L36" s="325"/>
      <c r="M36" s="313"/>
      <c r="P36" s="305"/>
      <c r="Q36" s="305"/>
      <c r="R36" s="306"/>
    </row>
    <row r="37" spans="1:18" x14ac:dyDescent="0.25">
      <c r="A37" s="148"/>
      <c r="B37" s="116"/>
      <c r="C37" s="149"/>
      <c r="D37" s="314"/>
      <c r="E37" s="85"/>
      <c r="F37" s="267"/>
      <c r="G37" s="320" t="s">
        <v>8</v>
      </c>
      <c r="H37" s="83"/>
      <c r="I37" s="271"/>
      <c r="J37" s="84"/>
      <c r="K37" s="323"/>
      <c r="L37" s="267"/>
      <c r="M37" s="315"/>
      <c r="P37" s="306"/>
      <c r="Q37" s="307"/>
      <c r="R37" s="306"/>
    </row>
    <row r="38" spans="1:18" x14ac:dyDescent="0.25">
      <c r="A38" s="161"/>
      <c r="B38" s="175"/>
      <c r="C38" s="202"/>
      <c r="D38" s="314"/>
      <c r="E38" s="85"/>
      <c r="F38" s="267"/>
      <c r="G38" s="320" t="s">
        <v>9</v>
      </c>
      <c r="H38" s="83"/>
      <c r="I38" s="271"/>
      <c r="J38" s="84"/>
      <c r="K38" s="282"/>
      <c r="L38" s="245"/>
      <c r="M38" s="317"/>
      <c r="P38" s="306"/>
      <c r="Q38" s="307"/>
      <c r="R38" s="306"/>
    </row>
    <row r="39" spans="1:18" x14ac:dyDescent="0.25">
      <c r="A39" s="162"/>
      <c r="B39" s="22"/>
      <c r="C39" s="149"/>
      <c r="D39" s="314"/>
      <c r="E39" s="85"/>
      <c r="F39" s="267"/>
      <c r="G39" s="320" t="s">
        <v>10</v>
      </c>
      <c r="H39" s="83"/>
      <c r="I39" s="271"/>
      <c r="J39" s="84"/>
      <c r="K39" s="273" t="s">
        <v>33</v>
      </c>
      <c r="L39" s="325"/>
      <c r="M39" s="313"/>
      <c r="P39" s="305"/>
      <c r="Q39" s="305"/>
      <c r="R39" s="306"/>
    </row>
    <row r="40" spans="1:18" x14ac:dyDescent="0.25">
      <c r="A40" s="162"/>
      <c r="B40" s="22"/>
      <c r="C40" s="170"/>
      <c r="D40" s="314"/>
      <c r="E40" s="85"/>
      <c r="F40" s="267"/>
      <c r="G40" s="320" t="s">
        <v>11</v>
      </c>
      <c r="H40" s="83"/>
      <c r="I40" s="271"/>
      <c r="J40" s="84"/>
      <c r="K40" s="323"/>
      <c r="L40" s="267"/>
      <c r="M40" s="315"/>
      <c r="P40" s="306"/>
      <c r="Q40" s="307"/>
      <c r="R40" s="306"/>
    </row>
    <row r="41" spans="1:18" x14ac:dyDescent="0.25">
      <c r="A41" s="163"/>
      <c r="B41" s="160"/>
      <c r="C41" s="171"/>
      <c r="D41" s="316"/>
      <c r="E41" s="150"/>
      <c r="F41" s="245"/>
      <c r="G41" s="321" t="s">
        <v>12</v>
      </c>
      <c r="H41" s="157"/>
      <c r="I41" s="275"/>
      <c r="J41" s="152"/>
      <c r="K41" s="282" t="str">
        <f>M4</f>
        <v>Rákóczi Andrea</v>
      </c>
      <c r="L41" s="245"/>
      <c r="M41" s="317"/>
      <c r="P41" s="306"/>
      <c r="Q41" s="307"/>
      <c r="R41" s="308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65" type="noConversion"/>
  <conditionalFormatting sqref="E7 E9 E11 E13">
    <cfRule type="cellIs" dxfId="163" priority="1" stopIfTrue="1" operator="equal">
      <formula>"Bye"</formula>
    </cfRule>
  </conditionalFormatting>
  <conditionalFormatting sqref="R41">
    <cfRule type="expression" dxfId="16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">
    <tabColor indexed="11"/>
  </sheetPr>
  <dimension ref="A1:AK49"/>
  <sheetViews>
    <sheetView topLeftCell="A12" workbookViewId="0">
      <selection activeCell="S31" sqref="S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IF(Y5=1,CONCATENATE(VLOOKUP(Y3,AA16:AH27,2)),CONCATENATE(VLOOKUP(Y3,AA2:AK13,2)))</f>
        <v>#N/A</v>
      </c>
      <c r="AC1" s="362" t="e">
        <f>IF(Y5=1,CONCATENATE(VLOOKUP(Y3,AA16:AK27,3)),CONCATENATE(VLOOKUP(Y3,AA2:AK13,3)))</f>
        <v>#N/A</v>
      </c>
      <c r="AD1" s="362" t="e">
        <f>IF(Y5=1,CONCATENATE(VLOOKUP(Y3,AA16:AK27,4)),CONCATENATE(VLOOKUP(Y3,AA2:AK13,4)))</f>
        <v>#N/A</v>
      </c>
      <c r="AE1" s="362" t="e">
        <f>IF(Y5=1,CONCATENATE(VLOOKUP(Y3,AA16:AK27,5)),CONCATENATE(VLOOKUP(Y3,AA2:AK13,5)))</f>
        <v>#N/A</v>
      </c>
      <c r="AF1" s="362" t="e">
        <f>IF(Y5=1,CONCATENATE(VLOOKUP(Y3,AA16:AK27,6)),CONCATENATE(VLOOKUP(Y3,AA2:AK13,6)))</f>
        <v>#N/A</v>
      </c>
      <c r="AG1" s="362" t="e">
        <f>IF(Y5=1,CONCATENATE(VLOOKUP(Y3,AA16:AK27,7)),CONCATENATE(VLOOKUP(Y3,AA2:AK13,7)))</f>
        <v>#N/A</v>
      </c>
      <c r="AH1" s="362" t="e">
        <f>IF(Y5=1,CONCATENATE(VLOOKUP(Y3,AA16:AK27,8)),CONCATENATE(VLOOKUP(Y3,AA2:AK13,8)))</f>
        <v>#N/A</v>
      </c>
      <c r="AI1" s="362" t="e">
        <f>IF(Y5=1,CONCATENATE(VLOOKUP(Y3,AA16:AK27,9)),CONCATENATE(VLOOKUP(Y3,AA2:AK13,9)))</f>
        <v>#N/A</v>
      </c>
      <c r="AJ1" s="362" t="e">
        <f>IF(Y5=1,CONCATENATE(VLOOKUP(Y3,AA16:AK27,10)),CONCATENATE(VLOOKUP(Y3,AA2:AK13,10)))</f>
        <v>#N/A</v>
      </c>
      <c r="AK1" s="362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223" t="str">
        <f>Altalanos!$A$8</f>
        <v>3 lány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/>
      <c r="C7" s="291"/>
      <c r="D7" s="291"/>
      <c r="E7" s="287"/>
      <c r="F7" s="290"/>
      <c r="G7" s="287"/>
      <c r="H7" s="290"/>
      <c r="I7" s="287"/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110</v>
      </c>
      <c r="S7" s="403" t="s">
        <v>112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111</v>
      </c>
      <c r="S8" s="404" t="s">
        <v>113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/>
      <c r="C9" s="291"/>
      <c r="D9" s="291"/>
      <c r="E9" s="286"/>
      <c r="F9" s="292"/>
      <c r="G9" s="286"/>
      <c r="H9" s="292"/>
      <c r="I9" s="286"/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87</v>
      </c>
      <c r="S9" s="405" t="s">
        <v>114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49"/>
      <c r="C11" s="291"/>
      <c r="D11" s="291"/>
      <c r="E11" s="286"/>
      <c r="F11" s="292"/>
      <c r="G11" s="286"/>
      <c r="H11" s="292"/>
      <c r="I11" s="286"/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34" t="s">
        <v>71</v>
      </c>
      <c r="B13" s="347">
        <v>2</v>
      </c>
      <c r="C13" s="291">
        <f>IF($B13="","",VLOOKUP($B13,'Lány 3A ELO'!$A$7:$O$22,5))</f>
        <v>0</v>
      </c>
      <c r="D13" s="291">
        <f>IF($B13="","",VLOOKUP($B13,'Lány 3A ELO'!$A$7:$O$22,15))</f>
        <v>0</v>
      </c>
      <c r="E13" s="287" t="str">
        <f>UPPER(IF($B13="","",VLOOKUP($B13,'Lány 3A ELO'!$A$7:$O$22,2)))</f>
        <v xml:space="preserve">BENOVICS </v>
      </c>
      <c r="F13" s="290"/>
      <c r="G13" s="287" t="str">
        <f>IF($B13="","",VLOOKUP($B13,'Lány 3A ELO'!$A$7:$O$22,3))</f>
        <v>Hanna Mária</v>
      </c>
      <c r="H13" s="290"/>
      <c r="I13" s="287" t="str">
        <f>IF($B13="","",VLOOKUP($B13,'Lány 3A ELO'!$A$7:$O$22,4))</f>
        <v>Pécsi Miroslav Krleza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01" t="s">
        <v>72</v>
      </c>
      <c r="B15" s="349">
        <v>16</v>
      </c>
      <c r="C15" s="291">
        <f>IF($B15="","",VLOOKUP($B15,'Lány 3A ELO'!$A$7:$O$22,5))</f>
        <v>0</v>
      </c>
      <c r="D15" s="291">
        <f>IF($B15="","",VLOOKUP($B15,'Lány 3A ELO'!$A$7:$O$22,15))</f>
        <v>0</v>
      </c>
      <c r="E15" s="286" t="str">
        <f>UPPER(IF($B15="","",VLOOKUP($B15,'Lány 3A ELO'!$A$7:$O$22,2)))</f>
        <v xml:space="preserve">KOVÁCS </v>
      </c>
      <c r="F15" s="292"/>
      <c r="G15" s="286" t="str">
        <f>IF($B15="","",VLOOKUP($B15,'Lány 3A ELO'!$A$7:$O$22,3))</f>
        <v>Annabell</v>
      </c>
      <c r="H15" s="292"/>
      <c r="I15" s="286" t="str">
        <f>IF($B15="","",VLOOKUP($B15,'Lány 3A ELO'!$A$7:$O$22,4))</f>
        <v>Hunyadi Sopron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12</v>
      </c>
      <c r="C17" s="291">
        <f>IF($B17="","",VLOOKUP($B17,'Lány 3A ELO'!$A$7:$O$22,5))</f>
        <v>0</v>
      </c>
      <c r="D17" s="291">
        <f>IF($B17="","",VLOOKUP($B17,'Lány 3A ELO'!$A$7:$O$22,15))</f>
        <v>0</v>
      </c>
      <c r="E17" s="286" t="str">
        <f>UPPER(IF($B17="","",VLOOKUP($B17,'Lány 3A ELO'!$A$7:$O$22,2)))</f>
        <v>DOMONYAI</v>
      </c>
      <c r="F17" s="292"/>
      <c r="G17" s="286" t="str">
        <f>IF($B17="","",VLOOKUP($B17,'Lány 3A ELO'!$A$7:$O$22,3))</f>
        <v>Adél</v>
      </c>
      <c r="H17" s="292"/>
      <c r="I17" s="286" t="str">
        <f>IF($B17="","",VLOOKUP($B17,'Lány 3A ELO'!$A$7:$O$22,4))</f>
        <v>Szekszárdi Babits Mihály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01" t="s">
        <v>73</v>
      </c>
      <c r="B19" s="349">
        <v>14</v>
      </c>
      <c r="C19" s="291">
        <f>IF($B19="","",VLOOKUP($B19,'Lány 3A ELO'!$A$7:$O$22,5))</f>
        <v>0</v>
      </c>
      <c r="D19" s="291">
        <f>IF($B19="","",VLOOKUP($B19,'Lány 3A ELO'!$A$7:$O$22,15))</f>
        <v>0</v>
      </c>
      <c r="E19" s="286" t="str">
        <f>UPPER(IF($B19="","",VLOOKUP($B19,'Lány 3A ELO'!$A$7:$O$22,2)))</f>
        <v>LÉVAI</v>
      </c>
      <c r="F19" s="292"/>
      <c r="G19" s="286" t="str">
        <f>IF($B19="","",VLOOKUP($B19,'Lány 3A ELO'!$A$7:$O$22,3))</f>
        <v>Luca</v>
      </c>
      <c r="H19" s="292"/>
      <c r="I19" s="286" t="str">
        <f>IF($B19="","",VLOOKUP($B19,'Lány 3A ELO'!$A$7:$O$22,4))</f>
        <v>Kárpáti János Általános Iskola és Alapfokú Művészeti Iskola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51"/>
      <c r="Z20" s="351"/>
      <c r="AA20" s="351" t="s">
        <v>91</v>
      </c>
      <c r="AB20" s="351">
        <v>120</v>
      </c>
      <c r="AC20" s="351">
        <v>90</v>
      </c>
      <c r="AD20" s="351">
        <v>65</v>
      </c>
      <c r="AE20" s="351">
        <v>55</v>
      </c>
      <c r="AF20" s="351">
        <v>50</v>
      </c>
      <c r="AG20" s="351">
        <v>45</v>
      </c>
      <c r="AH20" s="351">
        <v>40</v>
      </c>
      <c r="AI20" s="351">
        <v>35</v>
      </c>
      <c r="AJ20" s="351">
        <v>25</v>
      </c>
      <c r="AK20" s="351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51"/>
      <c r="Z21" s="351"/>
      <c r="AA21" s="351" t="s">
        <v>92</v>
      </c>
      <c r="AB21" s="351">
        <v>90</v>
      </c>
      <c r="AC21" s="351">
        <v>60</v>
      </c>
      <c r="AD21" s="351">
        <v>45</v>
      </c>
      <c r="AE21" s="351">
        <v>34</v>
      </c>
      <c r="AF21" s="351">
        <v>27</v>
      </c>
      <c r="AG21" s="351">
        <v>22</v>
      </c>
      <c r="AH21" s="351">
        <v>18</v>
      </c>
      <c r="AI21" s="351">
        <v>15</v>
      </c>
      <c r="AJ21" s="351">
        <v>12</v>
      </c>
      <c r="AK21" s="351">
        <v>9</v>
      </c>
    </row>
    <row r="22" spans="1:37" ht="18.75" customHeight="1" x14ac:dyDescent="0.25">
      <c r="A22" s="267"/>
      <c r="B22" s="455"/>
      <c r="C22" s="455"/>
      <c r="D22" s="456"/>
      <c r="E22" s="456"/>
      <c r="F22" s="456"/>
      <c r="G22" s="456"/>
      <c r="H22" s="456"/>
      <c r="I22" s="456"/>
      <c r="J22" s="267"/>
      <c r="K22" s="267"/>
      <c r="L22" s="267"/>
      <c r="M22" s="335" t="s">
        <v>68</v>
      </c>
      <c r="Y22" s="351"/>
      <c r="Z22" s="351"/>
      <c r="AA22" s="351" t="s">
        <v>93</v>
      </c>
      <c r="AB22" s="351">
        <v>60</v>
      </c>
      <c r="AC22" s="351">
        <v>40</v>
      </c>
      <c r="AD22" s="351">
        <v>30</v>
      </c>
      <c r="AE22" s="351">
        <v>20</v>
      </c>
      <c r="AF22" s="351">
        <v>18</v>
      </c>
      <c r="AG22" s="351">
        <v>15</v>
      </c>
      <c r="AH22" s="351">
        <v>12</v>
      </c>
      <c r="AI22" s="351">
        <v>10</v>
      </c>
      <c r="AJ22" s="351">
        <v>8</v>
      </c>
      <c r="AK22" s="351">
        <v>6</v>
      </c>
    </row>
    <row r="23" spans="1:37" ht="18.75" customHeight="1" x14ac:dyDescent="0.25">
      <c r="A23" s="333" t="s">
        <v>64</v>
      </c>
      <c r="B23" s="458"/>
      <c r="C23" s="458"/>
      <c r="D23" s="467"/>
      <c r="E23" s="467"/>
      <c r="F23" s="466"/>
      <c r="G23" s="466"/>
      <c r="H23" s="466"/>
      <c r="I23" s="466"/>
      <c r="J23" s="267"/>
      <c r="K23" s="267"/>
      <c r="L23" s="267"/>
      <c r="M23" s="336"/>
      <c r="Y23" s="351"/>
      <c r="Z23" s="351"/>
      <c r="AA23" s="351" t="s">
        <v>94</v>
      </c>
      <c r="AB23" s="351">
        <v>40</v>
      </c>
      <c r="AC23" s="351">
        <v>25</v>
      </c>
      <c r="AD23" s="351">
        <v>18</v>
      </c>
      <c r="AE23" s="351">
        <v>13</v>
      </c>
      <c r="AF23" s="351">
        <v>8</v>
      </c>
      <c r="AG23" s="351">
        <v>7</v>
      </c>
      <c r="AH23" s="351">
        <v>6</v>
      </c>
      <c r="AI23" s="351">
        <v>5</v>
      </c>
      <c r="AJ23" s="351">
        <v>4</v>
      </c>
      <c r="AK23" s="351">
        <v>3</v>
      </c>
    </row>
    <row r="24" spans="1:37" ht="18.75" customHeight="1" x14ac:dyDescent="0.25">
      <c r="A24" s="333" t="s">
        <v>65</v>
      </c>
      <c r="B24" s="458"/>
      <c r="C24" s="458"/>
      <c r="D24" s="466"/>
      <c r="E24" s="466"/>
      <c r="F24" s="467"/>
      <c r="G24" s="467"/>
      <c r="H24" s="466"/>
      <c r="I24" s="466"/>
      <c r="J24" s="267"/>
      <c r="K24" s="267"/>
      <c r="L24" s="267"/>
      <c r="M24" s="336"/>
      <c r="Y24" s="351"/>
      <c r="Z24" s="351"/>
      <c r="AA24" s="351" t="s">
        <v>95</v>
      </c>
      <c r="AB24" s="351">
        <v>25</v>
      </c>
      <c r="AC24" s="351">
        <v>15</v>
      </c>
      <c r="AD24" s="351">
        <v>13</v>
      </c>
      <c r="AE24" s="351">
        <v>7</v>
      </c>
      <c r="AF24" s="351">
        <v>6</v>
      </c>
      <c r="AG24" s="351">
        <v>5</v>
      </c>
      <c r="AH24" s="351">
        <v>4</v>
      </c>
      <c r="AI24" s="351">
        <v>3</v>
      </c>
      <c r="AJ24" s="351">
        <v>2</v>
      </c>
      <c r="AK24" s="351">
        <v>1</v>
      </c>
    </row>
    <row r="25" spans="1:37" ht="18.75" customHeight="1" x14ac:dyDescent="0.25">
      <c r="A25" s="333" t="s">
        <v>66</v>
      </c>
      <c r="B25" s="458"/>
      <c r="C25" s="458"/>
      <c r="D25" s="466"/>
      <c r="E25" s="466"/>
      <c r="F25" s="466"/>
      <c r="G25" s="466"/>
      <c r="H25" s="467"/>
      <c r="I25" s="467"/>
      <c r="J25" s="267"/>
      <c r="K25" s="267"/>
      <c r="L25" s="267"/>
      <c r="M25" s="336"/>
      <c r="Y25" s="351"/>
      <c r="Z25" s="351"/>
      <c r="AA25" s="351" t="s">
        <v>100</v>
      </c>
      <c r="AB25" s="351">
        <v>15</v>
      </c>
      <c r="AC25" s="351">
        <v>10</v>
      </c>
      <c r="AD25" s="351">
        <v>8</v>
      </c>
      <c r="AE25" s="351">
        <v>4</v>
      </c>
      <c r="AF25" s="351">
        <v>3</v>
      </c>
      <c r="AG25" s="351">
        <v>2</v>
      </c>
      <c r="AH25" s="351">
        <v>1</v>
      </c>
      <c r="AI25" s="351">
        <v>0</v>
      </c>
      <c r="AJ25" s="351">
        <v>0</v>
      </c>
      <c r="AK25" s="351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337"/>
      <c r="Y26" s="351"/>
      <c r="Z26" s="351"/>
      <c r="AA26" s="351" t="s">
        <v>96</v>
      </c>
      <c r="AB26" s="351">
        <v>10</v>
      </c>
      <c r="AC26" s="351">
        <v>6</v>
      </c>
      <c r="AD26" s="351">
        <v>4</v>
      </c>
      <c r="AE26" s="351">
        <v>2</v>
      </c>
      <c r="AF26" s="351">
        <v>1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</row>
    <row r="27" spans="1:37" ht="18.75" customHeight="1" x14ac:dyDescent="0.25">
      <c r="A27" s="267"/>
      <c r="B27" s="455"/>
      <c r="C27" s="455"/>
      <c r="D27" s="456" t="str">
        <f>E13</f>
        <v xml:space="preserve">BENOVICS </v>
      </c>
      <c r="E27" s="456"/>
      <c r="F27" s="456" t="str">
        <f>E15</f>
        <v xml:space="preserve">KOVÁCS </v>
      </c>
      <c r="G27" s="456"/>
      <c r="H27" s="456" t="str">
        <f>E17</f>
        <v>DOMONYAI</v>
      </c>
      <c r="I27" s="456"/>
      <c r="J27" s="456" t="str">
        <f>E19</f>
        <v>LÉVAI</v>
      </c>
      <c r="K27" s="456"/>
      <c r="L27" s="267"/>
      <c r="M27" s="337"/>
      <c r="Y27" s="351"/>
      <c r="Z27" s="351"/>
      <c r="AA27" s="351" t="s">
        <v>97</v>
      </c>
      <c r="AB27" s="351">
        <v>3</v>
      </c>
      <c r="AC27" s="351">
        <v>2</v>
      </c>
      <c r="AD27" s="351">
        <v>1</v>
      </c>
      <c r="AE27" s="351">
        <v>0</v>
      </c>
      <c r="AF27" s="35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33" t="s">
        <v>71</v>
      </c>
      <c r="B28" s="458" t="str">
        <f>E13</f>
        <v xml:space="preserve">BENOVICS </v>
      </c>
      <c r="C28" s="458"/>
      <c r="D28" s="459"/>
      <c r="E28" s="459"/>
      <c r="F28" s="460" t="s">
        <v>539</v>
      </c>
      <c r="G28" s="461"/>
      <c r="H28" s="460" t="s">
        <v>544</v>
      </c>
      <c r="I28" s="461"/>
      <c r="J28" s="464" t="s">
        <v>539</v>
      </c>
      <c r="K28" s="465"/>
      <c r="L28" s="267"/>
      <c r="M28" s="336" t="s">
        <v>565</v>
      </c>
    </row>
    <row r="29" spans="1:37" ht="18.75" customHeight="1" x14ac:dyDescent="0.25">
      <c r="A29" s="333" t="s">
        <v>72</v>
      </c>
      <c r="B29" s="458" t="str">
        <f>E15</f>
        <v xml:space="preserve">KOVÁCS </v>
      </c>
      <c r="C29" s="458"/>
      <c r="D29" s="460" t="s">
        <v>538</v>
      </c>
      <c r="E29" s="461"/>
      <c r="F29" s="459"/>
      <c r="G29" s="459"/>
      <c r="H29" s="460" t="s">
        <v>538</v>
      </c>
      <c r="I29" s="461"/>
      <c r="J29" s="460" t="s">
        <v>539</v>
      </c>
      <c r="K29" s="461"/>
      <c r="L29" s="267"/>
      <c r="M29" s="336" t="s">
        <v>567</v>
      </c>
    </row>
    <row r="30" spans="1:37" ht="18.75" customHeight="1" x14ac:dyDescent="0.25">
      <c r="A30" s="333" t="s">
        <v>73</v>
      </c>
      <c r="B30" s="458" t="str">
        <f>E17</f>
        <v>DOMONYAI</v>
      </c>
      <c r="C30" s="458"/>
      <c r="D30" s="460" t="s">
        <v>545</v>
      </c>
      <c r="E30" s="461"/>
      <c r="F30" s="460" t="s">
        <v>539</v>
      </c>
      <c r="G30" s="461"/>
      <c r="H30" s="459"/>
      <c r="I30" s="459"/>
      <c r="J30" s="460" t="s">
        <v>535</v>
      </c>
      <c r="K30" s="461"/>
      <c r="L30" s="267"/>
      <c r="M30" s="336" t="s">
        <v>566</v>
      </c>
    </row>
    <row r="31" spans="1:37" ht="18.75" customHeight="1" x14ac:dyDescent="0.25">
      <c r="A31" s="333" t="s">
        <v>77</v>
      </c>
      <c r="B31" s="458" t="str">
        <f>E19</f>
        <v>LÉVAI</v>
      </c>
      <c r="C31" s="458"/>
      <c r="D31" s="460" t="s">
        <v>538</v>
      </c>
      <c r="E31" s="461"/>
      <c r="F31" s="460" t="s">
        <v>538</v>
      </c>
      <c r="G31" s="461"/>
      <c r="H31" s="464" t="s">
        <v>534</v>
      </c>
      <c r="I31" s="465"/>
      <c r="J31" s="459"/>
      <c r="K31" s="459"/>
      <c r="L31" s="267"/>
      <c r="M31" s="336" t="s">
        <v>564</v>
      </c>
    </row>
    <row r="32" spans="1:37" ht="18.75" customHeight="1" x14ac:dyDescent="0.25">
      <c r="A32" s="338"/>
      <c r="B32" s="339"/>
      <c r="C32" s="339"/>
      <c r="D32" s="338"/>
      <c r="E32" s="338"/>
      <c r="F32" s="338"/>
      <c r="G32" s="338"/>
      <c r="H32" s="338"/>
      <c r="I32" s="338"/>
      <c r="J32" s="267"/>
      <c r="K32" s="267"/>
      <c r="L32" s="267"/>
      <c r="M32" s="340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58</v>
      </c>
      <c r="B34" s="267"/>
      <c r="C34" s="468" t="str">
        <f>IF(M23=1,B23,IF(M24=1,B24,IF(M25=1,B25,"")))</f>
        <v/>
      </c>
      <c r="D34" s="468"/>
      <c r="E34" s="301" t="s">
        <v>75</v>
      </c>
      <c r="F34" s="468" t="str">
        <f>IF(M28=1,B28,IF(M29=1,B29,IF(M30=1,B30,IF(M31=1,B31,""))))</f>
        <v/>
      </c>
      <c r="G34" s="468"/>
      <c r="H34" s="267"/>
      <c r="I34" s="245"/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301"/>
      <c r="G35" s="301"/>
      <c r="H35" s="267"/>
      <c r="I35" s="267"/>
      <c r="J35" s="267"/>
      <c r="K35" s="267"/>
      <c r="L35" s="267"/>
      <c r="M35" s="267"/>
    </row>
    <row r="36" spans="1:18" x14ac:dyDescent="0.25">
      <c r="A36" s="267" t="s">
        <v>74</v>
      </c>
      <c r="B36" s="267"/>
      <c r="C36" s="468" t="str">
        <f>IF(M23=2,B23,IF(M24=2,B24,IF(M25=2,B25,"")))</f>
        <v/>
      </c>
      <c r="D36" s="468"/>
      <c r="E36" s="301" t="s">
        <v>75</v>
      </c>
      <c r="F36" s="468" t="str">
        <f>IF(M28=2,B28,IF(M29=2,B29,IF(M30=2,B30,IF(M31=2,B31,""))))</f>
        <v/>
      </c>
      <c r="G36" s="468"/>
      <c r="H36" s="267"/>
      <c r="I36" s="245"/>
      <c r="J36" s="267"/>
      <c r="K36" s="267"/>
      <c r="L36" s="267"/>
      <c r="M36" s="267"/>
    </row>
    <row r="37" spans="1:18" x14ac:dyDescent="0.25">
      <c r="A37" s="267"/>
      <c r="B37" s="267"/>
      <c r="C37" s="301"/>
      <c r="D37" s="301"/>
      <c r="E37" s="301"/>
      <c r="F37" s="301"/>
      <c r="G37" s="301"/>
      <c r="H37" s="267"/>
      <c r="I37" s="267"/>
      <c r="J37" s="267"/>
      <c r="K37" s="267"/>
      <c r="L37" s="267"/>
      <c r="M37" s="267"/>
    </row>
    <row r="38" spans="1:18" x14ac:dyDescent="0.25">
      <c r="A38" s="267" t="s">
        <v>76</v>
      </c>
      <c r="B38" s="267"/>
      <c r="C38" s="468" t="str">
        <f>IF(M23=3,B23,IF(M24=3,B24,IF(M25=3,B25,"")))</f>
        <v/>
      </c>
      <c r="D38" s="468"/>
      <c r="E38" s="301" t="s">
        <v>75</v>
      </c>
      <c r="F38" s="468" t="str">
        <f>IF(M28=3,B28,IF(M29=3,B29,IF(M30=3,B30,IF(M31=3,B31,""))))</f>
        <v/>
      </c>
      <c r="G38" s="468"/>
      <c r="H38" s="267"/>
      <c r="I38" s="245"/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36" t="s">
        <v>43</v>
      </c>
      <c r="B41" s="137"/>
      <c r="C41" s="203"/>
      <c r="D41" s="309" t="s">
        <v>4</v>
      </c>
      <c r="E41" s="310" t="s">
        <v>45</v>
      </c>
      <c r="F41" s="324"/>
      <c r="G41" s="309" t="s">
        <v>4</v>
      </c>
      <c r="H41" s="310" t="s">
        <v>54</v>
      </c>
      <c r="I41" s="159"/>
      <c r="J41" s="310" t="s">
        <v>55</v>
      </c>
      <c r="K41" s="158" t="s">
        <v>56</v>
      </c>
      <c r="L41" s="33"/>
      <c r="M41" s="324"/>
      <c r="P41" s="303"/>
      <c r="Q41" s="303"/>
      <c r="R41" s="304"/>
    </row>
    <row r="42" spans="1:18" x14ac:dyDescent="0.25">
      <c r="A42" s="278" t="s">
        <v>44</v>
      </c>
      <c r="B42" s="279"/>
      <c r="C42" s="281"/>
      <c r="D42" s="311">
        <v>1</v>
      </c>
      <c r="E42" s="462" t="str">
        <f>IF(D42&gt;$R$44,,UPPER(VLOOKUP(D42,'Lány 3A ELO'!$A$7:$Q$134,2)))</f>
        <v xml:space="preserve">FARKAS </v>
      </c>
      <c r="F42" s="462"/>
      <c r="G42" s="318" t="s">
        <v>5</v>
      </c>
      <c r="H42" s="279"/>
      <c r="I42" s="312"/>
      <c r="J42" s="319"/>
      <c r="K42" s="273" t="s">
        <v>46</v>
      </c>
      <c r="L42" s="325"/>
      <c r="M42" s="313"/>
      <c r="P42" s="305"/>
      <c r="Q42" s="305"/>
      <c r="R42" s="306"/>
    </row>
    <row r="43" spans="1:18" x14ac:dyDescent="0.25">
      <c r="A43" s="282" t="s">
        <v>53</v>
      </c>
      <c r="B43" s="157"/>
      <c r="C43" s="284"/>
      <c r="D43" s="314">
        <v>2</v>
      </c>
      <c r="E43" s="463" t="str">
        <f>IF(D43&gt;$R$44,,UPPER(VLOOKUP(D43,'Lány 3A ELO'!$A$7:$Q$134,2)))</f>
        <v xml:space="preserve">BENOVICS </v>
      </c>
      <c r="F43" s="463"/>
      <c r="G43" s="320" t="s">
        <v>6</v>
      </c>
      <c r="H43" s="83"/>
      <c r="I43" s="271"/>
      <c r="J43" s="84"/>
      <c r="K43" s="322"/>
      <c r="L43" s="245"/>
      <c r="M43" s="317"/>
      <c r="P43" s="306"/>
      <c r="Q43" s="307"/>
      <c r="R43" s="306"/>
    </row>
    <row r="44" spans="1:18" x14ac:dyDescent="0.25">
      <c r="A44" s="172"/>
      <c r="B44" s="173"/>
      <c r="C44" s="174"/>
      <c r="D44" s="314"/>
      <c r="E44" s="85"/>
      <c r="F44" s="267"/>
      <c r="G44" s="320" t="s">
        <v>7</v>
      </c>
      <c r="H44" s="83"/>
      <c r="I44" s="271"/>
      <c r="J44" s="84"/>
      <c r="K44" s="273" t="s">
        <v>47</v>
      </c>
      <c r="L44" s="325"/>
      <c r="M44" s="313"/>
      <c r="P44" s="305"/>
      <c r="Q44" s="305"/>
      <c r="R44" s="308">
        <f>MIN(4,'Lány 3A ELO'!Q2)</f>
        <v>4</v>
      </c>
    </row>
    <row r="45" spans="1:18" x14ac:dyDescent="0.25">
      <c r="A45" s="148"/>
      <c r="B45" s="116"/>
      <c r="C45" s="149"/>
      <c r="D45" s="314"/>
      <c r="E45" s="85"/>
      <c r="F45" s="267"/>
      <c r="G45" s="320" t="s">
        <v>8</v>
      </c>
      <c r="H45" s="83"/>
      <c r="I45" s="271"/>
      <c r="J45" s="84"/>
      <c r="K45" s="323"/>
      <c r="L45" s="267"/>
      <c r="M45" s="315"/>
      <c r="P45" s="306"/>
      <c r="Q45" s="307"/>
      <c r="R45" s="306"/>
    </row>
    <row r="46" spans="1:18" x14ac:dyDescent="0.25">
      <c r="A46" s="161"/>
      <c r="B46" s="175"/>
      <c r="C46" s="202"/>
      <c r="D46" s="314"/>
      <c r="E46" s="85"/>
      <c r="F46" s="267"/>
      <c r="G46" s="320" t="s">
        <v>9</v>
      </c>
      <c r="H46" s="83"/>
      <c r="I46" s="271"/>
      <c r="J46" s="84"/>
      <c r="K46" s="282"/>
      <c r="L46" s="245"/>
      <c r="M46" s="317"/>
      <c r="P46" s="306"/>
      <c r="Q46" s="307"/>
      <c r="R46" s="306"/>
    </row>
    <row r="47" spans="1:18" x14ac:dyDescent="0.25">
      <c r="A47" s="162"/>
      <c r="B47" s="22"/>
      <c r="C47" s="149"/>
      <c r="D47" s="314"/>
      <c r="E47" s="85"/>
      <c r="F47" s="267"/>
      <c r="G47" s="320" t="s">
        <v>10</v>
      </c>
      <c r="H47" s="83"/>
      <c r="I47" s="271"/>
      <c r="J47" s="84"/>
      <c r="K47" s="273" t="s">
        <v>33</v>
      </c>
      <c r="L47" s="325"/>
      <c r="M47" s="313"/>
      <c r="P47" s="305"/>
      <c r="Q47" s="305"/>
      <c r="R47" s="306"/>
    </row>
    <row r="48" spans="1:18" x14ac:dyDescent="0.25">
      <c r="A48" s="162"/>
      <c r="B48" s="22"/>
      <c r="C48" s="170"/>
      <c r="D48" s="314"/>
      <c r="E48" s="85"/>
      <c r="F48" s="267"/>
      <c r="G48" s="320" t="s">
        <v>11</v>
      </c>
      <c r="H48" s="83"/>
      <c r="I48" s="271"/>
      <c r="J48" s="84"/>
      <c r="K48" s="323"/>
      <c r="L48" s="267"/>
      <c r="M48" s="315"/>
      <c r="P48" s="306"/>
      <c r="Q48" s="307"/>
      <c r="R48" s="306"/>
    </row>
    <row r="49" spans="1:18" x14ac:dyDescent="0.25">
      <c r="A49" s="163"/>
      <c r="B49" s="160"/>
      <c r="C49" s="171"/>
      <c r="D49" s="316"/>
      <c r="E49" s="150"/>
      <c r="F49" s="245"/>
      <c r="G49" s="321" t="s">
        <v>12</v>
      </c>
      <c r="H49" s="157"/>
      <c r="I49" s="275"/>
      <c r="J49" s="152"/>
      <c r="K49" s="282" t="str">
        <f>L4</f>
        <v>Rákóczi Andrea</v>
      </c>
      <c r="L49" s="245"/>
      <c r="M49" s="317"/>
      <c r="P49" s="306"/>
      <c r="Q49" s="307"/>
      <c r="R49" s="308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65" type="noConversion"/>
  <conditionalFormatting sqref="E7 E9 E11 E13 E15 E17 E19">
    <cfRule type="cellIs" dxfId="161" priority="2" stopIfTrue="1" operator="equal">
      <formula>"Bye"</formula>
    </cfRule>
  </conditionalFormatting>
  <conditionalFormatting sqref="R44 R49">
    <cfRule type="expression" dxfId="16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56">
    <tabColor indexed="11"/>
  </sheetPr>
  <dimension ref="A1:AK53"/>
  <sheetViews>
    <sheetView topLeftCell="A19" workbookViewId="0">
      <selection activeCell="Q27" sqref="Q2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16"/>
      <c r="H1" s="219" t="s">
        <v>52</v>
      </c>
      <c r="I1" s="217"/>
      <c r="J1" s="218"/>
      <c r="L1" s="220"/>
      <c r="M1" s="221"/>
      <c r="N1" s="293"/>
      <c r="O1" s="293" t="s">
        <v>13</v>
      </c>
      <c r="P1" s="293"/>
      <c r="Q1" s="294"/>
      <c r="R1" s="293"/>
      <c r="AB1" s="362" t="e">
        <f>IF(Y5=1,CONCATENATE(VLOOKUP(Y3,AA16:AH30,2)),CONCATENATE(VLOOKUP(Y3,AA2:AK13,2)))</f>
        <v>#N/A</v>
      </c>
      <c r="AC1" s="362" t="e">
        <f>IF(Y5=1,CONCATENATE(VLOOKUP(Y3,AA16:AK30,3)),CONCATENATE(VLOOKUP(Y3,AA2:AK13,3)))</f>
        <v>#N/A</v>
      </c>
      <c r="AD1" s="362" t="e">
        <f>IF(Y5=1,CONCATENATE(VLOOKUP(Y3,AA16:AK30,4)),CONCATENATE(VLOOKUP(Y3,AA2:AK13,4)))</f>
        <v>#N/A</v>
      </c>
      <c r="AE1" s="362" t="e">
        <f>IF(Y5=1,CONCATENATE(VLOOKUP(Y3,AA16:AK30,5)),CONCATENATE(VLOOKUP(Y3,AA2:AK13,5)))</f>
        <v>#N/A</v>
      </c>
      <c r="AF1" s="362" t="e">
        <f>IF(Y5=1,CONCATENATE(VLOOKUP(Y3,AA16:AK30,6)),CONCATENATE(VLOOKUP(Y3,AA2:AK13,6)))</f>
        <v>#N/A</v>
      </c>
      <c r="AG1" s="362" t="e">
        <f>IF(Y5=1,CONCATENATE(VLOOKUP(Y3,AA16:AK30,7)),CONCATENATE(VLOOKUP(Y3,AA2:AK13,7)))</f>
        <v>#N/A</v>
      </c>
      <c r="AH1" s="362" t="e">
        <f>IF(Y5=1,CONCATENATE(VLOOKUP(Y3,AA16:AK30,8)),CONCATENATE(VLOOKUP(Y3,AA2:AK13,8)))</f>
        <v>#N/A</v>
      </c>
      <c r="AI1" s="362" t="e">
        <f>IF(Y5=1,CONCATENATE(VLOOKUP(Y3,AA16:AK30,9)),CONCATENATE(VLOOKUP(Y3,AA2:AK13,9)))</f>
        <v>#N/A</v>
      </c>
      <c r="AJ1" s="362" t="e">
        <f>IF(Y5=1,CONCATENATE(VLOOKUP(Y3,AA16:AK30,10)),CONCATENATE(VLOOKUP(Y3,AA2:AK13,10)))</f>
        <v>#N/A</v>
      </c>
      <c r="AK1" s="362" t="e">
        <f>IF(Y5=1,CONCATENATE(VLOOKUP(Y3,AA16:AK30,11)),CONCATENATE(VLOOKUP(Y3,AA2:AK13,11)))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223" t="str">
        <f>Altalanos!$A$8</f>
        <v>3 lány A elo</v>
      </c>
      <c r="F2" s="223"/>
      <c r="G2" s="224"/>
      <c r="H2" s="225"/>
      <c r="I2" s="225"/>
      <c r="J2" s="226"/>
      <c r="K2" s="220"/>
      <c r="L2" s="220"/>
      <c r="M2" s="220"/>
      <c r="N2" s="295"/>
      <c r="O2" s="296"/>
      <c r="P2" s="295"/>
      <c r="Q2" s="296"/>
      <c r="R2" s="295"/>
      <c r="Y2" s="352"/>
      <c r="Z2" s="351"/>
      <c r="AA2" s="351" t="s">
        <v>64</v>
      </c>
      <c r="AB2" s="342">
        <v>150</v>
      </c>
      <c r="AC2" s="342">
        <v>120</v>
      </c>
      <c r="AD2" s="342">
        <v>100</v>
      </c>
      <c r="AE2" s="342">
        <v>80</v>
      </c>
      <c r="AF2" s="342">
        <v>70</v>
      </c>
      <c r="AG2" s="342">
        <v>60</v>
      </c>
      <c r="AH2" s="342">
        <v>55</v>
      </c>
      <c r="AI2" s="342">
        <v>50</v>
      </c>
      <c r="AJ2" s="342">
        <v>45</v>
      </c>
      <c r="AK2" s="342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8"/>
      <c r="O3" s="297"/>
      <c r="P3" s="298"/>
      <c r="Q3" s="341" t="s">
        <v>78</v>
      </c>
      <c r="R3" s="342" t="s">
        <v>84</v>
      </c>
      <c r="S3" s="342" t="s">
        <v>79</v>
      </c>
      <c r="Y3" s="351">
        <f>IF(H4="OB","A",IF(H4="IX","W",H4))</f>
        <v>0</v>
      </c>
      <c r="Z3" s="351"/>
      <c r="AA3" s="351" t="s">
        <v>88</v>
      </c>
      <c r="AB3" s="342">
        <v>120</v>
      </c>
      <c r="AC3" s="342">
        <v>90</v>
      </c>
      <c r="AD3" s="342">
        <v>65</v>
      </c>
      <c r="AE3" s="342">
        <v>55</v>
      </c>
      <c r="AF3" s="342">
        <v>50</v>
      </c>
      <c r="AG3" s="342">
        <v>45</v>
      </c>
      <c r="AH3" s="342">
        <v>40</v>
      </c>
      <c r="AI3" s="342">
        <v>35</v>
      </c>
      <c r="AJ3" s="342">
        <v>25</v>
      </c>
      <c r="AK3" s="342">
        <v>20</v>
      </c>
    </row>
    <row r="4" spans="1:37" ht="13.8" thickBot="1" x14ac:dyDescent="0.3">
      <c r="A4" s="454" t="str">
        <f>Altalanos!$A$10</f>
        <v>2024.05.27-06.01.</v>
      </c>
      <c r="B4" s="454"/>
      <c r="C4" s="454"/>
      <c r="D4" s="227"/>
      <c r="E4" s="228" t="str">
        <f>Altalanos!$C$10</f>
        <v>Balatonboglár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9"/>
      <c r="O4" s="300"/>
      <c r="P4" s="299"/>
      <c r="Q4" s="343" t="s">
        <v>85</v>
      </c>
      <c r="R4" s="344" t="s">
        <v>80</v>
      </c>
      <c r="S4" s="344" t="s">
        <v>81</v>
      </c>
      <c r="Y4" s="351"/>
      <c r="Z4" s="351"/>
      <c r="AA4" s="351" t="s">
        <v>89</v>
      </c>
      <c r="AB4" s="342">
        <v>90</v>
      </c>
      <c r="AC4" s="342">
        <v>60</v>
      </c>
      <c r="AD4" s="342">
        <v>45</v>
      </c>
      <c r="AE4" s="342">
        <v>34</v>
      </c>
      <c r="AF4" s="342">
        <v>27</v>
      </c>
      <c r="AG4" s="342">
        <v>22</v>
      </c>
      <c r="AH4" s="342">
        <v>18</v>
      </c>
      <c r="AI4" s="342">
        <v>15</v>
      </c>
      <c r="AJ4" s="342">
        <v>12</v>
      </c>
      <c r="AK4" s="342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7" t="s">
        <v>68</v>
      </c>
      <c r="L5" s="327" t="s">
        <v>69</v>
      </c>
      <c r="M5" s="327" t="s">
        <v>70</v>
      </c>
      <c r="Q5" s="345" t="s">
        <v>86</v>
      </c>
      <c r="R5" s="346" t="s">
        <v>82</v>
      </c>
      <c r="S5" s="346" t="s">
        <v>83</v>
      </c>
      <c r="Y5" s="351">
        <f>IF(OR(Altalanos!$A$8="F1",Altalanos!$A$8="F2",Altalanos!$A$8="N1",Altalanos!$A$8="N2"),1,2)</f>
        <v>2</v>
      </c>
      <c r="Z5" s="351"/>
      <c r="AA5" s="351" t="s">
        <v>90</v>
      </c>
      <c r="AB5" s="342">
        <v>60</v>
      </c>
      <c r="AC5" s="342">
        <v>40</v>
      </c>
      <c r="AD5" s="342">
        <v>30</v>
      </c>
      <c r="AE5" s="342">
        <v>20</v>
      </c>
      <c r="AF5" s="342">
        <v>18</v>
      </c>
      <c r="AG5" s="342">
        <v>15</v>
      </c>
      <c r="AH5" s="342">
        <v>12</v>
      </c>
      <c r="AI5" s="342">
        <v>10</v>
      </c>
      <c r="AJ5" s="342">
        <v>8</v>
      </c>
      <c r="AK5" s="342">
        <v>6</v>
      </c>
    </row>
    <row r="6" spans="1:37" x14ac:dyDescent="0.25">
      <c r="A6" s="267"/>
      <c r="B6" s="267"/>
      <c r="C6" s="326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51"/>
      <c r="Z6" s="351"/>
      <c r="AA6" s="351" t="s">
        <v>91</v>
      </c>
      <c r="AB6" s="342">
        <v>40</v>
      </c>
      <c r="AC6" s="342">
        <v>25</v>
      </c>
      <c r="AD6" s="342">
        <v>18</v>
      </c>
      <c r="AE6" s="342">
        <v>13</v>
      </c>
      <c r="AF6" s="342">
        <v>10</v>
      </c>
      <c r="AG6" s="342">
        <v>8</v>
      </c>
      <c r="AH6" s="342">
        <v>6</v>
      </c>
      <c r="AI6" s="342">
        <v>5</v>
      </c>
      <c r="AJ6" s="342">
        <v>4</v>
      </c>
      <c r="AK6" s="342">
        <v>3</v>
      </c>
    </row>
    <row r="7" spans="1:37" x14ac:dyDescent="0.25">
      <c r="A7" s="334" t="s">
        <v>64</v>
      </c>
      <c r="B7" s="347">
        <v>5</v>
      </c>
      <c r="C7" s="291">
        <f>IF($B7="","",VLOOKUP($B7,'Lány 3A ELO'!$A$7:$O$22,5))</f>
        <v>0</v>
      </c>
      <c r="D7" s="291">
        <f>IF($B7="","",VLOOKUP($B7,'Lány 3A ELO'!$A$7:$O$22,15))</f>
        <v>0</v>
      </c>
      <c r="E7" s="287" t="str">
        <f>UPPER(IF($B7="","",VLOOKUP($B7,'Lány 3A ELO'!$A$7:$O$22,2)))</f>
        <v xml:space="preserve">POLGÁRDI </v>
      </c>
      <c r="F7" s="290"/>
      <c r="G7" s="287" t="str">
        <f>IF($B7="","",VLOOKUP($B7,'Lány 3A ELO'!$A$7:$O$22,3))</f>
        <v xml:space="preserve">Zita               </v>
      </c>
      <c r="H7" s="290"/>
      <c r="I7" s="287" t="str">
        <f>IF($B7="","",VLOOKUP($B7,'Lány 3A ELO'!$A$7:$O$22,4))</f>
        <v>Álmos Vezér Gimnázium, Pedagógiai Szakgimnázium és Általános Iskola</v>
      </c>
      <c r="J7" s="267"/>
      <c r="K7" s="363"/>
      <c r="L7" s="353" t="str">
        <f>IF(K7="","",CONCATENATE(VLOOKUP($Y$3,$AB$1:$AK$1,K7)," pont"))</f>
        <v/>
      </c>
      <c r="M7" s="364"/>
      <c r="Q7" s="341" t="s">
        <v>78</v>
      </c>
      <c r="R7" s="403" t="s">
        <v>115</v>
      </c>
      <c r="S7" s="403" t="s">
        <v>116</v>
      </c>
      <c r="Y7" s="351"/>
      <c r="Z7" s="351"/>
      <c r="AA7" s="351" t="s">
        <v>92</v>
      </c>
      <c r="AB7" s="342">
        <v>25</v>
      </c>
      <c r="AC7" s="342">
        <v>15</v>
      </c>
      <c r="AD7" s="342">
        <v>13</v>
      </c>
      <c r="AE7" s="342">
        <v>8</v>
      </c>
      <c r="AF7" s="342">
        <v>6</v>
      </c>
      <c r="AG7" s="342">
        <v>4</v>
      </c>
      <c r="AH7" s="342">
        <v>3</v>
      </c>
      <c r="AI7" s="342">
        <v>2</v>
      </c>
      <c r="AJ7" s="342">
        <v>1</v>
      </c>
      <c r="AK7" s="342">
        <v>0</v>
      </c>
    </row>
    <row r="8" spans="1:37" x14ac:dyDescent="0.25">
      <c r="A8" s="301"/>
      <c r="B8" s="348"/>
      <c r="C8" s="302"/>
      <c r="D8" s="302"/>
      <c r="E8" s="302"/>
      <c r="F8" s="302"/>
      <c r="G8" s="302"/>
      <c r="H8" s="302"/>
      <c r="I8" s="302"/>
      <c r="J8" s="267"/>
      <c r="K8" s="301"/>
      <c r="L8" s="301"/>
      <c r="M8" s="365"/>
      <c r="Q8" s="343" t="s">
        <v>85</v>
      </c>
      <c r="R8" s="404" t="s">
        <v>113</v>
      </c>
      <c r="S8" s="404" t="s">
        <v>117</v>
      </c>
      <c r="Y8" s="351"/>
      <c r="Z8" s="351"/>
      <c r="AA8" s="351" t="s">
        <v>93</v>
      </c>
      <c r="AB8" s="342">
        <v>15</v>
      </c>
      <c r="AC8" s="342">
        <v>10</v>
      </c>
      <c r="AD8" s="342">
        <v>7</v>
      </c>
      <c r="AE8" s="342">
        <v>5</v>
      </c>
      <c r="AF8" s="342">
        <v>4</v>
      </c>
      <c r="AG8" s="342">
        <v>3</v>
      </c>
      <c r="AH8" s="342">
        <v>2</v>
      </c>
      <c r="AI8" s="342">
        <v>1</v>
      </c>
      <c r="AJ8" s="342">
        <v>0</v>
      </c>
      <c r="AK8" s="342">
        <v>0</v>
      </c>
    </row>
    <row r="9" spans="1:37" x14ac:dyDescent="0.25">
      <c r="A9" s="301" t="s">
        <v>65</v>
      </c>
      <c r="B9" s="349">
        <v>9</v>
      </c>
      <c r="C9" s="291">
        <f>IF($B9="","",VLOOKUP($B9,'Lány 3A ELO'!$A$7:$O$22,5))</f>
        <v>0</v>
      </c>
      <c r="D9" s="291">
        <f>IF($B9="","",VLOOKUP($B9,'Lány 3A ELO'!$A$7:$O$22,15))</f>
        <v>0</v>
      </c>
      <c r="E9" s="286" t="str">
        <f>UPPER(IF($B9="","",VLOOKUP($B9,'Lány 3A ELO'!$A$7:$O$22,2)))</f>
        <v>MAGYAR</v>
      </c>
      <c r="F9" s="292"/>
      <c r="G9" s="286" t="str">
        <f>IF($B9="","",VLOOKUP($B9,'Lány 3A ELO'!$A$7:$O$22,3))</f>
        <v>Anna</v>
      </c>
      <c r="H9" s="292"/>
      <c r="I9" s="286" t="str">
        <f>IF($B9="","",VLOOKUP($B9,'Lány 3A ELO'!$A$7:$O$22,4))</f>
        <v>Kölcsey Ferenc Református Gyakorló Általános Iskola</v>
      </c>
      <c r="J9" s="267"/>
      <c r="K9" s="363"/>
      <c r="L9" s="353" t="str">
        <f>IF(K9="","",CONCATENATE(VLOOKUP($Y$3,$AB$1:$AK$1,K9)," pont"))</f>
        <v/>
      </c>
      <c r="M9" s="364"/>
      <c r="Q9" s="345" t="s">
        <v>86</v>
      </c>
      <c r="R9" s="405" t="s">
        <v>110</v>
      </c>
      <c r="S9" s="405" t="s">
        <v>118</v>
      </c>
      <c r="Y9" s="351"/>
      <c r="Z9" s="351"/>
      <c r="AA9" s="351" t="s">
        <v>94</v>
      </c>
      <c r="AB9" s="342">
        <v>10</v>
      </c>
      <c r="AC9" s="342">
        <v>6</v>
      </c>
      <c r="AD9" s="342">
        <v>4</v>
      </c>
      <c r="AE9" s="342">
        <v>2</v>
      </c>
      <c r="AF9" s="342">
        <v>1</v>
      </c>
      <c r="AG9" s="342">
        <v>0</v>
      </c>
      <c r="AH9" s="342">
        <v>0</v>
      </c>
      <c r="AI9" s="342">
        <v>0</v>
      </c>
      <c r="AJ9" s="342">
        <v>0</v>
      </c>
      <c r="AK9" s="342">
        <v>0</v>
      </c>
    </row>
    <row r="10" spans="1:37" x14ac:dyDescent="0.25">
      <c r="A10" s="301"/>
      <c r="B10" s="348"/>
      <c r="C10" s="302"/>
      <c r="D10" s="302"/>
      <c r="E10" s="302"/>
      <c r="F10" s="302"/>
      <c r="G10" s="302"/>
      <c r="H10" s="302"/>
      <c r="I10" s="302"/>
      <c r="J10" s="267"/>
      <c r="K10" s="301"/>
      <c r="L10" s="301"/>
      <c r="M10" s="365"/>
      <c r="Y10" s="351"/>
      <c r="Z10" s="351"/>
      <c r="AA10" s="351" t="s">
        <v>95</v>
      </c>
      <c r="AB10" s="342">
        <v>6</v>
      </c>
      <c r="AC10" s="342">
        <v>3</v>
      </c>
      <c r="AD10" s="342">
        <v>2</v>
      </c>
      <c r="AE10" s="342">
        <v>1</v>
      </c>
      <c r="AF10" s="342">
        <v>0</v>
      </c>
      <c r="AG10" s="342">
        <v>0</v>
      </c>
      <c r="AH10" s="342">
        <v>0</v>
      </c>
      <c r="AI10" s="342">
        <v>0</v>
      </c>
      <c r="AJ10" s="342">
        <v>0</v>
      </c>
      <c r="AK10" s="342">
        <v>0</v>
      </c>
    </row>
    <row r="11" spans="1:37" x14ac:dyDescent="0.25">
      <c r="A11" s="301" t="s">
        <v>66</v>
      </c>
      <c r="B11" s="349">
        <v>3</v>
      </c>
      <c r="C11" s="291">
        <f>IF($B11="","",VLOOKUP($B11,'Lány 3A ELO'!$A$7:$O$22,5))</f>
        <v>0</v>
      </c>
      <c r="D11" s="291">
        <f>IF($B11="","",VLOOKUP($B11,'Lány 3A ELO'!$A$7:$O$22,15))</f>
        <v>0</v>
      </c>
      <c r="E11" s="286" t="str">
        <f>UPPER(IF($B11="","",VLOOKUP($B11,'Lány 3A ELO'!$A$7:$O$22,2)))</f>
        <v>FÁSKERTI</v>
      </c>
      <c r="F11" s="292"/>
      <c r="G11" s="286" t="str">
        <f>IF($B11="","",VLOOKUP($B11,'Lány 3A ELO'!$A$7:$O$22,3))</f>
        <v>Lujza</v>
      </c>
      <c r="H11" s="292"/>
      <c r="I11" s="286" t="str">
        <f>IF($B11="","",VLOOKUP($B11,'Lány 3A ELO'!$A$7:$O$22,4))</f>
        <v>PTE Gyakorló -Pécs</v>
      </c>
      <c r="J11" s="267"/>
      <c r="K11" s="363"/>
      <c r="L11" s="353" t="str">
        <f>IF(K11="","",CONCATENATE(VLOOKUP($Y$3,$AB$1:$AK$1,K11)," pont"))</f>
        <v/>
      </c>
      <c r="M11" s="364"/>
      <c r="Y11" s="351"/>
      <c r="Z11" s="351"/>
      <c r="AA11" s="351" t="s">
        <v>100</v>
      </c>
      <c r="AB11" s="342">
        <v>3</v>
      </c>
      <c r="AC11" s="342">
        <v>2</v>
      </c>
      <c r="AD11" s="342">
        <v>1</v>
      </c>
      <c r="AE11" s="342">
        <v>0</v>
      </c>
      <c r="AF11" s="342">
        <v>0</v>
      </c>
      <c r="AG11" s="342">
        <v>0</v>
      </c>
      <c r="AH11" s="342">
        <v>0</v>
      </c>
      <c r="AI11" s="342">
        <v>0</v>
      </c>
      <c r="AJ11" s="342">
        <v>0</v>
      </c>
      <c r="AK11" s="342">
        <v>0</v>
      </c>
    </row>
    <row r="12" spans="1:37" x14ac:dyDescent="0.25">
      <c r="A12" s="267"/>
      <c r="B12" s="334"/>
      <c r="C12" s="326"/>
      <c r="D12" s="267"/>
      <c r="E12" s="267"/>
      <c r="F12" s="267"/>
      <c r="G12" s="267"/>
      <c r="H12" s="267"/>
      <c r="I12" s="267"/>
      <c r="J12" s="267"/>
      <c r="K12" s="326"/>
      <c r="L12" s="326"/>
      <c r="M12" s="365"/>
      <c r="Y12" s="351"/>
      <c r="Z12" s="351"/>
      <c r="AA12" s="351" t="s">
        <v>96</v>
      </c>
      <c r="AB12" s="361">
        <v>0</v>
      </c>
      <c r="AC12" s="361">
        <v>0</v>
      </c>
      <c r="AD12" s="361">
        <v>0</v>
      </c>
      <c r="AE12" s="361">
        <v>0</v>
      </c>
      <c r="AF12" s="361">
        <v>0</v>
      </c>
      <c r="AG12" s="361">
        <v>0</v>
      </c>
      <c r="AH12" s="361">
        <v>0</v>
      </c>
      <c r="AI12" s="361">
        <v>0</v>
      </c>
      <c r="AJ12" s="361">
        <v>0</v>
      </c>
      <c r="AK12" s="361">
        <v>0</v>
      </c>
    </row>
    <row r="13" spans="1:37" x14ac:dyDescent="0.25">
      <c r="A13" s="396" t="s">
        <v>71</v>
      </c>
      <c r="B13" s="399">
        <v>7</v>
      </c>
      <c r="C13" s="291">
        <f>IF($B13="","",VLOOKUP($B13,'Lány 3A ELO'!$A$7:$O$22,5))</f>
        <v>0</v>
      </c>
      <c r="D13" s="291">
        <f>IF($B13="","",VLOOKUP($B13,'Lány 3A ELO'!$A$7:$O$22,15))</f>
        <v>0</v>
      </c>
      <c r="E13" s="286" t="str">
        <f>UPPER(IF($B13="","",VLOOKUP($B13,'Lány 3A ELO'!$A$7:$O$22,2)))</f>
        <v>TÖRÖK</v>
      </c>
      <c r="F13" s="292"/>
      <c r="G13" s="286" t="str">
        <f>IF($B13="","",VLOOKUP($B13,'Lány 3A ELO'!$A$7:$O$22,3))</f>
        <v>Jázmin</v>
      </c>
      <c r="H13" s="292"/>
      <c r="I13" s="286" t="str">
        <f>IF($B13="","",VLOOKUP($B13,'Lány 3A ELO'!$A$7:$O$22,4))</f>
        <v>Öttevényi Ált. Isk.</v>
      </c>
      <c r="J13" s="267"/>
      <c r="K13" s="363"/>
      <c r="L13" s="353" t="str">
        <f>IF(K13="","",CONCATENATE(VLOOKUP($Y$3,$AB$1:$AK$1,K13)," pont"))</f>
        <v/>
      </c>
      <c r="M13" s="364"/>
      <c r="Y13" s="351"/>
      <c r="Z13" s="351"/>
      <c r="AA13" s="351" t="s">
        <v>97</v>
      </c>
      <c r="AB13" s="361">
        <v>0</v>
      </c>
      <c r="AC13" s="361">
        <v>0</v>
      </c>
      <c r="AD13" s="361">
        <v>0</v>
      </c>
      <c r="AE13" s="361">
        <v>0</v>
      </c>
      <c r="AF13" s="361">
        <v>0</v>
      </c>
      <c r="AG13" s="361">
        <v>0</v>
      </c>
      <c r="AH13" s="361">
        <v>0</v>
      </c>
      <c r="AI13" s="361">
        <v>0</v>
      </c>
      <c r="AJ13" s="361">
        <v>0</v>
      </c>
      <c r="AK13" s="361">
        <v>0</v>
      </c>
    </row>
    <row r="14" spans="1:37" x14ac:dyDescent="0.25">
      <c r="A14" s="301"/>
      <c r="B14" s="348"/>
      <c r="C14" s="302"/>
      <c r="D14" s="302"/>
      <c r="E14" s="302"/>
      <c r="F14" s="302"/>
      <c r="G14" s="302"/>
      <c r="H14" s="302"/>
      <c r="I14" s="302"/>
      <c r="J14" s="267"/>
      <c r="K14" s="301"/>
      <c r="L14" s="301"/>
      <c r="M14" s="365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</row>
    <row r="15" spans="1:37" x14ac:dyDescent="0.25">
      <c r="A15" s="334" t="s">
        <v>72</v>
      </c>
      <c r="B15" s="398">
        <v>8</v>
      </c>
      <c r="C15" s="291">
        <f>IF($B15="","",VLOOKUP($B15,'Lány 3A ELO'!$A$7:$O$22,5))</f>
        <v>0</v>
      </c>
      <c r="D15" s="397">
        <f>IF($B15="","",VLOOKUP($B15,'Lány 3A ELO'!$A$7:$O$22,15))</f>
        <v>0</v>
      </c>
      <c r="E15" s="287" t="str">
        <f>UPPER(IF($B15="","",VLOOKUP($B15,'Lány 3A ELO'!$A$7:$O$22,2)))</f>
        <v>NAGY</v>
      </c>
      <c r="F15" s="290"/>
      <c r="G15" s="287" t="str">
        <f>IF($B15="","",VLOOKUP($B15,'Lány 3A ELO'!$A$7:$O$22,3))</f>
        <v>Amanda</v>
      </c>
      <c r="H15" s="290"/>
      <c r="I15" s="287" t="str">
        <f>IF($B15="","",VLOOKUP($B15,'Lány 3A ELO'!$A$7:$O$22,4))</f>
        <v>Szfvári Kodály Z. Ált Isk.</v>
      </c>
      <c r="J15" s="267"/>
      <c r="K15" s="363"/>
      <c r="L15" s="353" t="str">
        <f>IF(K15="","",CONCATENATE(VLOOKUP($Y$3,$AB$1:$AK$1,K15)," pont"))</f>
        <v/>
      </c>
      <c r="M15" s="364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</row>
    <row r="16" spans="1:37" x14ac:dyDescent="0.25">
      <c r="A16" s="301"/>
      <c r="B16" s="348"/>
      <c r="C16" s="302"/>
      <c r="D16" s="302"/>
      <c r="E16" s="302"/>
      <c r="F16" s="302"/>
      <c r="G16" s="302"/>
      <c r="H16" s="302"/>
      <c r="I16" s="302"/>
      <c r="J16" s="267"/>
      <c r="K16" s="301"/>
      <c r="L16" s="301"/>
      <c r="M16" s="365"/>
      <c r="Y16" s="351"/>
      <c r="Z16" s="351"/>
      <c r="AA16" s="351" t="s">
        <v>64</v>
      </c>
      <c r="AB16" s="351">
        <v>300</v>
      </c>
      <c r="AC16" s="351">
        <v>250</v>
      </c>
      <c r="AD16" s="351">
        <v>220</v>
      </c>
      <c r="AE16" s="351">
        <v>180</v>
      </c>
      <c r="AF16" s="351">
        <v>160</v>
      </c>
      <c r="AG16" s="351">
        <v>150</v>
      </c>
      <c r="AH16" s="351">
        <v>140</v>
      </c>
      <c r="AI16" s="351">
        <v>130</v>
      </c>
      <c r="AJ16" s="351">
        <v>120</v>
      </c>
      <c r="AK16" s="351">
        <v>110</v>
      </c>
    </row>
    <row r="17" spans="1:37" x14ac:dyDescent="0.25">
      <c r="A17" s="301" t="s">
        <v>73</v>
      </c>
      <c r="B17" s="349">
        <v>15</v>
      </c>
      <c r="C17" s="291">
        <f>IF($B17="","",VLOOKUP($B17,'Lány 3A ELO'!$A$7:$O$22,5))</f>
        <v>0</v>
      </c>
      <c r="D17" s="291">
        <f>IF($B17="","",VLOOKUP($B17,'Lány 3A ELO'!$A$7:$O$22,15))</f>
        <v>0</v>
      </c>
      <c r="E17" s="286" t="str">
        <f>UPPER(IF($B17="","",VLOOKUP($B17,'Lány 3A ELO'!$A$7:$O$22,2)))</f>
        <v>MIASNIKOVA</v>
      </c>
      <c r="F17" s="292"/>
      <c r="G17" s="286" t="str">
        <f>IF($B17="","",VLOOKUP($B17,'Lány 3A ELO'!$A$7:$O$22,3))</f>
        <v>Varvara</v>
      </c>
      <c r="H17" s="292"/>
      <c r="I17" s="286" t="str">
        <f>IF($B17="","",VLOOKUP($B17,'Lány 3A ELO'!$A$7:$O$22,4))</f>
        <v>Zalaegerszegi Ady Endre Általános Iskola, Gimnázium és Alapfokú Művészeti Iskola</v>
      </c>
      <c r="J17" s="267"/>
      <c r="K17" s="363"/>
      <c r="L17" s="353" t="str">
        <f>IF(K17="","",CONCATENATE(VLOOKUP($Y$3,$AB$1:$AK$1,K17)," pont"))</f>
        <v/>
      </c>
      <c r="M17" s="364"/>
      <c r="Y17" s="351"/>
      <c r="Z17" s="351"/>
      <c r="AA17" s="351" t="s">
        <v>88</v>
      </c>
      <c r="AB17" s="351">
        <v>250</v>
      </c>
      <c r="AC17" s="351">
        <v>200</v>
      </c>
      <c r="AD17" s="351">
        <v>160</v>
      </c>
      <c r="AE17" s="351">
        <v>140</v>
      </c>
      <c r="AF17" s="351">
        <v>120</v>
      </c>
      <c r="AG17" s="351">
        <v>110</v>
      </c>
      <c r="AH17" s="351">
        <v>100</v>
      </c>
      <c r="AI17" s="351">
        <v>90</v>
      </c>
      <c r="AJ17" s="351">
        <v>80</v>
      </c>
      <c r="AK17" s="351">
        <v>70</v>
      </c>
    </row>
    <row r="18" spans="1:37" x14ac:dyDescent="0.25">
      <c r="A18" s="301"/>
      <c r="B18" s="348"/>
      <c r="C18" s="302"/>
      <c r="D18" s="302"/>
      <c r="E18" s="302"/>
      <c r="F18" s="302"/>
      <c r="G18" s="302"/>
      <c r="H18" s="302"/>
      <c r="I18" s="302"/>
      <c r="J18" s="267"/>
      <c r="K18" s="301"/>
      <c r="L18" s="301"/>
      <c r="M18" s="365"/>
      <c r="Y18" s="351"/>
      <c r="Z18" s="351"/>
      <c r="AA18" s="351" t="s">
        <v>89</v>
      </c>
      <c r="AB18" s="351">
        <v>200</v>
      </c>
      <c r="AC18" s="351">
        <v>150</v>
      </c>
      <c r="AD18" s="351">
        <v>130</v>
      </c>
      <c r="AE18" s="351">
        <v>110</v>
      </c>
      <c r="AF18" s="351">
        <v>95</v>
      </c>
      <c r="AG18" s="351">
        <v>80</v>
      </c>
      <c r="AH18" s="351">
        <v>70</v>
      </c>
      <c r="AI18" s="351">
        <v>60</v>
      </c>
      <c r="AJ18" s="351">
        <v>55</v>
      </c>
      <c r="AK18" s="351">
        <v>50</v>
      </c>
    </row>
    <row r="19" spans="1:37" x14ac:dyDescent="0.25">
      <c r="A19" s="396" t="s">
        <v>77</v>
      </c>
      <c r="B19" s="349">
        <v>10</v>
      </c>
      <c r="C19" s="291">
        <f>IF($B19="","",VLOOKUP($B19,'Lány 3A ELO'!$A$7:$O$22,5))</f>
        <v>0</v>
      </c>
      <c r="D19" s="291">
        <f>IF($B19="","",VLOOKUP($B19,'Lány 3A ELO'!$A$7:$O$22,15))</f>
        <v>0</v>
      </c>
      <c r="E19" s="286" t="str">
        <f>UPPER(IF($B19="","",VLOOKUP($B19,'Lány 3A ELO'!$A$7:$O$22,2)))</f>
        <v xml:space="preserve"> RIGÓ</v>
      </c>
      <c r="F19" s="292"/>
      <c r="G19" s="286" t="str">
        <f>IF($B19="","",VLOOKUP($B19,'Lány 3A ELO'!$A$7:$O$22,3))</f>
        <v>Evelin</v>
      </c>
      <c r="H19" s="292"/>
      <c r="I19" s="286" t="str">
        <f>IF($B19="","",VLOOKUP($B19,'Lány 3A ELO'!$A$7:$O$22,4))</f>
        <v>Jászberényi Nagyboldogasszony Katolikus Óvoda, Kéttannyelvű Általános Iskola és Gimnázium</v>
      </c>
      <c r="J19" s="267"/>
      <c r="K19" s="363"/>
      <c r="L19" s="353" t="str">
        <f>IF(K19="","",CONCATENATE(VLOOKUP($Y$3,$AB$1:$AK$1,K19)," pont"))</f>
        <v/>
      </c>
      <c r="M19" s="364"/>
      <c r="Y19" s="351"/>
      <c r="Z19" s="351"/>
      <c r="AA19" s="351" t="s">
        <v>90</v>
      </c>
      <c r="AB19" s="351">
        <v>150</v>
      </c>
      <c r="AC19" s="351">
        <v>120</v>
      </c>
      <c r="AD19" s="351">
        <v>100</v>
      </c>
      <c r="AE19" s="351">
        <v>80</v>
      </c>
      <c r="AF19" s="351">
        <v>70</v>
      </c>
      <c r="AG19" s="351">
        <v>60</v>
      </c>
      <c r="AH19" s="351">
        <v>55</v>
      </c>
      <c r="AI19" s="351">
        <v>50</v>
      </c>
      <c r="AJ19" s="351">
        <v>45</v>
      </c>
      <c r="AK19" s="351">
        <v>40</v>
      </c>
    </row>
    <row r="20" spans="1:37" x14ac:dyDescent="0.25">
      <c r="A20" s="301"/>
      <c r="B20" s="348"/>
      <c r="C20" s="302"/>
      <c r="D20" s="302"/>
      <c r="E20" s="302"/>
      <c r="F20" s="302"/>
      <c r="G20" s="302"/>
      <c r="H20" s="302"/>
      <c r="I20" s="302"/>
      <c r="J20" s="267"/>
      <c r="K20" s="301"/>
      <c r="L20" s="301"/>
      <c r="M20" s="365"/>
      <c r="Y20" s="351"/>
      <c r="Z20" s="351"/>
      <c r="AA20" s="351" t="s">
        <v>89</v>
      </c>
      <c r="AB20" s="351">
        <v>200</v>
      </c>
      <c r="AC20" s="351">
        <v>150</v>
      </c>
      <c r="AD20" s="351">
        <v>130</v>
      </c>
      <c r="AE20" s="351">
        <v>110</v>
      </c>
      <c r="AF20" s="351">
        <v>95</v>
      </c>
      <c r="AG20" s="351">
        <v>80</v>
      </c>
      <c r="AH20" s="351">
        <v>70</v>
      </c>
      <c r="AI20" s="351">
        <v>60</v>
      </c>
      <c r="AJ20" s="351">
        <v>55</v>
      </c>
      <c r="AK20" s="351">
        <v>50</v>
      </c>
    </row>
    <row r="21" spans="1:37" x14ac:dyDescent="0.25">
      <c r="A21" s="396" t="s">
        <v>108</v>
      </c>
      <c r="B21" s="349">
        <v>11</v>
      </c>
      <c r="C21" s="291">
        <f>IF($B21="","",VLOOKUP($B21,'Lány 3A ELO'!$A$7:$O$22,5))</f>
        <v>0</v>
      </c>
      <c r="D21" s="291">
        <f>IF($B21="","",VLOOKUP($B21,'Lány 3A ELO'!$A$7:$O$22,15))</f>
        <v>0</v>
      </c>
      <c r="E21" s="286" t="str">
        <f>UPPER(IF($B21="","",VLOOKUP($B21,'Lány 3A ELO'!$A$7:$O$22,2)))</f>
        <v>NÁRAY</v>
      </c>
      <c r="F21" s="292"/>
      <c r="G21" s="286" t="str">
        <f>IF($B21="","",VLOOKUP($B21,'Lány 3A ELO'!$A$7:$O$22,3))</f>
        <v>Júlia</v>
      </c>
      <c r="H21" s="292"/>
      <c r="I21" s="286" t="str">
        <f>IF($B21="","",VLOOKUP($B21,'Lány 3A ELO'!$A$7:$O$22,4))</f>
        <v>Blayer Jakab Német Nemzetiségi Ált. Isk</v>
      </c>
      <c r="J21" s="267"/>
      <c r="K21" s="363"/>
      <c r="L21" s="353" t="str">
        <f>IF(K21="","",CONCATENATE(VLOOKUP($Y$3,$AB$1:$AK$1,K21)," pont"))</f>
        <v/>
      </c>
      <c r="M21" s="364"/>
      <c r="Y21" s="351"/>
      <c r="Z21" s="351"/>
      <c r="AA21" s="351" t="s">
        <v>90</v>
      </c>
      <c r="AB21" s="351">
        <v>150</v>
      </c>
      <c r="AC21" s="351">
        <v>120</v>
      </c>
      <c r="AD21" s="351">
        <v>100</v>
      </c>
      <c r="AE21" s="351">
        <v>80</v>
      </c>
      <c r="AF21" s="351">
        <v>70</v>
      </c>
      <c r="AG21" s="351">
        <v>60</v>
      </c>
      <c r="AH21" s="351">
        <v>55</v>
      </c>
      <c r="AI21" s="351">
        <v>50</v>
      </c>
      <c r="AJ21" s="351">
        <v>45</v>
      </c>
      <c r="AK21" s="351">
        <v>40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51"/>
      <c r="Z22" s="351"/>
      <c r="AA22" s="351" t="s">
        <v>91</v>
      </c>
      <c r="AB22" s="351">
        <v>120</v>
      </c>
      <c r="AC22" s="351">
        <v>90</v>
      </c>
      <c r="AD22" s="351">
        <v>65</v>
      </c>
      <c r="AE22" s="351">
        <v>55</v>
      </c>
      <c r="AF22" s="351">
        <v>50</v>
      </c>
      <c r="AG22" s="351">
        <v>45</v>
      </c>
      <c r="AH22" s="351">
        <v>40</v>
      </c>
      <c r="AI22" s="351">
        <v>35</v>
      </c>
      <c r="AJ22" s="351">
        <v>25</v>
      </c>
      <c r="AK22" s="351">
        <v>20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51"/>
      <c r="Z23" s="351"/>
      <c r="AA23" s="351" t="s">
        <v>92</v>
      </c>
      <c r="AB23" s="351">
        <v>90</v>
      </c>
      <c r="AC23" s="351">
        <v>60</v>
      </c>
      <c r="AD23" s="351">
        <v>45</v>
      </c>
      <c r="AE23" s="351">
        <v>34</v>
      </c>
      <c r="AF23" s="351">
        <v>27</v>
      </c>
      <c r="AG23" s="351">
        <v>22</v>
      </c>
      <c r="AH23" s="351">
        <v>18</v>
      </c>
      <c r="AI23" s="351">
        <v>15</v>
      </c>
      <c r="AJ23" s="351">
        <v>12</v>
      </c>
      <c r="AK23" s="351">
        <v>9</v>
      </c>
    </row>
    <row r="24" spans="1:37" ht="18.75" customHeight="1" x14ac:dyDescent="0.25">
      <c r="A24" s="267"/>
      <c r="B24" s="455"/>
      <c r="C24" s="455"/>
      <c r="D24" s="456" t="str">
        <f>E7</f>
        <v xml:space="preserve">POLGÁRDI </v>
      </c>
      <c r="E24" s="456"/>
      <c r="F24" s="456" t="str">
        <f>E9</f>
        <v>MAGYAR</v>
      </c>
      <c r="G24" s="456"/>
      <c r="H24" s="456" t="str">
        <f>E11</f>
        <v>FÁSKERTI</v>
      </c>
      <c r="I24" s="456"/>
      <c r="J24" s="456" t="str">
        <f>E13</f>
        <v>TÖRÖK</v>
      </c>
      <c r="K24" s="456"/>
      <c r="L24" s="267"/>
      <c r="M24" s="335" t="s">
        <v>68</v>
      </c>
      <c r="Y24" s="351"/>
      <c r="Z24" s="351"/>
      <c r="AA24" s="351" t="s">
        <v>93</v>
      </c>
      <c r="AB24" s="351">
        <v>60</v>
      </c>
      <c r="AC24" s="351">
        <v>40</v>
      </c>
      <c r="AD24" s="351">
        <v>30</v>
      </c>
      <c r="AE24" s="351">
        <v>20</v>
      </c>
      <c r="AF24" s="351">
        <v>18</v>
      </c>
      <c r="AG24" s="351">
        <v>15</v>
      </c>
      <c r="AH24" s="351">
        <v>12</v>
      </c>
      <c r="AI24" s="351">
        <v>10</v>
      </c>
      <c r="AJ24" s="351">
        <v>8</v>
      </c>
      <c r="AK24" s="351">
        <v>6</v>
      </c>
    </row>
    <row r="25" spans="1:37" ht="18.75" customHeight="1" x14ac:dyDescent="0.25">
      <c r="A25" s="333" t="s">
        <v>64</v>
      </c>
      <c r="B25" s="458" t="str">
        <f>E7</f>
        <v xml:space="preserve">POLGÁRDI </v>
      </c>
      <c r="C25" s="458"/>
      <c r="D25" s="459"/>
      <c r="E25" s="459"/>
      <c r="F25" s="460" t="s">
        <v>538</v>
      </c>
      <c r="G25" s="461"/>
      <c r="H25" s="460" t="s">
        <v>538</v>
      </c>
      <c r="I25" s="461"/>
      <c r="J25" s="464" t="s">
        <v>534</v>
      </c>
      <c r="K25" s="465"/>
      <c r="L25" s="267"/>
      <c r="M25" s="336" t="s">
        <v>564</v>
      </c>
      <c r="Y25" s="351"/>
      <c r="Z25" s="351"/>
      <c r="AA25" s="351" t="s">
        <v>94</v>
      </c>
      <c r="AB25" s="351">
        <v>40</v>
      </c>
      <c r="AC25" s="351">
        <v>25</v>
      </c>
      <c r="AD25" s="351">
        <v>18</v>
      </c>
      <c r="AE25" s="351">
        <v>13</v>
      </c>
      <c r="AF25" s="351">
        <v>8</v>
      </c>
      <c r="AG25" s="351">
        <v>7</v>
      </c>
      <c r="AH25" s="351">
        <v>6</v>
      </c>
      <c r="AI25" s="351">
        <v>5</v>
      </c>
      <c r="AJ25" s="351">
        <v>4</v>
      </c>
      <c r="AK25" s="351">
        <v>3</v>
      </c>
    </row>
    <row r="26" spans="1:37" ht="18.75" customHeight="1" x14ac:dyDescent="0.25">
      <c r="A26" s="333" t="s">
        <v>65</v>
      </c>
      <c r="B26" s="458" t="str">
        <f>E9</f>
        <v>MAGYAR</v>
      </c>
      <c r="C26" s="458"/>
      <c r="D26" s="460" t="s">
        <v>539</v>
      </c>
      <c r="E26" s="461"/>
      <c r="F26" s="459"/>
      <c r="G26" s="459"/>
      <c r="H26" s="460" t="s">
        <v>537</v>
      </c>
      <c r="I26" s="461"/>
      <c r="J26" s="460" t="s">
        <v>533</v>
      </c>
      <c r="K26" s="461"/>
      <c r="L26" s="267"/>
      <c r="M26" s="336" t="s">
        <v>566</v>
      </c>
      <c r="Y26" s="351"/>
      <c r="Z26" s="351"/>
      <c r="AA26" s="351" t="s">
        <v>95</v>
      </c>
      <c r="AB26" s="351">
        <v>25</v>
      </c>
      <c r="AC26" s="351">
        <v>15</v>
      </c>
      <c r="AD26" s="351">
        <v>13</v>
      </c>
      <c r="AE26" s="351">
        <v>7</v>
      </c>
      <c r="AF26" s="351">
        <v>6</v>
      </c>
      <c r="AG26" s="351">
        <v>5</v>
      </c>
      <c r="AH26" s="351">
        <v>4</v>
      </c>
      <c r="AI26" s="351">
        <v>3</v>
      </c>
      <c r="AJ26" s="351">
        <v>2</v>
      </c>
      <c r="AK26" s="351">
        <v>1</v>
      </c>
    </row>
    <row r="27" spans="1:37" ht="18.75" customHeight="1" x14ac:dyDescent="0.25">
      <c r="A27" s="333" t="s">
        <v>66</v>
      </c>
      <c r="B27" s="458" t="str">
        <f>E11</f>
        <v>FÁSKERTI</v>
      </c>
      <c r="C27" s="458"/>
      <c r="D27" s="460" t="s">
        <v>539</v>
      </c>
      <c r="E27" s="461"/>
      <c r="F27" s="460" t="s">
        <v>536</v>
      </c>
      <c r="G27" s="461"/>
      <c r="H27" s="459"/>
      <c r="I27" s="459"/>
      <c r="J27" s="460" t="s">
        <v>539</v>
      </c>
      <c r="K27" s="461"/>
      <c r="L27" s="267"/>
      <c r="M27" s="336" t="s">
        <v>565</v>
      </c>
      <c r="Y27" s="351"/>
      <c r="Z27" s="351"/>
      <c r="AA27" s="351" t="s">
        <v>100</v>
      </c>
      <c r="AB27" s="351">
        <v>15</v>
      </c>
      <c r="AC27" s="351">
        <v>10</v>
      </c>
      <c r="AD27" s="351">
        <v>8</v>
      </c>
      <c r="AE27" s="351">
        <v>4</v>
      </c>
      <c r="AF27" s="351">
        <v>3</v>
      </c>
      <c r="AG27" s="351">
        <v>2</v>
      </c>
      <c r="AH27" s="351">
        <v>1</v>
      </c>
      <c r="AI27" s="351">
        <v>0</v>
      </c>
      <c r="AJ27" s="351">
        <v>0</v>
      </c>
      <c r="AK27" s="351">
        <v>0</v>
      </c>
    </row>
    <row r="28" spans="1:37" ht="18.75" customHeight="1" x14ac:dyDescent="0.25">
      <c r="A28" s="395" t="s">
        <v>71</v>
      </c>
      <c r="B28" s="458" t="str">
        <f>E13</f>
        <v>TÖRÖK</v>
      </c>
      <c r="C28" s="458"/>
      <c r="D28" s="460" t="s">
        <v>535</v>
      </c>
      <c r="E28" s="461"/>
      <c r="F28" s="460" t="s">
        <v>532</v>
      </c>
      <c r="G28" s="461"/>
      <c r="H28" s="464" t="s">
        <v>538</v>
      </c>
      <c r="I28" s="465"/>
      <c r="J28" s="459"/>
      <c r="K28" s="459"/>
      <c r="L28" s="267"/>
      <c r="M28" s="336" t="s">
        <v>567</v>
      </c>
      <c r="Y28" s="351"/>
      <c r="Z28" s="351"/>
      <c r="AA28" s="351" t="s">
        <v>100</v>
      </c>
      <c r="AB28" s="351">
        <v>15</v>
      </c>
      <c r="AC28" s="351">
        <v>10</v>
      </c>
      <c r="AD28" s="351">
        <v>8</v>
      </c>
      <c r="AE28" s="351">
        <v>4</v>
      </c>
      <c r="AF28" s="351">
        <v>3</v>
      </c>
      <c r="AG28" s="351">
        <v>2</v>
      </c>
      <c r="AH28" s="351">
        <v>1</v>
      </c>
      <c r="AI28" s="351">
        <v>0</v>
      </c>
      <c r="AJ28" s="351">
        <v>0</v>
      </c>
      <c r="AK28" s="351">
        <v>0</v>
      </c>
    </row>
    <row r="29" spans="1:37" x14ac:dyDescent="0.25">
      <c r="A29" s="267"/>
      <c r="B29" s="267"/>
      <c r="C29" s="267"/>
      <c r="D29" s="439"/>
      <c r="E29" s="439"/>
      <c r="F29" s="439"/>
      <c r="G29" s="439"/>
      <c r="H29" s="439"/>
      <c r="I29" s="439"/>
      <c r="J29" s="439"/>
      <c r="K29" s="439"/>
      <c r="L29" s="267"/>
      <c r="M29" s="337"/>
      <c r="Y29" s="351"/>
      <c r="Z29" s="351"/>
      <c r="AA29" s="351" t="s">
        <v>96</v>
      </c>
      <c r="AB29" s="351">
        <v>10</v>
      </c>
      <c r="AC29" s="351">
        <v>6</v>
      </c>
      <c r="AD29" s="351">
        <v>4</v>
      </c>
      <c r="AE29" s="351">
        <v>2</v>
      </c>
      <c r="AF29" s="351">
        <v>1</v>
      </c>
      <c r="AG29" s="351">
        <v>0</v>
      </c>
      <c r="AH29" s="351">
        <v>0</v>
      </c>
      <c r="AI29" s="351">
        <v>0</v>
      </c>
      <c r="AJ29" s="351">
        <v>0</v>
      </c>
      <c r="AK29" s="351">
        <v>0</v>
      </c>
    </row>
    <row r="30" spans="1:37" ht="18.75" customHeight="1" x14ac:dyDescent="0.25">
      <c r="A30" s="267"/>
      <c r="B30" s="455"/>
      <c r="C30" s="455"/>
      <c r="D30" s="465" t="str">
        <f>E15</f>
        <v>NAGY</v>
      </c>
      <c r="E30" s="465"/>
      <c r="F30" s="465" t="str">
        <f>E17</f>
        <v>MIASNIKOVA</v>
      </c>
      <c r="G30" s="465"/>
      <c r="H30" s="471" t="str">
        <f>E19</f>
        <v xml:space="preserve"> RIGÓ</v>
      </c>
      <c r="I30" s="472"/>
      <c r="J30" s="465" t="str">
        <f>E21</f>
        <v>NÁRAY</v>
      </c>
      <c r="K30" s="465"/>
      <c r="L30" s="267"/>
      <c r="M30" s="337"/>
      <c r="Q30" s="449"/>
      <c r="Y30" s="351"/>
      <c r="Z30" s="351"/>
      <c r="AA30" s="351" t="s">
        <v>97</v>
      </c>
      <c r="AB30" s="351">
        <v>3</v>
      </c>
      <c r="AC30" s="351">
        <v>2</v>
      </c>
      <c r="AD30" s="351">
        <v>1</v>
      </c>
      <c r="AE30" s="351">
        <v>0</v>
      </c>
      <c r="AF30" s="351">
        <v>0</v>
      </c>
      <c r="AG30" s="351">
        <v>0</v>
      </c>
      <c r="AH30" s="351">
        <v>0</v>
      </c>
      <c r="AI30" s="351">
        <v>0</v>
      </c>
      <c r="AJ30" s="351">
        <v>0</v>
      </c>
      <c r="AK30" s="351">
        <v>0</v>
      </c>
    </row>
    <row r="31" spans="1:37" ht="18.75" customHeight="1" x14ac:dyDescent="0.25">
      <c r="A31" s="395" t="s">
        <v>72</v>
      </c>
      <c r="B31" s="469" t="str">
        <f>E15</f>
        <v>NAGY</v>
      </c>
      <c r="C31" s="470"/>
      <c r="D31" s="459"/>
      <c r="E31" s="459"/>
      <c r="F31" s="460" t="s">
        <v>534</v>
      </c>
      <c r="G31" s="461"/>
      <c r="H31" s="460" t="s">
        <v>538</v>
      </c>
      <c r="I31" s="461"/>
      <c r="J31" s="464" t="s">
        <v>538</v>
      </c>
      <c r="K31" s="465"/>
      <c r="L31" s="267"/>
      <c r="M31" s="336" t="s">
        <v>564</v>
      </c>
    </row>
    <row r="32" spans="1:37" ht="18.75" customHeight="1" x14ac:dyDescent="0.25">
      <c r="A32" s="395" t="s">
        <v>73</v>
      </c>
      <c r="B32" s="458" t="str">
        <f>E17</f>
        <v>MIASNIKOVA</v>
      </c>
      <c r="C32" s="458"/>
      <c r="D32" s="460" t="s">
        <v>535</v>
      </c>
      <c r="E32" s="461"/>
      <c r="F32" s="459"/>
      <c r="G32" s="459"/>
      <c r="H32" s="460" t="s">
        <v>534</v>
      </c>
      <c r="I32" s="461"/>
      <c r="J32" s="460" t="s">
        <v>534</v>
      </c>
      <c r="K32" s="461"/>
      <c r="L32" s="267"/>
      <c r="M32" s="336" t="s">
        <v>567</v>
      </c>
    </row>
    <row r="33" spans="1:18" ht="18.75" customHeight="1" x14ac:dyDescent="0.25">
      <c r="A33" s="395" t="s">
        <v>77</v>
      </c>
      <c r="B33" s="458" t="str">
        <f>E19</f>
        <v xml:space="preserve"> RIGÓ</v>
      </c>
      <c r="C33" s="458"/>
      <c r="D33" s="460" t="s">
        <v>539</v>
      </c>
      <c r="E33" s="461"/>
      <c r="F33" s="460" t="s">
        <v>535</v>
      </c>
      <c r="G33" s="461"/>
      <c r="H33" s="459"/>
      <c r="I33" s="459"/>
      <c r="J33" s="460" t="s">
        <v>568</v>
      </c>
      <c r="K33" s="461"/>
      <c r="L33" s="267"/>
      <c r="M33" s="336" t="s">
        <v>566</v>
      </c>
    </row>
    <row r="34" spans="1:18" ht="18.75" customHeight="1" x14ac:dyDescent="0.25">
      <c r="A34" s="395" t="s">
        <v>108</v>
      </c>
      <c r="B34" s="458" t="str">
        <f>E21</f>
        <v>NÁRAY</v>
      </c>
      <c r="C34" s="458"/>
      <c r="D34" s="460" t="s">
        <v>539</v>
      </c>
      <c r="E34" s="461"/>
      <c r="F34" s="460" t="s">
        <v>535</v>
      </c>
      <c r="G34" s="461"/>
      <c r="H34" s="464" t="s">
        <v>531</v>
      </c>
      <c r="I34" s="465"/>
      <c r="J34" s="459"/>
      <c r="K34" s="459"/>
      <c r="L34" s="267"/>
      <c r="M34" s="336" t="s">
        <v>565</v>
      </c>
    </row>
    <row r="35" spans="1:18" ht="18.75" customHeight="1" x14ac:dyDescent="0.25">
      <c r="A35" s="338"/>
      <c r="B35" s="339"/>
      <c r="C35" s="339"/>
      <c r="D35" s="338"/>
      <c r="E35" s="338"/>
      <c r="F35" s="338"/>
      <c r="G35" s="338"/>
      <c r="H35" s="338"/>
      <c r="I35" s="338"/>
      <c r="J35" s="267"/>
      <c r="K35" s="267"/>
      <c r="L35" s="267"/>
      <c r="M35" s="340"/>
    </row>
    <row r="36" spans="1:18" x14ac:dyDescent="0.2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8" x14ac:dyDescent="0.25">
      <c r="A37" s="267" t="s">
        <v>58</v>
      </c>
      <c r="B37" s="267"/>
      <c r="C37" s="468" t="str">
        <f>IF(M25=1,B25,IF(M26=1,B26,IF(M27=1,B27,IF(M28=1,B28,""))))</f>
        <v/>
      </c>
      <c r="D37" s="468"/>
      <c r="E37" s="301" t="s">
        <v>75</v>
      </c>
      <c r="F37" s="468" t="str">
        <f>IF(M31=1,B31,IF(M32=1,B32,IF(M33=1,B33,IF(M34=1,B34,""))))</f>
        <v/>
      </c>
      <c r="G37" s="468"/>
      <c r="H37" s="267"/>
      <c r="I37" s="245"/>
      <c r="J37" s="267"/>
      <c r="K37" s="267"/>
      <c r="L37" s="267"/>
      <c r="M37" s="267"/>
    </row>
    <row r="38" spans="1:18" x14ac:dyDescent="0.25">
      <c r="A38" s="267"/>
      <c r="B38" s="267"/>
      <c r="C38" s="267"/>
      <c r="D38" s="267"/>
      <c r="E38" s="267"/>
      <c r="F38" s="301"/>
      <c r="G38" s="301"/>
      <c r="H38" s="267"/>
      <c r="I38" s="267"/>
      <c r="J38" s="267"/>
      <c r="K38" s="267"/>
      <c r="L38" s="267"/>
      <c r="M38" s="267"/>
    </row>
    <row r="39" spans="1:18" x14ac:dyDescent="0.25">
      <c r="A39" s="267" t="s">
        <v>74</v>
      </c>
      <c r="B39" s="267"/>
      <c r="C39" s="468" t="str">
        <f>IF(M25=2,B25,IF(M26=2,B26,IF(M27=2,B27,IF(M28=2,B28,""))))</f>
        <v/>
      </c>
      <c r="D39" s="468"/>
      <c r="E39" s="301" t="s">
        <v>75</v>
      </c>
      <c r="F39" s="468" t="str">
        <f>IF(M31=2,B31,IF(M32=2,B32,IF(M33=2,B33,IF(M34=2,B34,""))))</f>
        <v/>
      </c>
      <c r="G39" s="468"/>
      <c r="H39" s="267"/>
      <c r="I39" s="245"/>
      <c r="J39" s="267"/>
      <c r="K39" s="267"/>
      <c r="L39" s="267"/>
      <c r="M39" s="267"/>
    </row>
    <row r="40" spans="1:18" x14ac:dyDescent="0.25">
      <c r="A40" s="267"/>
      <c r="B40" s="267"/>
      <c r="C40" s="301"/>
      <c r="D40" s="301"/>
      <c r="E40" s="301"/>
      <c r="F40" s="301"/>
      <c r="G40" s="301"/>
      <c r="H40" s="267"/>
      <c r="I40" s="267"/>
      <c r="J40" s="267"/>
      <c r="K40" s="267"/>
      <c r="L40" s="267"/>
      <c r="M40" s="267"/>
    </row>
    <row r="41" spans="1:18" x14ac:dyDescent="0.25">
      <c r="A41" s="267" t="s">
        <v>76</v>
      </c>
      <c r="B41" s="267"/>
      <c r="C41" s="468" t="str">
        <f>IF(M25=3,B25,IF(M26=3,B26,IF(M27=3,B27,IF(M28=3,B28,""))))</f>
        <v/>
      </c>
      <c r="D41" s="468"/>
      <c r="E41" s="301" t="s">
        <v>75</v>
      </c>
      <c r="F41" s="468" t="str">
        <f>IF(M31=3,B31,IF(M32=3,B32,IF(M33=3,B33,IF(M34=3,B34,""))))</f>
        <v/>
      </c>
      <c r="G41" s="468"/>
      <c r="H41" s="267"/>
      <c r="I41" s="245"/>
      <c r="J41" s="267"/>
      <c r="K41" s="267"/>
      <c r="L41" s="267"/>
      <c r="M41" s="267"/>
    </row>
    <row r="42" spans="1:18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8" x14ac:dyDescent="0.25">
      <c r="A43" s="302" t="s">
        <v>109</v>
      </c>
      <c r="B43" s="267"/>
      <c r="C43" s="468">
        <f>IF(M25=4,B25,IF(M26=4,B26,IF(M27=4,B27,IF(M28=4,B28,))))</f>
        <v>0</v>
      </c>
      <c r="D43" s="468"/>
      <c r="E43" s="301" t="s">
        <v>75</v>
      </c>
      <c r="F43" s="468" t="str">
        <f>IF(M31=3,B31,IF(M32=3,B32,IF(M33=4,B33,IF(M34=4,B34,""))))</f>
        <v/>
      </c>
      <c r="G43" s="468"/>
      <c r="H43" s="267"/>
      <c r="I43" s="245"/>
      <c r="J43" s="267"/>
      <c r="K43" s="267"/>
      <c r="L43" s="267"/>
      <c r="M43" s="267"/>
    </row>
    <row r="44" spans="1:18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45"/>
      <c r="M44" s="267"/>
      <c r="P44" s="303"/>
      <c r="Q44" s="303"/>
      <c r="R44" s="304"/>
    </row>
    <row r="45" spans="1:18" x14ac:dyDescent="0.25">
      <c r="A45" s="136" t="s">
        <v>43</v>
      </c>
      <c r="B45" s="137"/>
      <c r="C45" s="203"/>
      <c r="D45" s="309" t="s">
        <v>4</v>
      </c>
      <c r="E45" s="310" t="s">
        <v>45</v>
      </c>
      <c r="F45" s="324"/>
      <c r="G45" s="309" t="s">
        <v>4</v>
      </c>
      <c r="H45" s="310" t="s">
        <v>54</v>
      </c>
      <c r="I45" s="159"/>
      <c r="J45" s="310" t="s">
        <v>55</v>
      </c>
      <c r="K45" s="158" t="s">
        <v>56</v>
      </c>
      <c r="L45" s="33"/>
      <c r="M45" s="324"/>
      <c r="P45" s="305"/>
      <c r="Q45" s="305"/>
      <c r="R45" s="306"/>
    </row>
    <row r="46" spans="1:18" x14ac:dyDescent="0.25">
      <c r="A46" s="278" t="s">
        <v>44</v>
      </c>
      <c r="B46" s="279"/>
      <c r="C46" s="281"/>
      <c r="D46" s="311">
        <v>1</v>
      </c>
      <c r="E46" s="462" t="str">
        <f>IF(D46&gt;$R$47,,UPPER(VLOOKUP(D46,'Lány 3A ELO'!$A$7:$Q$134,2)))</f>
        <v xml:space="preserve">FARKAS </v>
      </c>
      <c r="F46" s="462"/>
      <c r="G46" s="318" t="s">
        <v>5</v>
      </c>
      <c r="H46" s="279"/>
      <c r="I46" s="312"/>
      <c r="J46" s="319"/>
      <c r="K46" s="273" t="s">
        <v>46</v>
      </c>
      <c r="L46" s="325"/>
      <c r="M46" s="313"/>
      <c r="P46" s="306"/>
      <c r="Q46" s="307"/>
      <c r="R46" s="306"/>
    </row>
    <row r="47" spans="1:18" x14ac:dyDescent="0.25">
      <c r="A47" s="282" t="s">
        <v>53</v>
      </c>
      <c r="B47" s="157"/>
      <c r="C47" s="284"/>
      <c r="D47" s="314">
        <v>2</v>
      </c>
      <c r="E47" s="463" t="str">
        <f>IF(D47&gt;$R$47,,UPPER(VLOOKUP(D47,'Lány 3A ELO'!$A$7:$Q$134,2)))</f>
        <v xml:space="preserve">BENOVICS </v>
      </c>
      <c r="F47" s="463"/>
      <c r="G47" s="320" t="s">
        <v>6</v>
      </c>
      <c r="H47" s="83"/>
      <c r="I47" s="271"/>
      <c r="J47" s="84"/>
      <c r="K47" s="322"/>
      <c r="L47" s="245"/>
      <c r="M47" s="317"/>
      <c r="P47" s="305"/>
      <c r="Q47" s="305"/>
      <c r="R47" s="308">
        <f>MIN(4,'Lány 3A ELO'!Q2)</f>
        <v>4</v>
      </c>
    </row>
    <row r="48" spans="1:18" x14ac:dyDescent="0.25">
      <c r="A48" s="172"/>
      <c r="B48" s="173"/>
      <c r="C48" s="174"/>
      <c r="D48" s="314"/>
      <c r="E48" s="85"/>
      <c r="F48" s="267"/>
      <c r="G48" s="320" t="s">
        <v>7</v>
      </c>
      <c r="H48" s="83"/>
      <c r="I48" s="271"/>
      <c r="J48" s="84"/>
      <c r="K48" s="273" t="s">
        <v>47</v>
      </c>
      <c r="L48" s="325"/>
      <c r="M48" s="313"/>
      <c r="P48" s="306"/>
      <c r="Q48" s="307"/>
      <c r="R48" s="306"/>
    </row>
    <row r="49" spans="1:18" x14ac:dyDescent="0.25">
      <c r="A49" s="148"/>
      <c r="B49" s="116"/>
      <c r="C49" s="149"/>
      <c r="D49" s="314"/>
      <c r="E49" s="85"/>
      <c r="F49" s="267"/>
      <c r="G49" s="320" t="s">
        <v>8</v>
      </c>
      <c r="H49" s="83"/>
      <c r="I49" s="271"/>
      <c r="J49" s="84"/>
      <c r="K49" s="323"/>
      <c r="L49" s="267"/>
      <c r="M49" s="315"/>
      <c r="P49" s="306"/>
      <c r="Q49" s="307"/>
      <c r="R49" s="306"/>
    </row>
    <row r="50" spans="1:18" x14ac:dyDescent="0.25">
      <c r="A50" s="161"/>
      <c r="B50" s="175"/>
      <c r="C50" s="202"/>
      <c r="D50" s="314"/>
      <c r="E50" s="85"/>
      <c r="F50" s="267"/>
      <c r="G50" s="320" t="s">
        <v>9</v>
      </c>
      <c r="H50" s="83"/>
      <c r="I50" s="271"/>
      <c r="J50" s="84"/>
      <c r="K50" s="282"/>
      <c r="L50" s="245"/>
      <c r="M50" s="317"/>
      <c r="P50" s="305"/>
      <c r="Q50" s="305"/>
      <c r="R50" s="306"/>
    </row>
    <row r="51" spans="1:18" x14ac:dyDescent="0.25">
      <c r="A51" s="162"/>
      <c r="B51" s="22"/>
      <c r="C51" s="149"/>
      <c r="D51" s="314"/>
      <c r="E51" s="85"/>
      <c r="F51" s="267"/>
      <c r="G51" s="320" t="s">
        <v>10</v>
      </c>
      <c r="H51" s="83"/>
      <c r="I51" s="271"/>
      <c r="J51" s="84"/>
      <c r="K51" s="273" t="s">
        <v>33</v>
      </c>
      <c r="L51" s="325"/>
      <c r="M51" s="313"/>
      <c r="P51" s="306"/>
      <c r="Q51" s="307"/>
      <c r="R51" s="306"/>
    </row>
    <row r="52" spans="1:18" x14ac:dyDescent="0.25">
      <c r="A52" s="162"/>
      <c r="B52" s="22"/>
      <c r="C52" s="170"/>
      <c r="D52" s="314"/>
      <c r="E52" s="85"/>
      <c r="F52" s="267"/>
      <c r="G52" s="320" t="s">
        <v>11</v>
      </c>
      <c r="H52" s="83"/>
      <c r="I52" s="271"/>
      <c r="J52" s="84"/>
      <c r="K52" s="323"/>
      <c r="L52" s="267"/>
      <c r="M52" s="315"/>
      <c r="P52" s="306"/>
      <c r="Q52" s="307"/>
      <c r="R52" s="308"/>
    </row>
    <row r="53" spans="1:18" x14ac:dyDescent="0.25">
      <c r="A53" s="163"/>
      <c r="B53" s="160"/>
      <c r="C53" s="171"/>
      <c r="D53" s="316"/>
      <c r="E53" s="150"/>
      <c r="F53" s="245"/>
      <c r="G53" s="321" t="s">
        <v>12</v>
      </c>
      <c r="H53" s="157"/>
      <c r="I53" s="275"/>
      <c r="J53" s="152"/>
      <c r="K53" s="282" t="str">
        <f>L4</f>
        <v>Rákóczi Andrea</v>
      </c>
      <c r="L53" s="245"/>
      <c r="M53" s="317"/>
    </row>
  </sheetData>
  <mergeCells count="62">
    <mergeCell ref="A1:F1"/>
    <mergeCell ref="A4:C4"/>
    <mergeCell ref="B24:C24"/>
    <mergeCell ref="D24:E24"/>
    <mergeCell ref="F24:G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F28:G28"/>
    <mergeCell ref="H28:I28"/>
    <mergeCell ref="J30:K30"/>
    <mergeCell ref="B31:C31"/>
    <mergeCell ref="D31:E31"/>
    <mergeCell ref="F31:G31"/>
    <mergeCell ref="H31:I31"/>
    <mergeCell ref="J31:K31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J28:K28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H34:I34"/>
    <mergeCell ref="J34:K34"/>
    <mergeCell ref="C37:D37"/>
    <mergeCell ref="F37:G37"/>
    <mergeCell ref="H24:I24"/>
    <mergeCell ref="J24:K24"/>
    <mergeCell ref="J25:K25"/>
    <mergeCell ref="J26:K26"/>
    <mergeCell ref="J27:K27"/>
  </mergeCells>
  <conditionalFormatting sqref="E7 E9 E11 E13 E15 E17 E19:E21">
    <cfRule type="cellIs" dxfId="159" priority="1" stopIfTrue="1" operator="equal">
      <formula>"Bye"</formula>
    </cfRule>
  </conditionalFormatting>
  <conditionalFormatting sqref="R47 R52">
    <cfRule type="expression" dxfId="15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6">
    <tabColor indexed="11"/>
  </sheetPr>
  <dimension ref="A1:AS140"/>
  <sheetViews>
    <sheetView tabSelected="1" topLeftCell="B1" workbookViewId="0">
      <selection activeCell="E24" sqref="E24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9" customWidth="1"/>
  </cols>
  <sheetData>
    <row r="1" spans="1:45" s="114" customFormat="1" ht="21.75" customHeight="1" x14ac:dyDescent="0.25">
      <c r="A1" s="215" t="str">
        <f>Altalanos!$A$6</f>
        <v>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62" t="e">
        <f>IF($Y$5=1,CONCATENATE(VLOOKUP($Y$3,$AA$2:$AH$14,2)),CONCATENATE(VLOOKUP($Y$3,$AA$16:$AH$25,2)))</f>
        <v>#N/A</v>
      </c>
      <c r="AC1" s="362" t="e">
        <f>IF($Y$5=1,CONCATENATE(VLOOKUP($Y$3,$AA$2:$AH$14,3)),CONCATENATE(VLOOKUP($Y$3,$AA$16:$AH$25,3)))</f>
        <v>#N/A</v>
      </c>
      <c r="AD1" s="362" t="e">
        <f>IF($Y$5=1,CONCATENATE(VLOOKUP($Y$3,$AA$2:$AH$14,4)),CONCATENATE(VLOOKUP($Y$3,$AA$16:$AH$25,4)))</f>
        <v>#N/A</v>
      </c>
      <c r="AE1" s="362" t="e">
        <f>IF($Y$5=1,CONCATENATE(VLOOKUP($Y$3,$AA$2:$AH$14,5)),CONCATENATE(VLOOKUP($Y$3,$AA$16:$AH$25,5)))</f>
        <v>#N/A</v>
      </c>
      <c r="AF1" s="362" t="e">
        <f>IF($Y$5=1,CONCATENATE(VLOOKUP($Y$3,$AA$2:$AH$14,6)),CONCATENATE(VLOOKUP($Y$3,$AA$16:$AH$25,6)))</f>
        <v>#N/A</v>
      </c>
      <c r="AG1" s="362" t="e">
        <f>IF($Y$5=1,CONCATENATE(VLOOKUP($Y$3,$AA$2:$AH$14,7)),CONCATENATE(VLOOKUP($Y$3,$AA$16:$AH$25,7)))</f>
        <v>#N/A</v>
      </c>
      <c r="AH1" s="362" t="e">
        <f>IF($Y$5=1,CONCATENATE(VLOOKUP($Y$3,$AA$2:$AH$14,8)),CONCATENATE(VLOOKUP($Y$3,$AA$16:$AH$25,8)))</f>
        <v>#N/A</v>
      </c>
      <c r="AI1" s="366"/>
      <c r="AJ1" s="366"/>
      <c r="AK1" s="366"/>
    </row>
    <row r="2" spans="1:45" s="96" customFormat="1" x14ac:dyDescent="0.25">
      <c r="A2" s="222" t="s">
        <v>51</v>
      </c>
      <c r="B2" s="223"/>
      <c r="C2" s="223"/>
      <c r="D2" s="223"/>
      <c r="E2" s="223" t="str">
        <f>Altalanos!$A$8</f>
        <v>3 lány A elo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52"/>
      <c r="Z2" s="351"/>
      <c r="AA2" s="351" t="s">
        <v>64</v>
      </c>
      <c r="AB2" s="342">
        <v>300</v>
      </c>
      <c r="AC2" s="342">
        <v>250</v>
      </c>
      <c r="AD2" s="342">
        <v>200</v>
      </c>
      <c r="AE2" s="342">
        <v>150</v>
      </c>
      <c r="AF2" s="342">
        <v>120</v>
      </c>
      <c r="AG2" s="342">
        <v>90</v>
      </c>
      <c r="AH2" s="342">
        <v>40</v>
      </c>
      <c r="AI2" s="326"/>
      <c r="AJ2" s="326"/>
      <c r="AK2" s="326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50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51" t="str">
        <f>IF(K4="OB","A",IF(K4="IX","W",IF(K4="","",K4)))</f>
        <v/>
      </c>
      <c r="Z3" s="351"/>
      <c r="AA3" s="351" t="s">
        <v>65</v>
      </c>
      <c r="AB3" s="342">
        <v>280</v>
      </c>
      <c r="AC3" s="342">
        <v>230</v>
      </c>
      <c r="AD3" s="342">
        <v>180</v>
      </c>
      <c r="AE3" s="342">
        <v>140</v>
      </c>
      <c r="AF3" s="342">
        <v>80</v>
      </c>
      <c r="AG3" s="342">
        <v>0</v>
      </c>
      <c r="AH3" s="342">
        <v>0</v>
      </c>
      <c r="AI3" s="326"/>
      <c r="AJ3" s="326"/>
      <c r="AK3" s="326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54" t="str">
        <f>Altalanos!$A$10</f>
        <v>2024.05.27-06.01.</v>
      </c>
      <c r="B4" s="454"/>
      <c r="C4" s="454"/>
      <c r="D4" s="227"/>
      <c r="E4" s="228"/>
      <c r="F4" s="228"/>
      <c r="G4" s="228" t="str">
        <f>Altalanos!$C$10</f>
        <v>Balatonboglár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51"/>
      <c r="Z4" s="351"/>
      <c r="AA4" s="351" t="s">
        <v>88</v>
      </c>
      <c r="AB4" s="342">
        <v>250</v>
      </c>
      <c r="AC4" s="342">
        <v>200</v>
      </c>
      <c r="AD4" s="342">
        <v>150</v>
      </c>
      <c r="AE4" s="342">
        <v>120</v>
      </c>
      <c r="AF4" s="342">
        <v>90</v>
      </c>
      <c r="AG4" s="342">
        <v>60</v>
      </c>
      <c r="AH4" s="342">
        <v>25</v>
      </c>
      <c r="AI4" s="326"/>
      <c r="AJ4" s="326"/>
      <c r="AK4" s="326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51">
        <f>IF(OR(Altalanos!$A$8="F1",Altalanos!$A$8="F2",Altalanos!$A$8="N1",Altalanos!$A$8="N2"),1,2)</f>
        <v>2</v>
      </c>
      <c r="Z5" s="351"/>
      <c r="AA5" s="351" t="s">
        <v>89</v>
      </c>
      <c r="AB5" s="342">
        <v>200</v>
      </c>
      <c r="AC5" s="342">
        <v>150</v>
      </c>
      <c r="AD5" s="342">
        <v>120</v>
      </c>
      <c r="AE5" s="342">
        <v>90</v>
      </c>
      <c r="AF5" s="342">
        <v>60</v>
      </c>
      <c r="AG5" s="342">
        <v>40</v>
      </c>
      <c r="AH5" s="342">
        <v>15</v>
      </c>
      <c r="AI5" s="326"/>
      <c r="AJ5" s="326"/>
      <c r="AK5" s="326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56"/>
      <c r="B6" s="357"/>
      <c r="C6" s="357"/>
      <c r="D6" s="357"/>
      <c r="E6" s="357"/>
      <c r="F6" s="356" t="str">
        <f>IF(Y3="","",CONCATENATE(VLOOKUP(Y3,AB1:AH1,4)," pont"))</f>
        <v/>
      </c>
      <c r="G6" s="358"/>
      <c r="H6" s="5"/>
      <c r="I6" s="358"/>
      <c r="J6" s="359"/>
      <c r="K6" s="357" t="str">
        <f>IF(Y3="","",CONCATENATE(VLOOKUP(Y3,AB1:AH1,3)," pont"))</f>
        <v/>
      </c>
      <c r="L6" s="359"/>
      <c r="M6" s="357" t="str">
        <f>IF(Y3="","",CONCATENATE(VLOOKUP(Y3,AB1:AH1,2)," pont"))</f>
        <v/>
      </c>
      <c r="N6" s="359"/>
      <c r="O6" s="357" t="str">
        <f>IF(Y3="","",CONCATENATE(VLOOKUP(Y3,AB1:AH1,1)," pont"))</f>
        <v/>
      </c>
      <c r="P6" s="359"/>
      <c r="Q6" s="357"/>
      <c r="R6" s="360"/>
      <c r="T6" s="262"/>
      <c r="U6" s="262"/>
      <c r="V6" s="262"/>
      <c r="W6" s="262"/>
      <c r="X6" s="262"/>
      <c r="Y6" s="351"/>
      <c r="Z6" s="351"/>
      <c r="AA6" s="351" t="s">
        <v>90</v>
      </c>
      <c r="AB6" s="342">
        <v>150</v>
      </c>
      <c r="AC6" s="342">
        <v>120</v>
      </c>
      <c r="AD6" s="342">
        <v>90</v>
      </c>
      <c r="AE6" s="342">
        <v>60</v>
      </c>
      <c r="AF6" s="342">
        <v>40</v>
      </c>
      <c r="AG6" s="342">
        <v>25</v>
      </c>
      <c r="AH6" s="342">
        <v>10</v>
      </c>
      <c r="AI6" s="326"/>
      <c r="AJ6" s="326"/>
      <c r="AK6" s="326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25">
      <c r="A7" s="121">
        <v>1</v>
      </c>
      <c r="B7" s="234" t="str">
        <f>IF($E7="","",VLOOKUP($E7,'Lány 3A ELO'!$A$7:$O$22,14))</f>
        <v/>
      </c>
      <c r="C7" s="235" t="str">
        <f>IF($E7="","",VLOOKUP($E7,'Lány 3A ELO'!$A$7:$O$22,15))</f>
        <v/>
      </c>
      <c r="D7" s="235" t="str">
        <f>IF($E7="","",VLOOKUP($E7,'Lány 3A ELO'!$A$7:$O$22,5))</f>
        <v/>
      </c>
      <c r="E7" s="236"/>
      <c r="F7" s="237" t="str">
        <f>UPPER(IF($E7="","",VLOOKUP($E7,'Lány 3A ELO'!$A$7:$O$22,2)))</f>
        <v/>
      </c>
      <c r="G7" s="237" t="str">
        <f>IF($E7="","",VLOOKUP($E7,'Lány 3A ELO'!$A$7:$O$22,3))</f>
        <v/>
      </c>
      <c r="H7" s="237"/>
      <c r="I7" s="237" t="str">
        <f>IF($E7="","",VLOOKUP($E7,'Lány 3A ELO'!$A$7:$O$22,4))</f>
        <v/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51"/>
      <c r="Z7" s="351"/>
      <c r="AA7" s="351" t="s">
        <v>91</v>
      </c>
      <c r="AB7" s="342">
        <v>120</v>
      </c>
      <c r="AC7" s="342">
        <v>90</v>
      </c>
      <c r="AD7" s="342">
        <v>60</v>
      </c>
      <c r="AE7" s="342">
        <v>40</v>
      </c>
      <c r="AF7" s="342">
        <v>25</v>
      </c>
      <c r="AG7" s="342">
        <v>10</v>
      </c>
      <c r="AH7" s="342">
        <v>5</v>
      </c>
      <c r="AI7" s="326"/>
      <c r="AJ7" s="326"/>
      <c r="AK7" s="326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94" t="s">
        <v>0</v>
      </c>
      <c r="J8" s="128" t="s">
        <v>560</v>
      </c>
      <c r="K8" s="244" t="str">
        <f>UPPER(IF(OR(J8="a",J8="as"),F7,IF(OR(J8="b",J8="bs"),F9,)))</f>
        <v xml:space="preserve">SIKLÓSI 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51"/>
      <c r="Z8" s="351"/>
      <c r="AA8" s="351" t="s">
        <v>92</v>
      </c>
      <c r="AB8" s="342">
        <v>90</v>
      </c>
      <c r="AC8" s="342">
        <v>60</v>
      </c>
      <c r="AD8" s="342">
        <v>40</v>
      </c>
      <c r="AE8" s="342">
        <v>25</v>
      </c>
      <c r="AF8" s="342">
        <v>10</v>
      </c>
      <c r="AG8" s="342">
        <v>5</v>
      </c>
      <c r="AH8" s="342">
        <v>2</v>
      </c>
      <c r="AI8" s="326"/>
      <c r="AJ8" s="326"/>
      <c r="AK8" s="326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>
        <f>IF($E9="","",VLOOKUP($E9,'Lány 3A ELO'!$A$7:$O$22,14))</f>
        <v>0</v>
      </c>
      <c r="C9" s="235">
        <f>IF($E9="","",VLOOKUP($E9,'Lány 3A ELO'!$A$7:$O$22,15))</f>
        <v>0</v>
      </c>
      <c r="D9" s="235">
        <f>IF($E9="","",VLOOKUP($E9,'Lány 3A ELO'!$A$7:$O$22,5))</f>
        <v>0</v>
      </c>
      <c r="E9" s="385">
        <v>4</v>
      </c>
      <c r="F9" s="286" t="str">
        <f>UPPER(IF($E9="","",VLOOKUP($E9,'Lány 3A ELO'!$A$7:$O$22,2)))</f>
        <v xml:space="preserve">SIKLÓSI </v>
      </c>
      <c r="G9" s="286" t="str">
        <f>IF($E9="","",VLOOKUP($E9,'Lány 3A ELO'!$A$7:$O$22,3))</f>
        <v xml:space="preserve">Odett           </v>
      </c>
      <c r="H9" s="286"/>
      <c r="I9" s="286" t="str">
        <f>IF($E9="","",VLOOKUP($E9,'Lány 3A ELO'!$A$7:$O$22,4))</f>
        <v>Németvölgyi Általános Iskola</v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51"/>
      <c r="Z9" s="351"/>
      <c r="AA9" s="351" t="s">
        <v>93</v>
      </c>
      <c r="AB9" s="342">
        <v>60</v>
      </c>
      <c r="AC9" s="342">
        <v>40</v>
      </c>
      <c r="AD9" s="342">
        <v>25</v>
      </c>
      <c r="AE9" s="342">
        <v>10</v>
      </c>
      <c r="AF9" s="342">
        <v>5</v>
      </c>
      <c r="AG9" s="342">
        <v>2</v>
      </c>
      <c r="AH9" s="342">
        <v>1</v>
      </c>
      <c r="AI9" s="326"/>
      <c r="AJ9" s="326"/>
      <c r="AK9" s="326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86"/>
      <c r="F10" s="387"/>
      <c r="G10" s="387"/>
      <c r="H10" s="388"/>
      <c r="I10" s="387"/>
      <c r="J10" s="248"/>
      <c r="K10" s="394" t="s">
        <v>0</v>
      </c>
      <c r="L10" s="129" t="s">
        <v>561</v>
      </c>
      <c r="M10" s="244" t="str">
        <f>UPPER(IF(OR(L10="a",L10="as"),K8,IF(OR(L10="b",L10="bs"),K12,)))</f>
        <v xml:space="preserve">SIKLÓSI 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51"/>
      <c r="Z10" s="351"/>
      <c r="AA10" s="351" t="s">
        <v>94</v>
      </c>
      <c r="AB10" s="342">
        <v>40</v>
      </c>
      <c r="AC10" s="342">
        <v>25</v>
      </c>
      <c r="AD10" s="342">
        <v>15</v>
      </c>
      <c r="AE10" s="342">
        <v>7</v>
      </c>
      <c r="AF10" s="342">
        <v>4</v>
      </c>
      <c r="AG10" s="342">
        <v>1</v>
      </c>
      <c r="AH10" s="342">
        <v>0</v>
      </c>
      <c r="AI10" s="326"/>
      <c r="AJ10" s="326"/>
      <c r="AK10" s="326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 t="str">
        <f>IF($E11="","",VLOOKUP($E11,'Lány 3A ELO'!$A$7:$O$22,14))</f>
        <v/>
      </c>
      <c r="C11" s="235" t="str">
        <f>IF($E11="","",VLOOKUP($E11,'Lány 3A ELO'!$A$7:$O$22,15))</f>
        <v/>
      </c>
      <c r="D11" s="235" t="str">
        <f>IF($E11="","",VLOOKUP($E11,'Lány 3A ELO'!$A$7:$O$22,5))</f>
        <v/>
      </c>
      <c r="E11" s="385"/>
      <c r="F11" s="286" t="str">
        <f>UPPER(IF($E11="","",VLOOKUP($E11,'Lány 3A ELO'!$A$7:$O$22,2)))</f>
        <v/>
      </c>
      <c r="G11" s="286" t="str">
        <f>IF($E11="","",VLOOKUP($E11,'Lány 3A ELO'!$A$7:$O$22,3))</f>
        <v/>
      </c>
      <c r="H11" s="286"/>
      <c r="I11" s="286" t="str">
        <f>IF($E11="","",VLOOKUP($E11,'Lány 3A ELO'!$A$7:$O$22,4))</f>
        <v/>
      </c>
      <c r="J11" s="238"/>
      <c r="K11" s="239"/>
      <c r="L11" s="251"/>
      <c r="M11" s="250" t="s">
        <v>534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51"/>
      <c r="Z11" s="351"/>
      <c r="AA11" s="351" t="s">
        <v>95</v>
      </c>
      <c r="AB11" s="342">
        <v>25</v>
      </c>
      <c r="AC11" s="342">
        <v>15</v>
      </c>
      <c r="AD11" s="342">
        <v>10</v>
      </c>
      <c r="AE11" s="342">
        <v>6</v>
      </c>
      <c r="AF11" s="342">
        <v>3</v>
      </c>
      <c r="AG11" s="342">
        <v>1</v>
      </c>
      <c r="AH11" s="342">
        <v>0</v>
      </c>
      <c r="AI11" s="326"/>
      <c r="AJ11" s="326"/>
      <c r="AK11" s="326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86"/>
      <c r="F12" s="387"/>
      <c r="G12" s="387"/>
      <c r="H12" s="388"/>
      <c r="I12" s="394" t="s">
        <v>0</v>
      </c>
      <c r="J12" s="128" t="s">
        <v>560</v>
      </c>
      <c r="K12" s="244" t="str">
        <f>UPPER(IF(OR(J12="a",J12="as"),F11,IF(OR(J12="b",J12="bs"),F13,)))</f>
        <v>NAGY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51"/>
      <c r="Z12" s="351"/>
      <c r="AA12" s="351" t="s">
        <v>100</v>
      </c>
      <c r="AB12" s="342">
        <v>15</v>
      </c>
      <c r="AC12" s="342">
        <v>10</v>
      </c>
      <c r="AD12" s="342">
        <v>6</v>
      </c>
      <c r="AE12" s="342">
        <v>3</v>
      </c>
      <c r="AF12" s="342">
        <v>1</v>
      </c>
      <c r="AG12" s="342">
        <v>0</v>
      </c>
      <c r="AH12" s="342">
        <v>0</v>
      </c>
      <c r="AI12" s="326"/>
      <c r="AJ12" s="326"/>
      <c r="AK12" s="326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>
        <f>IF($E13="","",VLOOKUP($E13,'Lány 3A ELO'!$A$7:$O$22,14))</f>
        <v>0</v>
      </c>
      <c r="C13" s="235">
        <f>IF($E13="","",VLOOKUP($E13,'Lány 3A ELO'!$A$7:$O$22,15))</f>
        <v>0</v>
      </c>
      <c r="D13" s="235">
        <f>IF($E13="","",VLOOKUP($E13,'Lány 3A ELO'!$A$7:$O$22,5))</f>
        <v>0</v>
      </c>
      <c r="E13" s="385">
        <v>8</v>
      </c>
      <c r="F13" s="286" t="str">
        <f>UPPER(IF($E13="","",VLOOKUP($E13,'Lány 3A ELO'!$A$7:$O$22,2)))</f>
        <v>NAGY</v>
      </c>
      <c r="G13" s="286" t="str">
        <f>IF($E13="","",VLOOKUP($E13,'Lány 3A ELO'!$A$7:$O$22,3))</f>
        <v>Amanda</v>
      </c>
      <c r="H13" s="286"/>
      <c r="I13" s="286" t="str">
        <f>IF($E13="","",VLOOKUP($E13,'Lány 3A ELO'!$A$7:$O$22,4))</f>
        <v>Szfvári Kodály Z. Ált Isk.</v>
      </c>
      <c r="J13" s="254"/>
      <c r="K13" s="239"/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51"/>
      <c r="Z13" s="351"/>
      <c r="AA13" s="351" t="s">
        <v>96</v>
      </c>
      <c r="AB13" s="342">
        <v>10</v>
      </c>
      <c r="AC13" s="342">
        <v>6</v>
      </c>
      <c r="AD13" s="342">
        <v>3</v>
      </c>
      <c r="AE13" s="342">
        <v>1</v>
      </c>
      <c r="AF13" s="342">
        <v>0</v>
      </c>
      <c r="AG13" s="342">
        <v>0</v>
      </c>
      <c r="AH13" s="342">
        <v>0</v>
      </c>
      <c r="AI13" s="326"/>
      <c r="AJ13" s="326"/>
      <c r="AK13" s="326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86"/>
      <c r="F14" s="387"/>
      <c r="G14" s="387"/>
      <c r="H14" s="388"/>
      <c r="I14" s="387"/>
      <c r="J14" s="248"/>
      <c r="K14" s="239"/>
      <c r="L14" s="239"/>
      <c r="M14" s="394" t="s">
        <v>0</v>
      </c>
      <c r="N14" s="129"/>
      <c r="O14" s="244" t="s">
        <v>570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51"/>
      <c r="Z14" s="351"/>
      <c r="AA14" s="351" t="s">
        <v>97</v>
      </c>
      <c r="AB14" s="342">
        <v>3</v>
      </c>
      <c r="AC14" s="342">
        <v>2</v>
      </c>
      <c r="AD14" s="342">
        <v>1</v>
      </c>
      <c r="AE14" s="342">
        <v>0</v>
      </c>
      <c r="AF14" s="342">
        <v>0</v>
      </c>
      <c r="AG14" s="342">
        <v>0</v>
      </c>
      <c r="AH14" s="342">
        <v>0</v>
      </c>
      <c r="AI14" s="326"/>
      <c r="AJ14" s="326"/>
      <c r="AK14" s="326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>
        <f>IF($E15="","",VLOOKUP($E15,'Lány 3A ELO'!$A$7:$O$22,14))</f>
        <v>0</v>
      </c>
      <c r="C15" s="235">
        <f>IF($E15="","",VLOOKUP($E15,'Lány 3A ELO'!$A$7:$O$22,15))</f>
        <v>0</v>
      </c>
      <c r="D15" s="235">
        <f>IF($E15="","",VLOOKUP($E15,'Lány 3A ELO'!$A$7:$O$22,5))</f>
        <v>0</v>
      </c>
      <c r="E15" s="385">
        <v>5</v>
      </c>
      <c r="F15" s="286" t="str">
        <f>UPPER(IF($E15="","",VLOOKUP($E15,'Lány 3A ELO'!$A$7:$O$22,2)))</f>
        <v xml:space="preserve">POLGÁRDI </v>
      </c>
      <c r="G15" s="286" t="str">
        <f>IF($E15="","",VLOOKUP($E15,'Lány 3A ELO'!$A$7:$O$22,3))</f>
        <v xml:space="preserve">Zita               </v>
      </c>
      <c r="H15" s="286"/>
      <c r="I15" s="286" t="str">
        <f>IF($E15="","",VLOOKUP($E15,'Lány 3A ELO'!$A$7:$O$22,4))</f>
        <v>Álmos Vezér Gimnázium, Pedagógiai Szakgimnázium és Általános Iskola</v>
      </c>
      <c r="J15" s="256"/>
      <c r="K15" s="239"/>
      <c r="L15" s="239"/>
      <c r="M15" s="239"/>
      <c r="N15" s="252"/>
      <c r="O15" s="250" t="s">
        <v>544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26"/>
      <c r="AJ15" s="326"/>
      <c r="AK15" s="326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86"/>
      <c r="F16" s="387"/>
      <c r="G16" s="387"/>
      <c r="H16" s="388"/>
      <c r="I16" s="394" t="s">
        <v>0</v>
      </c>
      <c r="J16" s="128" t="s">
        <v>561</v>
      </c>
      <c r="K16" s="244" t="str">
        <f>UPPER(IF(OR(J16="a",J16="as"),F15,IF(OR(J16="b",J16="bs"),F17,)))</f>
        <v xml:space="preserve">POLGÁRDI </v>
      </c>
      <c r="L16" s="244"/>
      <c r="M16" s="239"/>
      <c r="N16" s="252"/>
      <c r="O16" s="394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51"/>
      <c r="Z16" s="351"/>
      <c r="AA16" s="351" t="s">
        <v>64</v>
      </c>
      <c r="AB16" s="342">
        <v>150</v>
      </c>
      <c r="AC16" s="342">
        <v>120</v>
      </c>
      <c r="AD16" s="342">
        <v>90</v>
      </c>
      <c r="AE16" s="342">
        <v>60</v>
      </c>
      <c r="AF16" s="342">
        <v>40</v>
      </c>
      <c r="AG16" s="342">
        <v>25</v>
      </c>
      <c r="AH16" s="342">
        <v>15</v>
      </c>
      <c r="AI16" s="326"/>
      <c r="AJ16" s="326"/>
      <c r="AK16" s="326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 t="str">
        <f>IF($E17="","",VLOOKUP($E17,'Lány 3A ELO'!$A$7:$O$22,14))</f>
        <v/>
      </c>
      <c r="C17" s="235" t="str">
        <f>IF($E17="","",VLOOKUP($E17,'Lány 3A ELO'!$A$7:$O$22,15))</f>
        <v/>
      </c>
      <c r="D17" s="235" t="str">
        <f>IF($E17="","",VLOOKUP($E17,'Lány 3A ELO'!$A$7:$O$22,5))</f>
        <v/>
      </c>
      <c r="E17" s="385"/>
      <c r="F17" s="286" t="str">
        <f>UPPER(IF($E17="","",VLOOKUP($E17,'Lány 3A ELO'!$A$7:$O$22,2)))</f>
        <v/>
      </c>
      <c r="G17" s="286" t="str">
        <f>IF($E17="","",VLOOKUP($E17,'Lány 3A ELO'!$A$7:$O$22,3))</f>
        <v/>
      </c>
      <c r="H17" s="286"/>
      <c r="I17" s="286" t="str">
        <f>IF($E17="","",VLOOKUP($E17,'Lány 3A ELO'!$A$7:$O$22,4))</f>
        <v/>
      </c>
      <c r="J17" s="246"/>
      <c r="K17" s="239"/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51"/>
      <c r="Z17" s="351"/>
      <c r="AA17" s="351" t="s">
        <v>88</v>
      </c>
      <c r="AB17" s="342">
        <v>120</v>
      </c>
      <c r="AC17" s="342">
        <v>90</v>
      </c>
      <c r="AD17" s="342">
        <v>60</v>
      </c>
      <c r="AE17" s="342">
        <v>40</v>
      </c>
      <c r="AF17" s="342">
        <v>25</v>
      </c>
      <c r="AG17" s="342">
        <v>15</v>
      </c>
      <c r="AH17" s="342">
        <v>8</v>
      </c>
      <c r="AI17" s="326"/>
      <c r="AJ17" s="326"/>
      <c r="AK17" s="326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86"/>
      <c r="F18" s="387"/>
      <c r="G18" s="387"/>
      <c r="H18" s="388"/>
      <c r="I18" s="387"/>
      <c r="J18" s="248"/>
      <c r="K18" s="394" t="s">
        <v>0</v>
      </c>
      <c r="L18" s="129" t="s">
        <v>561</v>
      </c>
      <c r="M18" s="244" t="str">
        <f>UPPER(IF(OR(L18="a",L18="as"),K16,IF(OR(L18="b",L18="bs"),K20,)))</f>
        <v xml:space="preserve">POLGÁRDI 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51"/>
      <c r="Z18" s="351"/>
      <c r="AA18" s="351" t="s">
        <v>89</v>
      </c>
      <c r="AB18" s="342">
        <v>90</v>
      </c>
      <c r="AC18" s="342">
        <v>60</v>
      </c>
      <c r="AD18" s="342">
        <v>40</v>
      </c>
      <c r="AE18" s="342">
        <v>25</v>
      </c>
      <c r="AF18" s="342">
        <v>15</v>
      </c>
      <c r="AG18" s="342">
        <v>8</v>
      </c>
      <c r="AH18" s="342">
        <v>4</v>
      </c>
      <c r="AI18" s="326"/>
      <c r="AJ18" s="326"/>
      <c r="AK18" s="326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>
        <f>IF($E19="","",VLOOKUP($E19,'Lány 3A ELO'!$A$7:$O$22,14))</f>
        <v>0</v>
      </c>
      <c r="C19" s="235">
        <f>IF($E19="","",VLOOKUP($E19,'Lány 3A ELO'!$A$7:$O$22,15))</f>
        <v>0</v>
      </c>
      <c r="D19" s="235">
        <f>IF($E19="","",VLOOKUP($E19,'Lány 3A ELO'!$A$7:$O$22,5))</f>
        <v>0</v>
      </c>
      <c r="E19" s="385">
        <v>14</v>
      </c>
      <c r="F19" s="286" t="str">
        <f>UPPER(IF($E19="","",VLOOKUP($E19,'Lány 3A ELO'!$A$7:$O$22,2)))</f>
        <v>LÉVAI</v>
      </c>
      <c r="G19" s="286" t="str">
        <f>IF($E19="","",VLOOKUP($E19,'Lány 3A ELO'!$A$7:$O$22,3))</f>
        <v>Luca</v>
      </c>
      <c r="H19" s="286"/>
      <c r="I19" s="286" t="str">
        <f>IF($E19="","",VLOOKUP($E19,'Lány 3A ELO'!$A$7:$O$22,4))</f>
        <v>Kárpáti János Általános Iskola és Alapfokú Művészeti Iskola</v>
      </c>
      <c r="J19" s="238"/>
      <c r="K19" s="239"/>
      <c r="L19" s="251"/>
      <c r="M19" s="239" t="s">
        <v>538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51"/>
      <c r="Z19" s="351"/>
      <c r="AA19" s="351" t="s">
        <v>90</v>
      </c>
      <c r="AB19" s="342">
        <v>60</v>
      </c>
      <c r="AC19" s="342">
        <v>40</v>
      </c>
      <c r="AD19" s="342">
        <v>25</v>
      </c>
      <c r="AE19" s="342">
        <v>15</v>
      </c>
      <c r="AF19" s="342">
        <v>8</v>
      </c>
      <c r="AG19" s="342">
        <v>4</v>
      </c>
      <c r="AH19" s="342">
        <v>2</v>
      </c>
      <c r="AI19" s="326"/>
      <c r="AJ19" s="326"/>
      <c r="AK19" s="326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94" t="s">
        <v>0</v>
      </c>
      <c r="J20" s="128" t="s">
        <v>561</v>
      </c>
      <c r="K20" s="244" t="str">
        <f>UPPER(IF(OR(J20="a",J20="as"),F19,IF(OR(J20="b",J20="bs"),F21,)))</f>
        <v>LÉVAI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51"/>
      <c r="Z20" s="351"/>
      <c r="AA20" s="351" t="s">
        <v>91</v>
      </c>
      <c r="AB20" s="342">
        <v>40</v>
      </c>
      <c r="AC20" s="342">
        <v>25</v>
      </c>
      <c r="AD20" s="342">
        <v>15</v>
      </c>
      <c r="AE20" s="342">
        <v>8</v>
      </c>
      <c r="AF20" s="342">
        <v>4</v>
      </c>
      <c r="AG20" s="342">
        <v>2</v>
      </c>
      <c r="AH20" s="342">
        <v>1</v>
      </c>
      <c r="AI20" s="326"/>
      <c r="AJ20" s="326"/>
      <c r="AK20" s="326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 t="str">
        <f>IF($E21="","",VLOOKUP($E21,'Lány 3A ELO'!$A$7:$O$22,14))</f>
        <v/>
      </c>
      <c r="C21" s="235" t="str">
        <f>IF($E21="","",VLOOKUP($E21,'Lány 3A ELO'!$A$7:$O$22,15))</f>
        <v/>
      </c>
      <c r="D21" s="235" t="str">
        <f>IF($E21="","",VLOOKUP($E21,'Lány 3A ELO'!$A$7:$O$22,5))</f>
        <v/>
      </c>
      <c r="E21" s="236"/>
      <c r="F21" s="287" t="str">
        <f>UPPER(IF($E21="","",VLOOKUP($E21,'Lány 3A ELO'!$A$7:$O$22,2)))</f>
        <v/>
      </c>
      <c r="G21" s="287" t="str">
        <f>IF($E21="","",VLOOKUP($E21,'Lány 3A ELO'!$A$7:$O$22,3))</f>
        <v/>
      </c>
      <c r="H21" s="287"/>
      <c r="I21" s="287" t="str">
        <f>IF($E21="","",VLOOKUP($E21,'Lány 3A ELO'!$A$7:$O$22,4))</f>
        <v/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51"/>
      <c r="Z21" s="351"/>
      <c r="AA21" s="351" t="s">
        <v>92</v>
      </c>
      <c r="AB21" s="342">
        <v>25</v>
      </c>
      <c r="AC21" s="342">
        <v>15</v>
      </c>
      <c r="AD21" s="342">
        <v>10</v>
      </c>
      <c r="AE21" s="342">
        <v>6</v>
      </c>
      <c r="AF21" s="342">
        <v>3</v>
      </c>
      <c r="AG21" s="342">
        <v>1</v>
      </c>
      <c r="AH21" s="342">
        <v>0</v>
      </c>
      <c r="AI21" s="326"/>
      <c r="AJ21" s="326"/>
      <c r="AK21" s="326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51"/>
      <c r="Z22" s="351"/>
      <c r="AA22" s="351" t="s">
        <v>93</v>
      </c>
      <c r="AB22" s="342">
        <v>15</v>
      </c>
      <c r="AC22" s="342">
        <v>10</v>
      </c>
      <c r="AD22" s="342">
        <v>6</v>
      </c>
      <c r="AE22" s="342">
        <v>3</v>
      </c>
      <c r="AF22" s="342">
        <v>1</v>
      </c>
      <c r="AG22" s="342">
        <v>0</v>
      </c>
      <c r="AH22" s="342">
        <v>0</v>
      </c>
      <c r="AI22" s="326"/>
      <c r="AJ22" s="326"/>
      <c r="AK22" s="326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51"/>
      <c r="Z23" s="351"/>
      <c r="AA23" s="351" t="s">
        <v>94</v>
      </c>
      <c r="AB23" s="342">
        <v>10</v>
      </c>
      <c r="AC23" s="342">
        <v>6</v>
      </c>
      <c r="AD23" s="342">
        <v>3</v>
      </c>
      <c r="AE23" s="342">
        <v>1</v>
      </c>
      <c r="AF23" s="342">
        <v>0</v>
      </c>
      <c r="AG23" s="342">
        <v>0</v>
      </c>
      <c r="AH23" s="342">
        <v>0</v>
      </c>
      <c r="AI23" s="326"/>
      <c r="AJ23" s="326"/>
      <c r="AK23" s="326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51"/>
      <c r="Z24" s="351"/>
      <c r="AA24" s="351" t="s">
        <v>95</v>
      </c>
      <c r="AB24" s="342">
        <v>6</v>
      </c>
      <c r="AC24" s="342">
        <v>3</v>
      </c>
      <c r="AD24" s="342">
        <v>1</v>
      </c>
      <c r="AE24" s="342">
        <v>0</v>
      </c>
      <c r="AF24" s="342">
        <v>0</v>
      </c>
      <c r="AG24" s="342">
        <v>0</v>
      </c>
      <c r="AH24" s="342">
        <v>0</v>
      </c>
      <c r="AI24" s="326"/>
      <c r="AJ24" s="326"/>
      <c r="AK24" s="326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51"/>
      <c r="Z25" s="351"/>
      <c r="AA25" s="351" t="s">
        <v>100</v>
      </c>
      <c r="AB25" s="342">
        <v>3</v>
      </c>
      <c r="AC25" s="342">
        <v>2</v>
      </c>
      <c r="AD25" s="342">
        <v>1</v>
      </c>
      <c r="AE25" s="342">
        <v>0</v>
      </c>
      <c r="AF25" s="342">
        <v>0</v>
      </c>
      <c r="AG25" s="342">
        <v>0</v>
      </c>
      <c r="AH25" s="342">
        <v>0</v>
      </c>
      <c r="AI25" s="326"/>
      <c r="AJ25" s="326"/>
      <c r="AK25" s="326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6"/>
      <c r="AJ26" s="326"/>
      <c r="AK26" s="326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6"/>
      <c r="AJ27" s="326"/>
      <c r="AK27" s="326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67"/>
      <c r="AJ28" s="367"/>
      <c r="AK28" s="367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67"/>
      <c r="AJ29" s="367"/>
      <c r="AK29" s="367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67"/>
      <c r="AJ30" s="367"/>
      <c r="AK30" s="367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67"/>
      <c r="AJ31" s="367"/>
      <c r="AK31" s="367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67"/>
      <c r="AJ32" s="367"/>
      <c r="AK32" s="367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67"/>
      <c r="AJ33" s="367"/>
      <c r="AK33" s="367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67"/>
      <c r="AJ34" s="367"/>
      <c r="AK34" s="367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67"/>
      <c r="AJ35" s="367"/>
      <c r="AK35" s="367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67"/>
      <c r="AJ36" s="367"/>
      <c r="AK36" s="367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67"/>
      <c r="AJ37" s="367"/>
      <c r="AK37" s="367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67"/>
      <c r="AJ38" s="367"/>
      <c r="AK38" s="367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67"/>
      <c r="AJ39" s="367"/>
      <c r="AK39" s="367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67"/>
      <c r="AJ40" s="367"/>
      <c r="AK40" s="367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67"/>
      <c r="AJ41" s="367"/>
      <c r="AK41" s="367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67"/>
      <c r="AJ42" s="367"/>
      <c r="AK42" s="367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67"/>
      <c r="AJ43" s="367"/>
      <c r="AK43" s="367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67"/>
      <c r="AJ44" s="367"/>
      <c r="AK44" s="367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67"/>
      <c r="AJ45" s="367"/>
      <c r="AK45" s="367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67"/>
      <c r="AJ46" s="367"/>
      <c r="AK46" s="367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67"/>
      <c r="AJ47" s="367"/>
      <c r="AK47" s="367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67"/>
      <c r="AJ48" s="367"/>
      <c r="AK48" s="367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67"/>
      <c r="AJ49" s="367"/>
      <c r="AK49" s="367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67"/>
      <c r="AJ50" s="367"/>
      <c r="AK50" s="367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67"/>
      <c r="AJ51" s="367"/>
      <c r="AK51" s="367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406"/>
      <c r="G52" s="406"/>
      <c r="H52" s="406"/>
      <c r="I52" s="40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67"/>
      <c r="AJ52" s="367"/>
      <c r="AK52" s="367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407"/>
      <c r="G53" s="407"/>
      <c r="H53" s="407"/>
      <c r="I53" s="40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67"/>
      <c r="AJ53" s="367"/>
      <c r="AK53" s="367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8"/>
      <c r="AJ54" s="368"/>
      <c r="AK54" s="368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IF(E55&gt;$R$62,,UPPER(VLOOKUP(E55,'Lány 3A ELO'!$A$7:$Q$134,2)))</f>
        <v xml:space="preserve">FARKAS 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8"/>
      <c r="AJ55" s="368"/>
      <c r="AK55" s="368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IF(E56&gt;$R$62,,UPPER(VLOOKUP(E56,'Lány 3A ELO'!$A$7:$Q$134,2)))</f>
        <v xml:space="preserve">BENOVICS 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8"/>
      <c r="AJ56" s="368"/>
      <c r="AK56" s="368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8"/>
      <c r="AJ57" s="368"/>
      <c r="AK57" s="368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8"/>
      <c r="AJ58" s="368"/>
      <c r="AK58" s="368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8"/>
      <c r="AJ59" s="368"/>
      <c r="AK59" s="368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8"/>
      <c r="AJ60" s="368"/>
      <c r="AK60" s="368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8"/>
      <c r="AJ61" s="368"/>
      <c r="AK61" s="368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MIN(4,'Lány 3A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8"/>
      <c r="AJ62" s="368"/>
      <c r="AK62" s="368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phoneticPr fontId="65" type="noConversion"/>
  <conditionalFormatting sqref="B22 B24 B26 B28 B30 B32 B34 B36 B38 B40 B42 B44 B46 B48 B50 B52">
    <cfRule type="cellIs" dxfId="157" priority="13" stopIfTrue="1" operator="equal">
      <formula>"QA"</formula>
    </cfRule>
    <cfRule type="cellIs" dxfId="156" priority="14" stopIfTrue="1" operator="equal">
      <formula>"DA"</formula>
    </cfRule>
  </conditionalFormatting>
  <conditionalFormatting sqref="E7 E21">
    <cfRule type="expression" dxfId="155" priority="16" stopIfTrue="1">
      <formula>$E7&lt;5</formula>
    </cfRule>
  </conditionalFormatting>
  <conditionalFormatting sqref="E22 E24 E26 E28 E30 E32 E34 E36 E38 E40 E42 E44 E46 E48 E50 E52">
    <cfRule type="expression" dxfId="154" priority="8" stopIfTrue="1">
      <formula>AND($E22&lt;9,$C22&gt;0)</formula>
    </cfRule>
  </conditionalFormatting>
  <conditionalFormatting sqref="F7 F9 F11 F13 F15 F17 F19">
    <cfRule type="cellIs" dxfId="153" priority="17" stopIfTrue="1" operator="equal">
      <formula>"Bye"</formula>
    </cfRule>
  </conditionalFormatting>
  <conditionalFormatting sqref="F21:F22 F24 F26 F28 F30 F32 F34 F36 F38 F40 F42 F44 F46 F48 F50">
    <cfRule type="cellIs" dxfId="152" priority="9" stopIfTrue="1" operator="equal">
      <formula>"Bye"</formula>
    </cfRule>
  </conditionalFormatting>
  <conditionalFormatting sqref="F22 F24 F26 F28 F30 F32 F34 F36 F38 F40 F42 F44 F46 F48 F50">
    <cfRule type="expression" dxfId="151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0" priority="4" stopIfTrue="1">
      <formula>AND($E7&lt;9,$C7&gt;0)</formula>
    </cfRule>
  </conditionalFormatting>
  <conditionalFormatting sqref="I8 K10 I12 M14 I16 K18 I20 I23 K25 I27 M29 I31 K33 I35 I39 K41 I43 M45 I47 K49 I51">
    <cfRule type="expression" dxfId="149" priority="5" stopIfTrue="1">
      <formula>AND($O$1="CU",I8="Umpire")</formula>
    </cfRule>
    <cfRule type="expression" dxfId="148" priority="6" stopIfTrue="1">
      <formula>AND($O$1="CU",I8&lt;&gt;"Umpire",J8&lt;&gt;"")</formula>
    </cfRule>
    <cfRule type="expression" dxfId="147" priority="7" stopIfTrue="1">
      <formula>AND($O$1="CU",I8&lt;&gt;"Umpire")</formula>
    </cfRule>
  </conditionalFormatting>
  <conditionalFormatting sqref="J8 L10 J12 N14 J16 L18 J20 R62">
    <cfRule type="expression" dxfId="146" priority="15" stopIfTrue="1">
      <formula>$O$1="CU"</formula>
    </cfRule>
  </conditionalFormatting>
  <conditionalFormatting sqref="K8 M10 K12 O14 K16 M18 K20 K23 M25 K27 O29 K31 M33 K35 K39 M41 K43 O45 K47 M49 K51">
    <cfRule type="expression" dxfId="145" priority="11" stopIfTrue="1">
      <formula>J8="as"</formula>
    </cfRule>
    <cfRule type="expression" dxfId="144" priority="12" stopIfTrue="1">
      <formula>J8="bs"</formula>
    </cfRule>
  </conditionalFormatting>
  <conditionalFormatting sqref="O16">
    <cfRule type="expression" dxfId="143" priority="1" stopIfTrue="1">
      <formula>AND($O$1="CU",O16="Umpire")</formula>
    </cfRule>
    <cfRule type="expression" dxfId="142" priority="2" stopIfTrue="1">
      <formula>AND($O$1="CU",O16&lt;&gt;"Umpire",P16&lt;&gt;"")</formula>
    </cfRule>
    <cfRule type="expression" dxfId="14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7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>
    <tabColor indexed="42"/>
  </sheetPr>
  <dimension ref="A1:Q156"/>
  <sheetViews>
    <sheetView showGridLines="0" showZeros="0" workbookViewId="0">
      <pane ySplit="6" topLeftCell="A20" activePane="bottomLeft" state="frozen"/>
      <selection activeCell="B7" sqref="B7:O29"/>
      <selection pane="bottomLeft" activeCell="G28" sqref="G28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80.44140625" style="40" bestFit="1" customWidth="1"/>
    <col min="5" max="5" width="10.6640625" style="389" customWidth="1"/>
    <col min="6" max="6" width="6.109375" style="91" hidden="1" customWidth="1"/>
    <col min="7" max="7" width="3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Diákolimpia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410" t="str">
        <f>Altalanos!$B$8</f>
        <v>3 lány B elo</v>
      </c>
      <c r="D2" s="103"/>
      <c r="E2" s="195" t="s">
        <v>34</v>
      </c>
      <c r="F2" s="92"/>
      <c r="G2" s="92"/>
      <c r="H2" s="378"/>
      <c r="I2" s="378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72" t="s">
        <v>50</v>
      </c>
      <c r="B3" s="376"/>
      <c r="C3" s="376"/>
      <c r="D3" s="376"/>
      <c r="E3" s="376"/>
      <c r="F3" s="376"/>
      <c r="G3" s="376"/>
      <c r="H3" s="376"/>
      <c r="I3" s="377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91" t="s">
        <v>30</v>
      </c>
      <c r="I4" s="382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2024.05.27-06.01.</v>
      </c>
      <c r="B5" s="189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92"/>
      <c r="J5" s="110"/>
      <c r="K5" s="82"/>
      <c r="L5" s="82"/>
      <c r="M5" s="82"/>
      <c r="N5" s="110"/>
      <c r="O5" s="90"/>
      <c r="P5" s="90"/>
      <c r="Q5" s="400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107</v>
      </c>
      <c r="H6" s="379" t="s">
        <v>37</v>
      </c>
      <c r="I6" s="380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3">
      <c r="A7" s="185">
        <v>1</v>
      </c>
      <c r="B7" s="413" t="s">
        <v>278</v>
      </c>
      <c r="C7" s="414" t="s">
        <v>279</v>
      </c>
      <c r="D7" s="415" t="s">
        <v>280</v>
      </c>
      <c r="E7" s="198"/>
      <c r="F7" s="373"/>
      <c r="G7" s="374"/>
      <c r="H7" s="94"/>
      <c r="I7" s="94"/>
      <c r="J7" s="182"/>
      <c r="K7" s="180"/>
      <c r="L7" s="184"/>
      <c r="M7" s="180"/>
      <c r="N7" s="177"/>
      <c r="O7" s="94"/>
      <c r="P7" s="111"/>
      <c r="Q7" s="95"/>
    </row>
    <row r="8" spans="1:17" s="11" customFormat="1" ht="18.899999999999999" customHeight="1" x14ac:dyDescent="0.3">
      <c r="A8" s="185">
        <v>2</v>
      </c>
      <c r="B8" s="414" t="s">
        <v>283</v>
      </c>
      <c r="C8" s="414" t="s">
        <v>284</v>
      </c>
      <c r="D8" s="414" t="s">
        <v>285</v>
      </c>
      <c r="E8" s="198"/>
      <c r="F8" s="375"/>
      <c r="G8" s="209"/>
      <c r="H8" s="94"/>
      <c r="I8" s="94"/>
      <c r="J8" s="182"/>
      <c r="K8" s="180"/>
      <c r="L8" s="184"/>
      <c r="M8" s="180"/>
      <c r="N8" s="177"/>
      <c r="O8" s="94"/>
      <c r="P8" s="384"/>
      <c r="Q8" s="205"/>
    </row>
    <row r="9" spans="1:17" s="11" customFormat="1" ht="18.899999999999999" customHeight="1" x14ac:dyDescent="0.3">
      <c r="A9" s="185">
        <v>3</v>
      </c>
      <c r="B9" s="414" t="s">
        <v>286</v>
      </c>
      <c r="C9" s="414" t="s">
        <v>287</v>
      </c>
      <c r="D9" s="414" t="s">
        <v>178</v>
      </c>
      <c r="E9" s="198"/>
      <c r="F9" s="375"/>
      <c r="G9" s="209"/>
      <c r="H9" s="94"/>
      <c r="I9" s="94"/>
      <c r="J9" s="182"/>
      <c r="K9" s="180"/>
      <c r="L9" s="184"/>
      <c r="M9" s="180"/>
      <c r="N9" s="177"/>
      <c r="O9" s="94"/>
      <c r="P9" s="383"/>
      <c r="Q9" s="381"/>
    </row>
    <row r="10" spans="1:17" s="11" customFormat="1" ht="18.899999999999999" customHeight="1" x14ac:dyDescent="0.3">
      <c r="A10" s="185">
        <v>4</v>
      </c>
      <c r="B10" s="414" t="s">
        <v>288</v>
      </c>
      <c r="C10" s="414" t="s">
        <v>289</v>
      </c>
      <c r="D10" s="414" t="s">
        <v>290</v>
      </c>
      <c r="E10" s="198"/>
      <c r="F10" s="375"/>
      <c r="G10" s="209"/>
      <c r="H10" s="94"/>
      <c r="I10" s="94"/>
      <c r="J10" s="182"/>
      <c r="K10" s="180"/>
      <c r="L10" s="184"/>
      <c r="M10" s="180"/>
      <c r="N10" s="177"/>
      <c r="O10" s="94"/>
      <c r="P10" s="383"/>
      <c r="Q10" s="381"/>
    </row>
    <row r="11" spans="1:17" s="11" customFormat="1" ht="18.899999999999999" customHeight="1" x14ac:dyDescent="0.3">
      <c r="A11" s="185">
        <v>5</v>
      </c>
      <c r="B11" s="414" t="s">
        <v>291</v>
      </c>
      <c r="C11" s="414" t="s">
        <v>292</v>
      </c>
      <c r="D11" s="414" t="s">
        <v>183</v>
      </c>
      <c r="E11" s="198"/>
      <c r="F11" s="375"/>
      <c r="G11" s="209"/>
      <c r="H11" s="94"/>
      <c r="I11" s="94"/>
      <c r="J11" s="182"/>
      <c r="K11" s="180"/>
      <c r="L11" s="184"/>
      <c r="M11" s="180"/>
      <c r="N11" s="177"/>
      <c r="O11" s="94"/>
      <c r="P11" s="383"/>
      <c r="Q11" s="381"/>
    </row>
    <row r="12" spans="1:17" s="11" customFormat="1" ht="18.899999999999999" customHeight="1" x14ac:dyDescent="0.3">
      <c r="A12" s="185">
        <v>6</v>
      </c>
      <c r="B12" s="414" t="s">
        <v>293</v>
      </c>
      <c r="C12" s="414" t="s">
        <v>294</v>
      </c>
      <c r="D12" s="416" t="s">
        <v>134</v>
      </c>
      <c r="E12" s="198"/>
      <c r="F12" s="375"/>
      <c r="G12" s="209"/>
      <c r="H12" s="94"/>
      <c r="I12" s="94"/>
      <c r="J12" s="182"/>
      <c r="K12" s="180"/>
      <c r="L12" s="184"/>
      <c r="M12" s="180"/>
      <c r="N12" s="177"/>
      <c r="O12" s="94"/>
      <c r="P12" s="383"/>
      <c r="Q12" s="381"/>
    </row>
    <row r="13" spans="1:17" s="11" customFormat="1" ht="18.899999999999999" customHeight="1" x14ac:dyDescent="0.3">
      <c r="A13" s="185">
        <v>7</v>
      </c>
      <c r="B13" s="414" t="s">
        <v>295</v>
      </c>
      <c r="C13" s="414" t="s">
        <v>296</v>
      </c>
      <c r="D13" s="416" t="s">
        <v>134</v>
      </c>
      <c r="E13" s="198"/>
      <c r="F13" s="375"/>
      <c r="G13" s="209"/>
      <c r="H13" s="94"/>
      <c r="I13" s="94"/>
      <c r="J13" s="182"/>
      <c r="K13" s="180"/>
      <c r="L13" s="184"/>
      <c r="M13" s="180"/>
      <c r="N13" s="177"/>
      <c r="O13" s="94"/>
      <c r="P13" s="383"/>
      <c r="Q13" s="381"/>
    </row>
    <row r="14" spans="1:17" s="11" customFormat="1" ht="18.899999999999999" customHeight="1" x14ac:dyDescent="0.3">
      <c r="A14" s="185">
        <v>8</v>
      </c>
      <c r="B14" s="414" t="s">
        <v>297</v>
      </c>
      <c r="C14" s="414" t="s">
        <v>298</v>
      </c>
      <c r="D14" s="415" t="s">
        <v>299</v>
      </c>
      <c r="E14" s="198"/>
      <c r="F14" s="95"/>
      <c r="G14" s="95"/>
      <c r="H14" s="94"/>
      <c r="I14" s="94"/>
      <c r="J14" s="182"/>
      <c r="K14" s="180"/>
      <c r="L14" s="184"/>
      <c r="M14" s="208"/>
      <c r="N14" s="177"/>
      <c r="O14" s="94"/>
      <c r="P14" s="95"/>
      <c r="Q14" s="95"/>
    </row>
    <row r="15" spans="1:17" s="11" customFormat="1" ht="18.899999999999999" customHeight="1" x14ac:dyDescent="0.3">
      <c r="A15" s="185">
        <v>9</v>
      </c>
      <c r="B15" s="414" t="s">
        <v>300</v>
      </c>
      <c r="C15" s="445" t="s">
        <v>303</v>
      </c>
      <c r="D15" s="415" t="s">
        <v>301</v>
      </c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111"/>
      <c r="Q15" s="95"/>
    </row>
    <row r="16" spans="1:17" s="11" customFormat="1" ht="18.899999999999999" customHeight="1" x14ac:dyDescent="0.3">
      <c r="A16" s="185">
        <v>10</v>
      </c>
      <c r="B16" s="419" t="s">
        <v>302</v>
      </c>
      <c r="C16" s="419" t="s">
        <v>303</v>
      </c>
      <c r="D16" s="419" t="s">
        <v>304</v>
      </c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3">
      <c r="A17" s="185">
        <v>11</v>
      </c>
      <c r="B17" s="419" t="s">
        <v>227</v>
      </c>
      <c r="C17" s="419" t="s">
        <v>305</v>
      </c>
      <c r="D17" s="419" t="s">
        <v>306</v>
      </c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422" t="s">
        <v>307</v>
      </c>
      <c r="C18" s="422" t="s">
        <v>308</v>
      </c>
      <c r="D18" s="422" t="s">
        <v>309</v>
      </c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422" t="s">
        <v>233</v>
      </c>
      <c r="C19" s="422" t="s">
        <v>310</v>
      </c>
      <c r="D19" s="422" t="s">
        <v>311</v>
      </c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420" t="s">
        <v>312</v>
      </c>
      <c r="C20" s="420" t="s">
        <v>313</v>
      </c>
      <c r="D20" s="421" t="s">
        <v>314</v>
      </c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3">
      <c r="A21" s="185">
        <v>15</v>
      </c>
      <c r="B21" s="414" t="s">
        <v>315</v>
      </c>
      <c r="C21" s="414" t="s">
        <v>316</v>
      </c>
      <c r="D21" s="414" t="s">
        <v>317</v>
      </c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3">
      <c r="A22" s="185">
        <v>16</v>
      </c>
      <c r="B22" s="414" t="s">
        <v>318</v>
      </c>
      <c r="C22" s="414" t="s">
        <v>319</v>
      </c>
      <c r="D22" s="414" t="s">
        <v>320</v>
      </c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3">
      <c r="A23" s="185">
        <v>17</v>
      </c>
      <c r="B23" s="414" t="s">
        <v>321</v>
      </c>
      <c r="C23" s="414" t="s">
        <v>322</v>
      </c>
      <c r="D23" s="414" t="s">
        <v>323</v>
      </c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3">
      <c r="A24" s="185">
        <v>18</v>
      </c>
      <c r="B24" s="414" t="s">
        <v>324</v>
      </c>
      <c r="C24" s="414" t="s">
        <v>259</v>
      </c>
      <c r="D24" s="414" t="s">
        <v>325</v>
      </c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3">
      <c r="A25" s="185">
        <v>19</v>
      </c>
      <c r="B25" s="414" t="s">
        <v>326</v>
      </c>
      <c r="C25" s="414" t="s">
        <v>327</v>
      </c>
      <c r="D25" s="414" t="s">
        <v>328</v>
      </c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3">
      <c r="A26" s="185">
        <v>20</v>
      </c>
      <c r="B26" s="414" t="s">
        <v>329</v>
      </c>
      <c r="C26" s="414" t="s">
        <v>330</v>
      </c>
      <c r="D26" s="414" t="s">
        <v>234</v>
      </c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3">
      <c r="A27" s="185">
        <v>21</v>
      </c>
      <c r="B27" s="414" t="s">
        <v>331</v>
      </c>
      <c r="C27" s="414" t="s">
        <v>332</v>
      </c>
      <c r="D27" s="414" t="s">
        <v>222</v>
      </c>
      <c r="E27" s="408"/>
      <c r="F27" s="393"/>
      <c r="G27" s="20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3">
      <c r="A28" s="185">
        <v>22</v>
      </c>
      <c r="B28" s="414" t="s">
        <v>333</v>
      </c>
      <c r="C28" s="414" t="s">
        <v>334</v>
      </c>
      <c r="D28" s="414" t="s">
        <v>335</v>
      </c>
      <c r="E28" s="409"/>
      <c r="F28" s="95"/>
      <c r="G28" s="9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3">
      <c r="A29" s="185">
        <v>23</v>
      </c>
      <c r="B29" s="417" t="s">
        <v>337</v>
      </c>
      <c r="C29" s="414" t="s">
        <v>259</v>
      </c>
      <c r="D29" s="414" t="s">
        <v>336</v>
      </c>
      <c r="E29" s="198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3">
      <c r="A30" s="185">
        <v>24</v>
      </c>
      <c r="B30" s="417" t="s">
        <v>338</v>
      </c>
      <c r="C30" s="414" t="s">
        <v>339</v>
      </c>
      <c r="D30" s="414" t="s">
        <v>336</v>
      </c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3">
      <c r="A31" s="185">
        <v>25</v>
      </c>
      <c r="B31" s="417"/>
      <c r="C31" s="414"/>
      <c r="D31" s="41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448"/>
      <c r="E32" s="390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75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75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75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75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75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75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75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75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75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75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75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75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75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75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75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75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75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75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75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75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75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75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75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75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75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75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75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75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75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75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75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75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75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75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75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75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75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75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75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75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75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75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75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75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75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75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75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75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75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75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75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75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75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75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75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75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75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75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75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75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75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75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75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75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75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75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75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75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75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75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75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75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75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75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75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75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75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75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75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75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75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75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75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75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75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75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75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75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75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75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75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75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75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75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75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75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75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75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75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75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75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75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75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75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75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75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75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75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75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75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75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75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75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75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75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75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75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75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75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A31 A32:D156">
    <cfRule type="expression" dxfId="140" priority="16" stopIfTrue="1">
      <formula>$Q7&gt;=1</formula>
    </cfRule>
  </conditionalFormatting>
  <conditionalFormatting sqref="D8 B32:D37">
    <cfRule type="expression" dxfId="139" priority="3" stopIfTrue="1">
      <formula>$Q8&gt;=1</formula>
    </cfRule>
  </conditionalFormatting>
  <conditionalFormatting sqref="D29:D31">
    <cfRule type="expression" dxfId="138" priority="1" stopIfTrue="1">
      <formula>$Q29&gt;=1</formula>
    </cfRule>
    <cfRule type="expression" dxfId="137" priority="2" stopIfTrue="1">
      <formula>$O29&gt;=1</formula>
    </cfRule>
  </conditionalFormatting>
  <conditionalFormatting sqref="E7:E14">
    <cfRule type="expression" dxfId="136" priority="8" stopIfTrue="1">
      <formula>AND(ROUNDDOWN(($A$4-E7)/365.25,0)&lt;=13,G7&lt;&gt;"OK")</formula>
    </cfRule>
    <cfRule type="expression" dxfId="135" priority="9" stopIfTrue="1">
      <formula>AND(ROUNDDOWN(($A$4-E7)/365.25,0)&lt;=14,G7&lt;&gt;"OK")</formula>
    </cfRule>
    <cfRule type="expression" dxfId="134" priority="10" stopIfTrue="1">
      <formula>AND(ROUNDDOWN(($A$4-E7)/365.25,0)&lt;=17,G7&lt;&gt;"OK")</formula>
    </cfRule>
    <cfRule type="expression" dxfId="133" priority="13" stopIfTrue="1">
      <formula>AND(ROUNDDOWN(($A$4-E7)/365.25,0)&lt;=13,G7&lt;&gt;"OK")</formula>
    </cfRule>
    <cfRule type="expression" dxfId="132" priority="14" stopIfTrue="1">
      <formula>AND(ROUNDDOWN(($A$4-E7)/365.25,0)&lt;=14,G7&lt;&gt;"OK")</formula>
    </cfRule>
    <cfRule type="expression" dxfId="131" priority="15" stopIfTrue="1">
      <formula>AND(ROUNDDOWN(($A$4-E7)/365.25,0)&lt;=17,G7&lt;&gt;"OK")</formula>
    </cfRule>
  </conditionalFormatting>
  <conditionalFormatting sqref="E7:E37">
    <cfRule type="expression" dxfId="130" priority="4" stopIfTrue="1">
      <formula>AND(ROUNDDOWN(($A$4-E7)/365.25,0)&lt;=13,G7&lt;&gt;"OK")</formula>
    </cfRule>
    <cfRule type="expression" dxfId="129" priority="5" stopIfTrue="1">
      <formula>AND(ROUNDDOWN(($A$4-E7)/365.25,0)&lt;=14,G7&lt;&gt;"OK")</formula>
    </cfRule>
    <cfRule type="expression" dxfId="128" priority="6" stopIfTrue="1">
      <formula>AND(ROUNDDOWN(($A$4-E7)/365.25,0)&lt;=17,G7&lt;&gt;"OK")</formula>
    </cfRule>
  </conditionalFormatting>
  <conditionalFormatting sqref="E7:E156">
    <cfRule type="expression" dxfId="127" priority="18" stopIfTrue="1">
      <formula>AND(ROUNDDOWN(($A$4-E7)/365.25,0)&lt;=13,G7&lt;&gt;"OK")</formula>
    </cfRule>
    <cfRule type="expression" dxfId="126" priority="19" stopIfTrue="1">
      <formula>AND(ROUNDDOWN(($A$4-E7)/365.25,0)&lt;=14,G7&lt;&gt;"OK")</formula>
    </cfRule>
    <cfRule type="expression" dxfId="125" priority="20" stopIfTrue="1">
      <formula>AND(ROUNDDOWN(($A$4-E7)/365.25,0)&lt;=17,G7&lt;&gt;"OK")</formula>
    </cfRule>
  </conditionalFormatting>
  <conditionalFormatting sqref="J7:J156">
    <cfRule type="cellIs" dxfId="124" priority="1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213360</xdr:colOff>
                    <xdr:row>0</xdr:row>
                    <xdr:rowOff>68580</xdr:rowOff>
                  </from>
                  <to>
                    <xdr:col>14</xdr:col>
                    <xdr:colOff>137160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28</vt:i4>
      </vt:variant>
    </vt:vector>
  </HeadingPairs>
  <TitlesOfParts>
    <vt:vector size="54" baseType="lpstr">
      <vt:lpstr>Altalanos</vt:lpstr>
      <vt:lpstr>Birók</vt:lpstr>
      <vt:lpstr>Játékrend 3 kcs.</vt:lpstr>
      <vt:lpstr>Lány 3A ELO</vt:lpstr>
      <vt:lpstr>Lány 3A 1 cs.</vt:lpstr>
      <vt:lpstr>Lány 3A 2 cs.</vt:lpstr>
      <vt:lpstr>Lány 3A 3-4 cs.</vt:lpstr>
      <vt:lpstr>Lány 3A Döntő</vt:lpstr>
      <vt:lpstr>Lány 3B ELO</vt:lpstr>
      <vt:lpstr>Lány 3B 1 cs.</vt:lpstr>
      <vt:lpstr>Lány 3B 2 cs.</vt:lpstr>
      <vt:lpstr>Lány 3B 3-4 cs.</vt:lpstr>
      <vt:lpstr>Lány 3B 5-6 cs.</vt:lpstr>
      <vt:lpstr>Lány 3B 7-8 cs.</vt:lpstr>
      <vt:lpstr>Lány 3B Döntő</vt:lpstr>
      <vt:lpstr>Fiú 3A ELO</vt:lpstr>
      <vt:lpstr>Fiú 3A 1 cs.</vt:lpstr>
      <vt:lpstr>Fiú 3A 2-3 cs.</vt:lpstr>
      <vt:lpstr>Fiú 3A 4-5 cs.</vt:lpstr>
      <vt:lpstr>Fiú 3A Döntő</vt:lpstr>
      <vt:lpstr>Fiú 3B ELO</vt:lpstr>
      <vt:lpstr>Fiú 3B 1 cs.</vt:lpstr>
      <vt:lpstr>Fiú 3B 2-3 cs. </vt:lpstr>
      <vt:lpstr>Fiú 3B 4-5 cs.</vt:lpstr>
      <vt:lpstr>Fiú 3B 6-7 cs.</vt:lpstr>
      <vt:lpstr>Fiú 3B Döntő</vt:lpstr>
      <vt:lpstr>'Fiú 3A ELO'!Nyomtatási_cím</vt:lpstr>
      <vt:lpstr>'Fiú 3B ELO'!Nyomtatási_cím</vt:lpstr>
      <vt:lpstr>'Lány 3A ELO'!Nyomtatási_cím</vt:lpstr>
      <vt:lpstr>'Lány 3B ELO'!Nyomtatási_cím</vt:lpstr>
      <vt:lpstr>Birók!Nyomtatási_terület</vt:lpstr>
      <vt:lpstr>'Fiú 3A 1 cs.'!Nyomtatási_terület</vt:lpstr>
      <vt:lpstr>'Fiú 3A 2-3 cs.'!Nyomtatási_terület</vt:lpstr>
      <vt:lpstr>'Fiú 3A 4-5 cs.'!Nyomtatási_terület</vt:lpstr>
      <vt:lpstr>'Fiú 3A Döntő'!Nyomtatási_terület</vt:lpstr>
      <vt:lpstr>'Fiú 3A ELO'!Nyomtatási_terület</vt:lpstr>
      <vt:lpstr>'Fiú 3B 1 cs.'!Nyomtatási_terület</vt:lpstr>
      <vt:lpstr>'Fiú 3B 2-3 cs. '!Nyomtatási_terület</vt:lpstr>
      <vt:lpstr>'Fiú 3B 4-5 cs.'!Nyomtatási_terület</vt:lpstr>
      <vt:lpstr>'Fiú 3B 6-7 cs.'!Nyomtatási_terület</vt:lpstr>
      <vt:lpstr>'Fiú 3B Döntő'!Nyomtatási_terület</vt:lpstr>
      <vt:lpstr>'Fiú 3B ELO'!Nyomtatási_terület</vt:lpstr>
      <vt:lpstr>'Lány 3A 1 cs.'!Nyomtatási_terület</vt:lpstr>
      <vt:lpstr>'Lány 3A 2 cs.'!Nyomtatási_terület</vt:lpstr>
      <vt:lpstr>'Lány 3A 3-4 cs.'!Nyomtatási_terület</vt:lpstr>
      <vt:lpstr>'Lány 3A Döntő'!Nyomtatási_terület</vt:lpstr>
      <vt:lpstr>'Lány 3A ELO'!Nyomtatási_terület</vt:lpstr>
      <vt:lpstr>'Lány 3B 1 cs.'!Nyomtatási_terület</vt:lpstr>
      <vt:lpstr>'Lány 3B 2 cs.'!Nyomtatási_terület</vt:lpstr>
      <vt:lpstr>'Lány 3B 3-4 cs.'!Nyomtatási_terület</vt:lpstr>
      <vt:lpstr>'Lány 3B 5-6 cs.'!Nyomtatási_terület</vt:lpstr>
      <vt:lpstr>'Lány 3B 7-8 cs.'!Nyomtatási_terület</vt:lpstr>
      <vt:lpstr>'Lány 3B Döntő'!Nyomtatási_terület</vt:lpstr>
      <vt:lpstr>'Lány 3B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2024-05-18T18:47:42Z</cp:lastPrinted>
  <dcterms:created xsi:type="dcterms:W3CDTF">1998-01-18T23:10:02Z</dcterms:created>
  <dcterms:modified xsi:type="dcterms:W3CDTF">2024-05-29T06:37:50Z</dcterms:modified>
  <cp:category>Forms</cp:category>
</cp:coreProperties>
</file>