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884" activeTab="6"/>
  </bookViews>
  <sheets>
    <sheet name="Altalanos" sheetId="1" r:id="rId1"/>
    <sheet name="F14 elo" sheetId="2" r:id="rId2"/>
    <sheet name="F14 CSB" sheetId="3" r:id="rId3"/>
    <sheet name="F12 elo" sheetId="4" r:id="rId4"/>
    <sheet name="F12 CSB" sheetId="5" r:id="rId5"/>
    <sheet name="L14 elo" sheetId="6" r:id="rId6"/>
    <sheet name="L14 CSB" sheetId="7" r:id="rId7"/>
    <sheet name="L12 elo" sheetId="8" r:id="rId8"/>
    <sheet name="L12 CSB" sheetId="9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3">'F12 elo'!$1:$6</definedName>
    <definedName name="_xlnm.Print_Titles" localSheetId="1">'F14 elo'!$1:$6</definedName>
    <definedName name="_xlnm.Print_Titles" localSheetId="7">'L12 elo'!$1:$6</definedName>
    <definedName name="_xlnm.Print_Titles" localSheetId="5">'L14 elo'!$1:$6</definedName>
    <definedName name="_xlnm.Print_Area" localSheetId="4">'F12 CSB'!$A$1:$M$52</definedName>
    <definedName name="_xlnm.Print_Area" localSheetId="3">'F12 elo'!$A$1:$Q$134</definedName>
    <definedName name="_xlnm.Print_Area" localSheetId="2">'F14 CSB'!$A$1:$M$52</definedName>
    <definedName name="_xlnm.Print_Area" localSheetId="1">'F14 elo'!$A$1:$Q$134</definedName>
    <definedName name="_xlnm.Print_Area" localSheetId="8">'L12 CSB'!$A$1:$M$52</definedName>
    <definedName name="_xlnm.Print_Area" localSheetId="7">'L12 elo'!$A$1:$Q$134</definedName>
    <definedName name="_xlnm.Print_Area" localSheetId="6">'L14 CSB'!$A$1:$M$52</definedName>
    <definedName name="_xlnm.Print_Area" localSheetId="5">'L14 elo'!$A$1:$Q$134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<sst xmlns="http://schemas.openxmlformats.org/spreadsheetml/2006/main" count="701" uniqueCount="161">
  <si>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</si>
  <si>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</si>
  <si>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</si>
  <si>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</si>
  <si>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</si>
  <si>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</si>
  <si>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</si>
  <si>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</si>
  <si>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</si>
  <si>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</si>
  <si>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</si>
  <si>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</si>
  <si>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</si>
  <si>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</si>
  <si>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</si>
  <si>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</si>
  <si>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</si>
  <si>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</si>
  <si>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</si>
  <si>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</si>
  <si>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</si>
  <si>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</si>
  <si>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</si>
  <si>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</si>
  <si>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</si>
  <si>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</si>
  <si>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</si>
  <si>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</si>
  <si>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</si>
  <si>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</si>
  <si>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</si>
  <si>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</si>
  <si>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</si>
  <si>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</si>
  <si>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</si>
  <si>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</si>
  <si>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</si>
  <si>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</si>
  <si>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</si>
  <si>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</si>
  <si>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</si>
  <si>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</si>
  <si>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</si>
  <si>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</si>
  <si>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</si>
  <si>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</si>
  <si>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</si>
  <si>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</si>
  <si>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</si>
  <si>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</si>
  <si>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</si>
  <si>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</si>
  <si>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</si>
  <si>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</si>
  <si>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</si>
  <si>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</si>
  <si>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</si>
  <si>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</si>
  <si>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</si>
  <si>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</si>
  <si>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</si>
  <si>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</si>
  <si>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</si>
  <si>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</si>
  <si>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</si>
  <si>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</si>
  <si>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</si>
  <si>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</si>
  <si>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</si>
  <si>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</si>
  <si>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</si>
  <si>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</si>
  <si>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</si>
  <si>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</si>
  <si>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</si>
  <si>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</si>
  <si>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</si>
  <si>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</si>
  <si>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</si>
  <si>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</si>
  <si>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</si>
  <si>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</si>
  <si>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</si>
  <si>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</si>
  <si>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</si>
  <si>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</si>
  <si>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</si>
  <si>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</si>
  <si>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</si>
  <si>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</si>
  <si>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</si>
  <si>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</si>
  <si>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</si>
  <si>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</si>
  <si>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</si>
  <si>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</si>
  <si>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</si>
  <si>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</si>
  <si>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</si>
  <si>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G - E</t>
  </si>
  <si>
    <t>F - G</t>
  </si>
  <si>
    <t>E - H</t>
  </si>
  <si>
    <t>H - F</t>
  </si>
  <si>
    <t>G - H</t>
  </si>
  <si>
    <t>KORO. CSB DÖNTŐ</t>
  </si>
  <si>
    <t>2022.08.26-28</t>
  </si>
  <si>
    <t>Balatonboglár</t>
  </si>
  <si>
    <t>Droppa Erika</t>
  </si>
  <si>
    <t>F14</t>
  </si>
  <si>
    <t>F12</t>
  </si>
  <si>
    <t>L14</t>
  </si>
  <si>
    <t>L12</t>
  </si>
  <si>
    <t>Vasas SC</t>
  </si>
  <si>
    <t>Bebto Team "A"</t>
  </si>
  <si>
    <t>Pasarét TK I.</t>
  </si>
  <si>
    <t>Pasarét TK II.</t>
  </si>
  <si>
    <t>Pécs VTC</t>
  </si>
  <si>
    <t>Gellért SE</t>
  </si>
  <si>
    <t>BUSC</t>
  </si>
  <si>
    <t>Bebto Team "B"</t>
  </si>
  <si>
    <t>MTK-BTC</t>
  </si>
  <si>
    <t>Alfa TI</t>
  </si>
  <si>
    <t>Tenisz Műhely 1,</t>
  </si>
  <si>
    <t>Tenisz Műhely 2,</t>
  </si>
  <si>
    <t>Panakor TK</t>
  </si>
  <si>
    <t>Viharsarok</t>
  </si>
  <si>
    <t>Future TT</t>
  </si>
  <si>
    <t>Tenisz Műhely</t>
  </si>
  <si>
    <t>SVSE-GYSEV</t>
  </si>
  <si>
    <t>Pillan-go</t>
  </si>
  <si>
    <t>Bajai TK</t>
  </si>
  <si>
    <t>BBTC SE</t>
  </si>
  <si>
    <t>4/0</t>
  </si>
  <si>
    <t>2/2 5/4</t>
  </si>
  <si>
    <t>1/3</t>
  </si>
  <si>
    <t>0/4</t>
  </si>
  <si>
    <t>3/1</t>
  </si>
  <si>
    <t>2/2 4/5</t>
  </si>
  <si>
    <t>2/2 5/5 33/32</t>
  </si>
  <si>
    <t>2/2 5/5 32/33</t>
  </si>
  <si>
    <t>2/2 4/4 37/42</t>
  </si>
  <si>
    <t>2/2  4/4 42/37</t>
  </si>
  <si>
    <t>2/1 5/2</t>
  </si>
  <si>
    <t>1/2 4/5</t>
  </si>
  <si>
    <t>2/1 5/4</t>
  </si>
  <si>
    <t>3/0</t>
  </si>
  <si>
    <t>0/3</t>
  </si>
  <si>
    <t>jn.</t>
  </si>
  <si>
    <t>2/2 38/29</t>
  </si>
  <si>
    <t>2/2 29/38</t>
  </si>
  <si>
    <t>-</t>
  </si>
  <si>
    <t>2/2 30/28</t>
  </si>
  <si>
    <t>2/2 28/30</t>
  </si>
  <si>
    <t>2/2 29/25</t>
  </si>
  <si>
    <t>2/2 25/29</t>
  </si>
  <si>
    <t>2/1 29/16</t>
  </si>
  <si>
    <t>TENISZ MŰHELY 2.</t>
  </si>
  <si>
    <t>2/1 29/14</t>
  </si>
  <si>
    <t>1/2 14/29</t>
  </si>
  <si>
    <t>PÉCS VTC</t>
  </si>
  <si>
    <t>2/1 34/18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</si>
</sst>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b/>
      <sz val="10"/>
      <color indexed="8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1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7" borderId="21" xfId="0" applyNumberFormat="1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3" xfId="0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49" fontId="8" fillId="36" borderId="17" xfId="0" applyNumberFormat="1" applyFont="1" applyFill="1" applyBorder="1" applyAlignment="1">
      <alignment vertical="center"/>
    </xf>
    <xf numFmtId="49" fontId="8" fillId="37" borderId="15" xfId="0" applyNumberFormat="1" applyFont="1" applyFill="1" applyBorder="1" applyAlignment="1">
      <alignment horizontal="center" wrapText="1"/>
    </xf>
    <xf numFmtId="49" fontId="8" fillId="36" borderId="28" xfId="0" applyNumberFormat="1" applyFont="1" applyFill="1" applyBorder="1" applyAlignment="1">
      <alignment vertical="center"/>
    </xf>
    <xf numFmtId="49" fontId="21" fillId="33" borderId="29" xfId="0" applyNumberFormat="1" applyFont="1" applyFill="1" applyBorder="1" applyAlignment="1">
      <alignment horizontal="left" vertical="center"/>
    </xf>
    <xf numFmtId="49" fontId="25" fillId="33" borderId="29" xfId="0" applyNumberFormat="1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4" fillId="0" borderId="0" xfId="0" applyNumberFormat="1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3" fillId="37" borderId="17" xfId="0" applyFont="1" applyFill="1" applyBorder="1" applyAlignment="1">
      <alignment horizontal="center" vertical="center"/>
    </xf>
    <xf numFmtId="49" fontId="8" fillId="37" borderId="34" xfId="0" applyNumberFormat="1" applyFont="1" applyFill="1" applyBorder="1" applyAlignment="1">
      <alignment horizontal="center" wrapText="1"/>
    </xf>
    <xf numFmtId="1" fontId="23" fillId="37" borderId="35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horizontal="center" wrapText="1"/>
    </xf>
    <xf numFmtId="1" fontId="23" fillId="37" borderId="37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27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3" fillId="33" borderId="13" xfId="0" applyNumberFormat="1" applyFont="1" applyFill="1" applyBorder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left" vertical="center"/>
    </xf>
    <xf numFmtId="0" fontId="26" fillId="33" borderId="38" xfId="0" applyFont="1" applyFill="1" applyBorder="1" applyAlignment="1">
      <alignment horizontal="center" wrapText="1"/>
    </xf>
    <xf numFmtId="0" fontId="26" fillId="37" borderId="38" xfId="0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center"/>
    </xf>
    <xf numFmtId="0" fontId="0" fillId="33" borderId="39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40" xfId="0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3" fillId="37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6" fillId="33" borderId="19" xfId="0" applyNumberFormat="1" applyFont="1" applyFill="1" applyBorder="1" applyAlignment="1">
      <alignment horizontal="left" vertical="center"/>
    </xf>
    <xf numFmtId="49" fontId="4" fillId="36" borderId="0" xfId="0" applyNumberFormat="1" applyFont="1" applyFill="1" applyAlignment="1">
      <alignment vertical="top"/>
    </xf>
    <xf numFmtId="49" fontId="34" fillId="36" borderId="0" xfId="0" applyNumberFormat="1" applyFont="1" applyFill="1" applyAlignment="1">
      <alignment vertical="top"/>
    </xf>
    <xf numFmtId="49" fontId="24" fillId="36" borderId="0" xfId="0" applyNumberFormat="1" applyFont="1" applyFill="1" applyAlignment="1">
      <alignment vertical="top"/>
    </xf>
    <xf numFmtId="49" fontId="27" fillId="36" borderId="0" xfId="0" applyNumberFormat="1" applyFont="1" applyFill="1" applyAlignment="1">
      <alignment horizontal="center"/>
    </xf>
    <xf numFmtId="49" fontId="27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49" fontId="16" fillId="36" borderId="15" xfId="0" applyNumberFormat="1" applyFont="1" applyFill="1" applyBorder="1" applyAlignment="1">
      <alignment vertical="center"/>
    </xf>
    <xf numFmtId="49" fontId="31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49" fontId="17" fillId="36" borderId="15" xfId="0" applyNumberFormat="1" applyFont="1" applyFill="1" applyBorder="1" applyAlignment="1">
      <alignment horizontal="right" vertical="center"/>
    </xf>
    <xf numFmtId="0" fontId="0" fillId="36" borderId="28" xfId="0" applyFill="1" applyBorder="1" applyAlignment="1">
      <alignment/>
    </xf>
    <xf numFmtId="0" fontId="0" fillId="36" borderId="0" xfId="0" applyFill="1" applyAlignment="1">
      <alignment/>
    </xf>
    <xf numFmtId="49" fontId="21" fillId="36" borderId="31" xfId="0" applyNumberFormat="1" applyFont="1" applyFill="1" applyBorder="1" applyAlignment="1">
      <alignment vertical="center"/>
    </xf>
    <xf numFmtId="49" fontId="30" fillId="36" borderId="28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vertical="center"/>
    </xf>
    <xf numFmtId="49" fontId="8" fillId="36" borderId="29" xfId="0" applyNumberFormat="1" applyFont="1" applyFill="1" applyBorder="1" applyAlignment="1">
      <alignment vertical="center"/>
    </xf>
    <xf numFmtId="49" fontId="8" fillId="36" borderId="32" xfId="0" applyNumberFormat="1" applyFont="1" applyFill="1" applyBorder="1" applyAlignment="1">
      <alignment horizontal="right" vertical="center"/>
    </xf>
    <xf numFmtId="49" fontId="8" fillId="36" borderId="30" xfId="0" applyNumberFormat="1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37" fillId="36" borderId="28" xfId="0" applyFont="1" applyFill="1" applyBorder="1" applyAlignment="1">
      <alignment horizontal="center" vertical="center" shrinkToFit="1"/>
    </xf>
    <xf numFmtId="49" fontId="13" fillId="36" borderId="0" xfId="0" applyNumberFormat="1" applyFont="1" applyFill="1" applyBorder="1" applyAlignment="1">
      <alignment horizontal="left"/>
    </xf>
    <xf numFmtId="49" fontId="27" fillId="36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49" fontId="22" fillId="33" borderId="29" xfId="0" applyNumberFormat="1" applyFont="1" applyFill="1" applyBorder="1" applyAlignment="1">
      <alignment horizontal="center" vertical="center"/>
    </xf>
    <xf numFmtId="49" fontId="22" fillId="33" borderId="29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30" fillId="36" borderId="29" xfId="0" applyNumberFormat="1" applyFont="1" applyFill="1" applyBorder="1" applyAlignment="1">
      <alignment vertical="center"/>
    </xf>
    <xf numFmtId="0" fontId="0" fillId="36" borderId="32" xfId="0" applyFill="1" applyBorder="1" applyAlignment="1">
      <alignment/>
    </xf>
    <xf numFmtId="49" fontId="8" fillId="36" borderId="27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30" fillId="36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49" fontId="8" fillId="36" borderId="30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49" fontId="26" fillId="36" borderId="31" xfId="0" applyNumberFormat="1" applyFont="1" applyFill="1" applyBorder="1" applyAlignment="1">
      <alignment horizontal="center" vertical="center"/>
    </xf>
    <xf numFmtId="49" fontId="8" fillId="36" borderId="32" xfId="0" applyNumberFormat="1" applyFont="1" applyFill="1" applyBorder="1" applyAlignment="1">
      <alignment vertical="center"/>
    </xf>
    <xf numFmtId="49" fontId="26" fillId="36" borderId="27" xfId="0" applyNumberFormat="1" applyFont="1" applyFill="1" applyBorder="1" applyAlignment="1">
      <alignment horizontal="center" vertical="center"/>
    </xf>
    <xf numFmtId="49" fontId="26" fillId="36" borderId="30" xfId="0" applyNumberFormat="1" applyFont="1" applyFill="1" applyBorder="1" applyAlignment="1">
      <alignment horizontal="center" vertical="center"/>
    </xf>
    <xf numFmtId="49" fontId="8" fillId="36" borderId="27" xfId="0" applyNumberFormat="1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0" fillId="36" borderId="14" xfId="0" applyFill="1" applyBorder="1" applyAlignment="1">
      <alignment horizontal="center" vertical="center"/>
    </xf>
    <xf numFmtId="0" fontId="1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right" vertical="center" shrinkToFit="1"/>
    </xf>
    <xf numFmtId="0" fontId="13" fillId="36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39" fillId="36" borderId="0" xfId="0" applyFont="1" applyFill="1" applyAlignment="1">
      <alignment horizontal="center"/>
    </xf>
    <xf numFmtId="0" fontId="39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3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37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40" fillId="36" borderId="28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0" xfId="0" applyNumberFormat="1" applyFont="1" applyFill="1" applyBorder="1" applyAlignment="1">
      <alignment vertical="center"/>
    </xf>
    <xf numFmtId="49" fontId="36" fillId="34" borderId="10" xfId="0" applyNumberFormat="1" applyFont="1" applyFill="1" applyBorder="1" applyAlignment="1">
      <alignment vertical="center" shrinkToFit="1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49" fontId="36" fillId="34" borderId="11" xfId="0" applyNumberFormat="1" applyFont="1" applyFill="1" applyBorder="1" applyAlignment="1">
      <alignment vertical="center" shrinkToFit="1"/>
    </xf>
    <xf numFmtId="49" fontId="36" fillId="34" borderId="38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38" xfId="0" applyFont="1" applyFill="1" applyBorder="1" applyAlignment="1">
      <alignment wrapText="1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22" fillId="33" borderId="39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77" fillId="38" borderId="0" xfId="0" applyFont="1" applyFill="1" applyAlignment="1">
      <alignment horizontal="center"/>
    </xf>
    <xf numFmtId="0" fontId="78" fillId="38" borderId="0" xfId="0" applyFont="1" applyFill="1" applyAlignment="1">
      <alignment horizontal="center"/>
    </xf>
    <xf numFmtId="0" fontId="29" fillId="43" borderId="22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49" fontId="10" fillId="35" borderId="25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16" fillId="36" borderId="15" xfId="0" applyNumberFormat="1" applyFont="1" applyFill="1" applyBorder="1" applyAlignment="1">
      <alignment horizontal="left" vertical="center"/>
    </xf>
    <xf numFmtId="49" fontId="0" fillId="33" borderId="0" xfId="0" applyNumberFormat="1" applyFill="1" applyAlignment="1">
      <alignment/>
    </xf>
    <xf numFmtId="49" fontId="6" fillId="33" borderId="0" xfId="0" applyNumberFormat="1" applyFont="1" applyFill="1" applyAlignment="1">
      <alignment horizontal="center" shrinkToFit="1"/>
    </xf>
    <xf numFmtId="49" fontId="0" fillId="36" borderId="0" xfId="0" applyNumberFormat="1" applyFill="1" applyAlignment="1">
      <alignment/>
    </xf>
    <xf numFmtId="49" fontId="37" fillId="36" borderId="28" xfId="0" applyNumberFormat="1" applyFont="1" applyFill="1" applyBorder="1" applyAlignment="1">
      <alignment horizontal="center" vertical="center" shrinkToFit="1"/>
    </xf>
    <xf numFmtId="49" fontId="38" fillId="36" borderId="28" xfId="0" applyNumberFormat="1" applyFont="1" applyFill="1" applyBorder="1" applyAlignment="1">
      <alignment vertical="center"/>
    </xf>
    <xf numFmtId="49" fontId="13" fillId="36" borderId="28" xfId="0" applyNumberFormat="1" applyFont="1" applyFill="1" applyBorder="1" applyAlignment="1">
      <alignment/>
    </xf>
    <xf numFmtId="49" fontId="0" fillId="38" borderId="28" xfId="0" applyNumberFormat="1" applyFill="1" applyBorder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ill="1" applyAlignment="1">
      <alignment horizontal="center"/>
    </xf>
    <xf numFmtId="49" fontId="37" fillId="36" borderId="28" xfId="0" applyNumberFormat="1" applyFont="1" applyFill="1" applyBorder="1" applyAlignment="1">
      <alignment vertical="center"/>
    </xf>
    <xf numFmtId="49" fontId="0" fillId="36" borderId="28" xfId="0" applyNumberFormat="1" applyFont="1" applyFill="1" applyBorder="1" applyAlignment="1">
      <alignment/>
    </xf>
    <xf numFmtId="49" fontId="0" fillId="36" borderId="0" xfId="0" applyNumberFormat="1" applyFont="1" applyFill="1" applyAlignment="1">
      <alignment/>
    </xf>
    <xf numFmtId="49" fontId="38" fillId="36" borderId="28" xfId="0" applyNumberFormat="1" applyFont="1" applyFill="1" applyBorder="1" applyAlignment="1">
      <alignment horizontal="center" vertical="center" shrinkToFit="1"/>
    </xf>
    <xf numFmtId="49" fontId="0" fillId="36" borderId="0" xfId="0" applyNumberFormat="1" applyFill="1" applyBorder="1" applyAlignment="1">
      <alignment horizontal="center" vertical="center"/>
    </xf>
    <xf numFmtId="49" fontId="0" fillId="36" borderId="28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49" fontId="0" fillId="33" borderId="26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28" xfId="0" applyNumberFormat="1" applyFont="1" applyFill="1" applyBorder="1" applyAlignment="1">
      <alignment/>
    </xf>
    <xf numFmtId="49" fontId="0" fillId="38" borderId="28" xfId="0" applyNumberFormat="1" applyFont="1" applyFill="1" applyBorder="1" applyAlignment="1">
      <alignment horizontal="center"/>
    </xf>
    <xf numFmtId="49" fontId="10" fillId="36" borderId="0" xfId="0" applyNumberFormat="1" applyFont="1" applyFill="1" applyAlignment="1">
      <alignment vertical="top" shrinkToFit="1"/>
    </xf>
    <xf numFmtId="14" fontId="16" fillId="36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49" fontId="0" fillId="44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13" fillId="36" borderId="10" xfId="0" applyFont="1" applyFill="1" applyBorder="1" applyAlignment="1">
      <alignment horizontal="center"/>
    </xf>
    <xf numFmtId="0" fontId="13" fillId="36" borderId="38" xfId="0" applyFont="1" applyFill="1" applyBorder="1" applyAlignment="1">
      <alignment horizontal="center"/>
    </xf>
    <xf numFmtId="49" fontId="0" fillId="36" borderId="28" xfId="0" applyNumberFormat="1" applyFill="1" applyBorder="1" applyAlignment="1">
      <alignment horizontal="center"/>
    </xf>
    <xf numFmtId="49" fontId="8" fillId="36" borderId="29" xfId="0" applyNumberFormat="1" applyFont="1" applyFill="1" applyBorder="1" applyAlignment="1">
      <alignment horizontal="left" vertical="center"/>
    </xf>
    <xf numFmtId="49" fontId="8" fillId="36" borderId="0" xfId="0" applyNumberFormat="1" applyFont="1" applyFill="1" applyBorder="1" applyAlignment="1">
      <alignment horizontal="left" vertical="center"/>
    </xf>
    <xf numFmtId="0" fontId="0" fillId="36" borderId="28" xfId="0" applyFill="1" applyBorder="1" applyAlignment="1">
      <alignment horizontal="center"/>
    </xf>
    <xf numFmtId="49" fontId="41" fillId="36" borderId="10" xfId="0" applyNumberFormat="1" applyFont="1" applyFill="1" applyBorder="1" applyAlignment="1">
      <alignment horizontal="center"/>
    </xf>
    <xf numFmtId="49" fontId="41" fillId="36" borderId="38" xfId="0" applyNumberFormat="1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36" borderId="38" xfId="0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41" fillId="36" borderId="28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0"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8" sqref="D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83" t="s">
        <v>89</v>
      </c>
      <c r="B1" s="3"/>
      <c r="C1" s="3"/>
      <c r="D1" s="84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11" t="s">
        <v>17</v>
      </c>
      <c r="B5" s="20"/>
      <c r="C5" s="20"/>
      <c r="D5" s="20"/>
      <c r="E5" s="229"/>
      <c r="F5" s="21"/>
      <c r="G5" s="22"/>
    </row>
    <row r="6" spans="1:7" s="2" customFormat="1" ht="24">
      <c r="A6" s="265" t="s">
        <v>104</v>
      </c>
      <c r="B6" s="230"/>
      <c r="C6" s="23"/>
      <c r="D6" s="24"/>
      <c r="E6" s="25"/>
      <c r="F6" s="5"/>
      <c r="G6" s="5"/>
    </row>
    <row r="7" spans="1:7" s="18" customFormat="1" ht="15" customHeight="1">
      <c r="A7" s="218" t="s">
        <v>90</v>
      </c>
      <c r="B7" s="218" t="s">
        <v>91</v>
      </c>
      <c r="C7" s="218" t="s">
        <v>92</v>
      </c>
      <c r="D7" s="218" t="s">
        <v>93</v>
      </c>
      <c r="E7" s="218" t="s">
        <v>94</v>
      </c>
      <c r="F7" s="21"/>
      <c r="G7" s="22"/>
    </row>
    <row r="8" spans="1:7" s="2" customFormat="1" ht="16.5" customHeight="1">
      <c r="A8" s="131" t="s">
        <v>108</v>
      </c>
      <c r="B8" s="131" t="s">
        <v>109</v>
      </c>
      <c r="C8" s="131" t="s">
        <v>110</v>
      </c>
      <c r="D8" s="131" t="s">
        <v>111</v>
      </c>
      <c r="E8" s="131"/>
      <c r="F8" s="5"/>
      <c r="G8" s="5"/>
    </row>
    <row r="9" spans="1:7" s="2" customFormat="1" ht="15" customHeight="1">
      <c r="A9" s="111" t="s">
        <v>18</v>
      </c>
      <c r="B9" s="20"/>
      <c r="C9" s="112" t="s">
        <v>19</v>
      </c>
      <c r="D9" s="112"/>
      <c r="E9" s="113" t="s">
        <v>20</v>
      </c>
      <c r="F9" s="5"/>
      <c r="G9" s="5"/>
    </row>
    <row r="10" spans="1:7" s="2" customFormat="1" ht="12.75">
      <c r="A10" s="26" t="s">
        <v>105</v>
      </c>
      <c r="B10" s="27"/>
      <c r="C10" s="28" t="s">
        <v>106</v>
      </c>
      <c r="D10" s="112" t="s">
        <v>52</v>
      </c>
      <c r="E10" s="222" t="s">
        <v>107</v>
      </c>
      <c r="F10" s="5"/>
      <c r="G10" s="5"/>
    </row>
    <row r="11" spans="1:7" ht="12.75">
      <c r="A11" s="19"/>
      <c r="B11" s="20"/>
      <c r="C11" s="125" t="s">
        <v>50</v>
      </c>
      <c r="D11" s="125" t="s">
        <v>86</v>
      </c>
      <c r="E11" s="125" t="s">
        <v>87</v>
      </c>
      <c r="F11" s="30"/>
      <c r="G11" s="30"/>
    </row>
    <row r="12" spans="1:7" s="2" customFormat="1" ht="12.75">
      <c r="A12" s="85"/>
      <c r="B12" s="5"/>
      <c r="C12" s="132"/>
      <c r="D12" s="132"/>
      <c r="E12" s="132"/>
      <c r="F12" s="5"/>
      <c r="G12" s="5"/>
    </row>
    <row r="13" spans="1:7" ht="7.5" customHeight="1">
      <c r="A13" s="30"/>
      <c r="B13" s="30"/>
      <c r="C13" s="30"/>
      <c r="D13" s="30"/>
      <c r="E13" s="31"/>
      <c r="F13" s="30"/>
      <c r="G13" s="30"/>
    </row>
    <row r="14" spans="1:7" ht="112.5" customHeight="1">
      <c r="A14" s="30"/>
      <c r="B14" s="30"/>
      <c r="C14" s="30"/>
      <c r="D14" s="30"/>
      <c r="E14" s="31"/>
      <c r="F14" s="30"/>
      <c r="G14" s="30"/>
    </row>
    <row r="15" spans="1:7" ht="18.75" customHeight="1">
      <c r="A15" s="29"/>
      <c r="B15" s="29"/>
      <c r="C15" s="29"/>
      <c r="D15" s="29"/>
      <c r="E15" s="31"/>
      <c r="F15" s="30"/>
      <c r="G15" s="30"/>
    </row>
    <row r="16" spans="1:7" ht="17.25" customHeight="1">
      <c r="A16" s="29"/>
      <c r="B16" s="29"/>
      <c r="C16" s="29"/>
      <c r="D16" s="29"/>
      <c r="E16" s="32"/>
      <c r="F16" s="30"/>
      <c r="G16" s="30"/>
    </row>
    <row r="17" spans="1:7" ht="12.75" customHeight="1">
      <c r="A17" s="33"/>
      <c r="B17" s="217"/>
      <c r="C17" s="86"/>
      <c r="D17" s="34"/>
      <c r="E17" s="31"/>
      <c r="F17" s="30"/>
      <c r="G17" s="30"/>
    </row>
    <row r="18" spans="1:7" ht="12.75">
      <c r="A18" s="30"/>
      <c r="B18" s="30"/>
      <c r="C18" s="30"/>
      <c r="D18" s="30"/>
      <c r="E18" s="31"/>
      <c r="F18" s="30"/>
      <c r="G18" s="30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B11" sqref="B11"/>
    </sheetView>
  </sheetViews>
  <sheetFormatPr defaultColWidth="9.140625" defaultRowHeight="12.75"/>
  <cols>
    <col min="1" max="1" width="3.8515625" style="0" customWidth="1"/>
    <col min="2" max="2" width="17.140625" style="0" customWidth="1"/>
    <col min="3" max="3" width="14.28125" style="0" customWidth="1"/>
    <col min="4" max="4" width="12.00390625" style="35" customWidth="1"/>
    <col min="5" max="5" width="10.57421875" style="246" customWidth="1"/>
    <col min="6" max="6" width="6.140625" style="48" hidden="1" customWidth="1"/>
    <col min="7" max="7" width="28.71093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KORO. CSB DÖNTŐ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45" t="str">
        <f>Altalanos!$A$8</f>
        <v>F14</v>
      </c>
      <c r="D2" s="59"/>
      <c r="E2" s="116" t="s">
        <v>29</v>
      </c>
      <c r="F2" s="49"/>
      <c r="G2" s="49"/>
      <c r="H2" s="238"/>
      <c r="I2" s="238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31" t="s">
        <v>42</v>
      </c>
      <c r="B3" s="236"/>
      <c r="C3" s="236"/>
      <c r="D3" s="236"/>
      <c r="E3" s="236"/>
      <c r="F3" s="236"/>
      <c r="G3" s="236"/>
      <c r="H3" s="236"/>
      <c r="I3" s="237"/>
      <c r="J3" s="54"/>
      <c r="K3" s="60"/>
      <c r="L3" s="60"/>
      <c r="M3" s="60"/>
      <c r="N3" s="133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8" t="s">
        <v>25</v>
      </c>
      <c r="I4" s="243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2022.08.26-28</v>
      </c>
      <c r="B5" s="110"/>
      <c r="C5" s="46" t="str">
        <f>Altalanos!$C$10</f>
        <v>Balatonboglár</v>
      </c>
      <c r="D5" s="47" t="str">
        <f>Altalanos!$D$10</f>
        <v>  </v>
      </c>
      <c r="E5" s="47"/>
      <c r="F5" s="47"/>
      <c r="G5" s="47"/>
      <c r="H5" s="130" t="str">
        <f>Altalanos!$E$10</f>
        <v>Droppa Erika</v>
      </c>
      <c r="I5" s="249"/>
      <c r="J5" s="66"/>
      <c r="K5" s="41"/>
      <c r="L5" s="41"/>
      <c r="M5" s="41"/>
      <c r="N5" s="66"/>
      <c r="O5" s="47"/>
      <c r="P5" s="47"/>
      <c r="Q5" s="256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95</v>
      </c>
      <c r="H6" s="239" t="s">
        <v>32</v>
      </c>
      <c r="I6" s="240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114</v>
      </c>
      <c r="C7" s="50"/>
      <c r="D7" s="51"/>
      <c r="E7" s="119"/>
      <c r="F7" s="232"/>
      <c r="G7" s="233"/>
      <c r="H7" s="51"/>
      <c r="I7" s="51"/>
      <c r="J7" s="101"/>
      <c r="K7" s="99"/>
      <c r="L7" s="103"/>
      <c r="M7" s="99"/>
      <c r="N7" s="94"/>
      <c r="O7" s="51">
        <v>31</v>
      </c>
      <c r="P7" s="68"/>
      <c r="Q7" s="52"/>
    </row>
    <row r="8" spans="1:17" s="11" customFormat="1" ht="18.75" customHeight="1">
      <c r="A8" s="104">
        <v>2</v>
      </c>
      <c r="B8" s="50" t="s">
        <v>113</v>
      </c>
      <c r="C8" s="50"/>
      <c r="D8" s="51"/>
      <c r="E8" s="119"/>
      <c r="F8" s="234"/>
      <c r="G8" s="235"/>
      <c r="H8" s="51"/>
      <c r="I8" s="51"/>
      <c r="J8" s="101"/>
      <c r="K8" s="99"/>
      <c r="L8" s="103"/>
      <c r="M8" s="99"/>
      <c r="N8" s="94"/>
      <c r="O8" s="51">
        <v>36</v>
      </c>
      <c r="P8" s="68"/>
      <c r="Q8" s="52"/>
    </row>
    <row r="9" spans="1:17" s="11" customFormat="1" ht="18.75" customHeight="1">
      <c r="A9" s="104">
        <v>3</v>
      </c>
      <c r="B9" s="50" t="s">
        <v>117</v>
      </c>
      <c r="C9" s="50"/>
      <c r="D9" s="51"/>
      <c r="E9" s="119"/>
      <c r="F9" s="234"/>
      <c r="G9" s="235"/>
      <c r="H9" s="51"/>
      <c r="I9" s="51"/>
      <c r="J9" s="101"/>
      <c r="K9" s="99"/>
      <c r="L9" s="103"/>
      <c r="M9" s="99"/>
      <c r="N9" s="94"/>
      <c r="O9" s="51">
        <v>65</v>
      </c>
      <c r="P9" s="245"/>
      <c r="Q9" s="124"/>
    </row>
    <row r="10" spans="1:17" s="11" customFormat="1" ht="18.75" customHeight="1">
      <c r="A10" s="104">
        <v>4</v>
      </c>
      <c r="B10" s="50" t="s">
        <v>116</v>
      </c>
      <c r="C10" s="50"/>
      <c r="D10" s="51"/>
      <c r="E10" s="119"/>
      <c r="F10" s="234"/>
      <c r="G10" s="235"/>
      <c r="H10" s="51"/>
      <c r="I10" s="51"/>
      <c r="J10" s="101"/>
      <c r="K10" s="99"/>
      <c r="L10" s="103"/>
      <c r="M10" s="99"/>
      <c r="N10" s="94"/>
      <c r="O10" s="51">
        <v>76</v>
      </c>
      <c r="P10" s="244"/>
      <c r="Q10" s="241"/>
    </row>
    <row r="11" spans="1:17" s="11" customFormat="1" ht="18.75" customHeight="1">
      <c r="A11" s="104">
        <v>5</v>
      </c>
      <c r="B11" s="50" t="s">
        <v>115</v>
      </c>
      <c r="C11" s="50"/>
      <c r="D11" s="51"/>
      <c r="E11" s="119"/>
      <c r="F11" s="234"/>
      <c r="G11" s="235"/>
      <c r="H11" s="51"/>
      <c r="I11" s="51"/>
      <c r="J11" s="101"/>
      <c r="K11" s="99"/>
      <c r="L11" s="103"/>
      <c r="M11" s="99"/>
      <c r="N11" s="94"/>
      <c r="O11" s="51">
        <v>86</v>
      </c>
      <c r="P11" s="244"/>
      <c r="Q11" s="241"/>
    </row>
    <row r="12" spans="1:17" s="11" customFormat="1" ht="18.75" customHeight="1">
      <c r="A12" s="104">
        <v>6</v>
      </c>
      <c r="B12" s="50" t="s">
        <v>118</v>
      </c>
      <c r="C12" s="50"/>
      <c r="D12" s="51"/>
      <c r="E12" s="119"/>
      <c r="F12" s="234"/>
      <c r="G12" s="235"/>
      <c r="H12" s="51"/>
      <c r="I12" s="51"/>
      <c r="J12" s="101"/>
      <c r="K12" s="99"/>
      <c r="L12" s="103"/>
      <c r="M12" s="99"/>
      <c r="N12" s="94"/>
      <c r="O12" s="51">
        <v>102</v>
      </c>
      <c r="P12" s="244"/>
      <c r="Q12" s="241"/>
    </row>
    <row r="13" spans="1:17" s="11" customFormat="1" ht="18.75" customHeight="1">
      <c r="A13" s="104">
        <v>7</v>
      </c>
      <c r="B13" s="50" t="s">
        <v>112</v>
      </c>
      <c r="C13" s="50"/>
      <c r="D13" s="51"/>
      <c r="E13" s="119"/>
      <c r="F13" s="234"/>
      <c r="G13" s="235"/>
      <c r="H13" s="51"/>
      <c r="I13" s="51"/>
      <c r="J13" s="101"/>
      <c r="K13" s="99"/>
      <c r="L13" s="103"/>
      <c r="M13" s="99"/>
      <c r="N13" s="94"/>
      <c r="O13" s="261">
        <v>111</v>
      </c>
      <c r="P13" s="244"/>
      <c r="Q13" s="241"/>
    </row>
    <row r="14" spans="1:17" s="11" customFormat="1" ht="18.75" customHeight="1">
      <c r="A14" s="104">
        <v>8</v>
      </c>
      <c r="B14" s="50" t="s">
        <v>119</v>
      </c>
      <c r="C14" s="50"/>
      <c r="D14" s="51"/>
      <c r="E14" s="119"/>
      <c r="F14" s="234"/>
      <c r="G14" s="235"/>
      <c r="H14" s="51"/>
      <c r="I14" s="51"/>
      <c r="J14" s="101"/>
      <c r="K14" s="99"/>
      <c r="L14" s="103"/>
      <c r="M14" s="99"/>
      <c r="N14" s="94"/>
      <c r="O14" s="51">
        <v>255</v>
      </c>
      <c r="P14" s="244"/>
      <c r="Q14" s="241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6"/>
      <c r="N15" s="94"/>
      <c r="O15" s="51"/>
      <c r="P15" s="52"/>
      <c r="Q15" s="52"/>
    </row>
    <row r="16" spans="1:17" s="11" customFormat="1" ht="18.75" customHeight="1">
      <c r="A16" s="104">
        <v>10</v>
      </c>
      <c r="B16" s="260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6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6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6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6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6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6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6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6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6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6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6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6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62"/>
      <c r="F28" s="250"/>
      <c r="G28" s="251"/>
      <c r="H28" s="51"/>
      <c r="I28" s="51"/>
      <c r="J28" s="101"/>
      <c r="K28" s="99"/>
      <c r="L28" s="103"/>
      <c r="M28" s="126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63"/>
      <c r="F29" s="67"/>
      <c r="G29" s="67"/>
      <c r="H29" s="51"/>
      <c r="I29" s="51"/>
      <c r="J29" s="101"/>
      <c r="K29" s="99"/>
      <c r="L29" s="103"/>
      <c r="M29" s="126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6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6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47"/>
      <c r="F32" s="67"/>
      <c r="G32" s="67"/>
      <c r="H32" s="51"/>
      <c r="I32" s="51"/>
      <c r="J32" s="101"/>
      <c r="K32" s="99"/>
      <c r="L32" s="103"/>
      <c r="M32" s="126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6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6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6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6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6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42"/>
      <c r="I38" s="129"/>
      <c r="J38" s="101"/>
      <c r="K38" s="99"/>
      <c r="L38" s="103"/>
      <c r="M38" s="126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42"/>
      <c r="I39" s="129"/>
      <c r="J39" s="101"/>
      <c r="K39" s="99"/>
      <c r="L39" s="103"/>
      <c r="M39" s="126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42"/>
      <c r="I40" s="129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71">IF(Q40="",999,Q40)</f>
        <v>999</v>
      </c>
      <c r="M40" s="126">
        <f aca="true" t="shared" si="1" ref="M40:M71">IF(P40=999,999,1)</f>
        <v>999</v>
      </c>
      <c r="N40" s="124"/>
      <c r="O40" s="97"/>
      <c r="P40" s="68">
        <f aca="true" t="shared" si="2" ref="P40:P71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42"/>
      <c r="I41" s="129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6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42"/>
      <c r="I42" s="129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6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42"/>
      <c r="I43" s="129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6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42"/>
      <c r="I44" s="129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6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42"/>
      <c r="I45" s="129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6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42"/>
      <c r="I46" s="129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6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42"/>
      <c r="I47" s="129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6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42"/>
      <c r="I48" s="129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6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42"/>
      <c r="I49" s="129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6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42"/>
      <c r="I50" s="129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6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42"/>
      <c r="I51" s="129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6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42"/>
      <c r="I52" s="129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6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42"/>
      <c r="I53" s="129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6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42"/>
      <c r="I54" s="129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6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42"/>
      <c r="I55" s="129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6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42"/>
      <c r="I56" s="129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6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42"/>
      <c r="I57" s="129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6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42"/>
      <c r="I58" s="129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6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42"/>
      <c r="I59" s="129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6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42"/>
      <c r="I60" s="129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6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42"/>
      <c r="I61" s="129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6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42"/>
      <c r="I62" s="129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6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42"/>
      <c r="I63" s="129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6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42"/>
      <c r="I64" s="129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6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42"/>
      <c r="I65" s="129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6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42"/>
      <c r="I66" s="129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6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42"/>
      <c r="I67" s="129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6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42"/>
      <c r="I68" s="129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6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42"/>
      <c r="I69" s="129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6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42"/>
      <c r="I70" s="129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6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42"/>
      <c r="I71" s="129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6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42"/>
      <c r="I72" s="129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aca="true" t="shared" si="3" ref="L72:L100">IF(Q72="",999,Q72)</f>
        <v>999</v>
      </c>
      <c r="M72" s="126">
        <f aca="true" t="shared" si="4" ref="M72:M100">IF(P72=999,999,1)</f>
        <v>999</v>
      </c>
      <c r="N72" s="124"/>
      <c r="O72" s="97"/>
      <c r="P72" s="68">
        <f aca="true" t="shared" si="5" ref="P72:P100">IF(N72="DA",1,IF(N72="WC",2,IF(N72="SE",3,IF(N72="Q",4,IF(N72="LL",5,999)))))</f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42"/>
      <c r="I73" s="129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3"/>
        <v>999</v>
      </c>
      <c r="M73" s="126">
        <f t="shared" si="4"/>
        <v>999</v>
      </c>
      <c r="N73" s="124"/>
      <c r="O73" s="97"/>
      <c r="P73" s="68">
        <f t="shared" si="5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42"/>
      <c r="I74" s="129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3"/>
        <v>999</v>
      </c>
      <c r="M74" s="126">
        <f t="shared" si="4"/>
        <v>999</v>
      </c>
      <c r="N74" s="124"/>
      <c r="O74" s="97"/>
      <c r="P74" s="68">
        <f t="shared" si="5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42"/>
      <c r="I75" s="129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3"/>
        <v>999</v>
      </c>
      <c r="M75" s="126">
        <f t="shared" si="4"/>
        <v>999</v>
      </c>
      <c r="N75" s="124"/>
      <c r="O75" s="97"/>
      <c r="P75" s="68">
        <f t="shared" si="5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42"/>
      <c r="I76" s="129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3"/>
        <v>999</v>
      </c>
      <c r="M76" s="126">
        <f t="shared" si="4"/>
        <v>999</v>
      </c>
      <c r="N76" s="124"/>
      <c r="O76" s="97"/>
      <c r="P76" s="68">
        <f t="shared" si="5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42"/>
      <c r="I77" s="129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3"/>
        <v>999</v>
      </c>
      <c r="M77" s="126">
        <f t="shared" si="4"/>
        <v>999</v>
      </c>
      <c r="N77" s="124"/>
      <c r="O77" s="97"/>
      <c r="P77" s="68">
        <f t="shared" si="5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42"/>
      <c r="I78" s="129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3"/>
        <v>999</v>
      </c>
      <c r="M78" s="126">
        <f t="shared" si="4"/>
        <v>999</v>
      </c>
      <c r="N78" s="124"/>
      <c r="O78" s="97"/>
      <c r="P78" s="68">
        <f t="shared" si="5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42"/>
      <c r="I79" s="129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3"/>
        <v>999</v>
      </c>
      <c r="M79" s="126">
        <f t="shared" si="4"/>
        <v>999</v>
      </c>
      <c r="N79" s="124"/>
      <c r="O79" s="97"/>
      <c r="P79" s="68">
        <f t="shared" si="5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42"/>
      <c r="I80" s="129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3"/>
        <v>999</v>
      </c>
      <c r="M80" s="126">
        <f t="shared" si="4"/>
        <v>999</v>
      </c>
      <c r="N80" s="124"/>
      <c r="O80" s="97"/>
      <c r="P80" s="68">
        <f t="shared" si="5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42"/>
      <c r="I81" s="129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3"/>
        <v>999</v>
      </c>
      <c r="M81" s="126">
        <f t="shared" si="4"/>
        <v>999</v>
      </c>
      <c r="N81" s="124"/>
      <c r="O81" s="97"/>
      <c r="P81" s="68">
        <f t="shared" si="5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42"/>
      <c r="I82" s="129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3"/>
        <v>999</v>
      </c>
      <c r="M82" s="126">
        <f t="shared" si="4"/>
        <v>999</v>
      </c>
      <c r="N82" s="124"/>
      <c r="O82" s="97"/>
      <c r="P82" s="68">
        <f t="shared" si="5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42"/>
      <c r="I83" s="129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3"/>
        <v>999</v>
      </c>
      <c r="M83" s="126">
        <f t="shared" si="4"/>
        <v>999</v>
      </c>
      <c r="N83" s="124"/>
      <c r="O83" s="97"/>
      <c r="P83" s="68">
        <f t="shared" si="5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42"/>
      <c r="I84" s="129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3"/>
        <v>999</v>
      </c>
      <c r="M84" s="126">
        <f t="shared" si="4"/>
        <v>999</v>
      </c>
      <c r="N84" s="124"/>
      <c r="O84" s="97"/>
      <c r="P84" s="68">
        <f t="shared" si="5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42"/>
      <c r="I85" s="129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3"/>
        <v>999</v>
      </c>
      <c r="M85" s="126">
        <f t="shared" si="4"/>
        <v>999</v>
      </c>
      <c r="N85" s="124"/>
      <c r="O85" s="97"/>
      <c r="P85" s="68">
        <f t="shared" si="5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42"/>
      <c r="I86" s="129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3"/>
        <v>999</v>
      </c>
      <c r="M86" s="126">
        <f t="shared" si="4"/>
        <v>999</v>
      </c>
      <c r="N86" s="124"/>
      <c r="O86" s="97"/>
      <c r="P86" s="68">
        <f t="shared" si="5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42"/>
      <c r="I87" s="129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3"/>
        <v>999</v>
      </c>
      <c r="M87" s="126">
        <f t="shared" si="4"/>
        <v>999</v>
      </c>
      <c r="N87" s="124"/>
      <c r="O87" s="97"/>
      <c r="P87" s="68">
        <f t="shared" si="5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42"/>
      <c r="I88" s="129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3"/>
        <v>999</v>
      </c>
      <c r="M88" s="126">
        <f t="shared" si="4"/>
        <v>999</v>
      </c>
      <c r="N88" s="124"/>
      <c r="O88" s="97"/>
      <c r="P88" s="68">
        <f t="shared" si="5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42"/>
      <c r="I89" s="129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3"/>
        <v>999</v>
      </c>
      <c r="M89" s="126">
        <f t="shared" si="4"/>
        <v>999</v>
      </c>
      <c r="N89" s="124"/>
      <c r="O89" s="97"/>
      <c r="P89" s="68">
        <f t="shared" si="5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42"/>
      <c r="I90" s="129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3"/>
        <v>999</v>
      </c>
      <c r="M90" s="126">
        <f t="shared" si="4"/>
        <v>999</v>
      </c>
      <c r="N90" s="124"/>
      <c r="O90" s="97"/>
      <c r="P90" s="68">
        <f t="shared" si="5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42"/>
      <c r="I91" s="129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3"/>
        <v>999</v>
      </c>
      <c r="M91" s="126">
        <f t="shared" si="4"/>
        <v>999</v>
      </c>
      <c r="N91" s="124"/>
      <c r="O91" s="97"/>
      <c r="P91" s="68">
        <f t="shared" si="5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42"/>
      <c r="I92" s="129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3"/>
        <v>999</v>
      </c>
      <c r="M92" s="126">
        <f t="shared" si="4"/>
        <v>999</v>
      </c>
      <c r="N92" s="124"/>
      <c r="O92" s="97"/>
      <c r="P92" s="68">
        <f t="shared" si="5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42"/>
      <c r="I93" s="129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3"/>
        <v>999</v>
      </c>
      <c r="M93" s="126">
        <f t="shared" si="4"/>
        <v>999</v>
      </c>
      <c r="N93" s="124"/>
      <c r="O93" s="97"/>
      <c r="P93" s="68">
        <f t="shared" si="5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42"/>
      <c r="I94" s="129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3"/>
        <v>999</v>
      </c>
      <c r="M94" s="126">
        <f t="shared" si="4"/>
        <v>999</v>
      </c>
      <c r="N94" s="124"/>
      <c r="O94" s="97"/>
      <c r="P94" s="68">
        <f t="shared" si="5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42"/>
      <c r="I95" s="129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3"/>
        <v>999</v>
      </c>
      <c r="M95" s="126">
        <f t="shared" si="4"/>
        <v>999</v>
      </c>
      <c r="N95" s="124"/>
      <c r="O95" s="97"/>
      <c r="P95" s="68">
        <f t="shared" si="5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42"/>
      <c r="I96" s="129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3"/>
        <v>999</v>
      </c>
      <c r="M96" s="126">
        <f t="shared" si="4"/>
        <v>999</v>
      </c>
      <c r="N96" s="124"/>
      <c r="O96" s="97"/>
      <c r="P96" s="68">
        <f t="shared" si="5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42"/>
      <c r="I97" s="129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3"/>
        <v>999</v>
      </c>
      <c r="M97" s="126">
        <f t="shared" si="4"/>
        <v>999</v>
      </c>
      <c r="N97" s="124"/>
      <c r="O97" s="97"/>
      <c r="P97" s="68">
        <f t="shared" si="5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42"/>
      <c r="I98" s="129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3"/>
        <v>999</v>
      </c>
      <c r="M98" s="126">
        <f t="shared" si="4"/>
        <v>999</v>
      </c>
      <c r="N98" s="124"/>
      <c r="O98" s="97"/>
      <c r="P98" s="68">
        <f t="shared" si="5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42"/>
      <c r="I99" s="129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3"/>
        <v>999</v>
      </c>
      <c r="M99" s="126">
        <f t="shared" si="4"/>
        <v>999</v>
      </c>
      <c r="N99" s="124"/>
      <c r="O99" s="97"/>
      <c r="P99" s="68">
        <f t="shared" si="5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42"/>
      <c r="I100" s="129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3"/>
        <v>999</v>
      </c>
      <c r="M100" s="126">
        <f t="shared" si="4"/>
        <v>999</v>
      </c>
      <c r="N100" s="124"/>
      <c r="O100" s="97"/>
      <c r="P100" s="68">
        <f t="shared" si="5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42"/>
      <c r="I101" s="129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aca="true" t="shared" si="6" ref="L101:L134">IF(Q101="",999,Q101)</f>
        <v>999</v>
      </c>
      <c r="M101" s="126">
        <f aca="true" t="shared" si="7" ref="M101:M134">IF(P101=999,999,1)</f>
        <v>999</v>
      </c>
      <c r="N101" s="124"/>
      <c r="O101" s="97"/>
      <c r="P101" s="68">
        <f aca="true" t="shared" si="8" ref="P101:P134">IF(N101="DA",1,IF(N101="WC",2,IF(N101="SE",3,IF(N101="Q",4,IF(N101="LL",5,999)))))</f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42"/>
      <c r="I102" s="129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6"/>
        <v>999</v>
      </c>
      <c r="M102" s="126">
        <f t="shared" si="7"/>
        <v>999</v>
      </c>
      <c r="N102" s="124"/>
      <c r="O102" s="97"/>
      <c r="P102" s="68">
        <f t="shared" si="8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42"/>
      <c r="I103" s="129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6"/>
        <v>999</v>
      </c>
      <c r="M103" s="126">
        <f t="shared" si="7"/>
        <v>999</v>
      </c>
      <c r="N103" s="124"/>
      <c r="O103" s="97"/>
      <c r="P103" s="68">
        <f t="shared" si="8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42"/>
      <c r="I104" s="129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t="shared" si="6"/>
        <v>999</v>
      </c>
      <c r="M104" s="126">
        <f t="shared" si="7"/>
        <v>999</v>
      </c>
      <c r="N104" s="124"/>
      <c r="O104" s="97"/>
      <c r="P104" s="68">
        <f t="shared" si="8"/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42"/>
      <c r="I105" s="129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6"/>
        <v>999</v>
      </c>
      <c r="M105" s="126">
        <f t="shared" si="7"/>
        <v>999</v>
      </c>
      <c r="N105" s="124"/>
      <c r="O105" s="97"/>
      <c r="P105" s="68">
        <f t="shared" si="8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42"/>
      <c r="I106" s="129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6"/>
        <v>999</v>
      </c>
      <c r="M106" s="126">
        <f t="shared" si="7"/>
        <v>999</v>
      </c>
      <c r="N106" s="124"/>
      <c r="O106" s="97"/>
      <c r="P106" s="68">
        <f t="shared" si="8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42"/>
      <c r="I107" s="129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6"/>
        <v>999</v>
      </c>
      <c r="M107" s="126">
        <f t="shared" si="7"/>
        <v>999</v>
      </c>
      <c r="N107" s="124"/>
      <c r="O107" s="97"/>
      <c r="P107" s="68">
        <f t="shared" si="8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42"/>
      <c r="I108" s="129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6"/>
        <v>999</v>
      </c>
      <c r="M108" s="126">
        <f t="shared" si="7"/>
        <v>999</v>
      </c>
      <c r="N108" s="124"/>
      <c r="O108" s="97"/>
      <c r="P108" s="68">
        <f t="shared" si="8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42"/>
      <c r="I109" s="129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6"/>
        <v>999</v>
      </c>
      <c r="M109" s="126">
        <f t="shared" si="7"/>
        <v>999</v>
      </c>
      <c r="N109" s="124"/>
      <c r="O109" s="97"/>
      <c r="P109" s="68">
        <f t="shared" si="8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42"/>
      <c r="I110" s="129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6"/>
        <v>999</v>
      </c>
      <c r="M110" s="126">
        <f t="shared" si="7"/>
        <v>999</v>
      </c>
      <c r="N110" s="124"/>
      <c r="O110" s="97"/>
      <c r="P110" s="68">
        <f t="shared" si="8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42"/>
      <c r="I111" s="129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6"/>
        <v>999</v>
      </c>
      <c r="M111" s="126">
        <f t="shared" si="7"/>
        <v>999</v>
      </c>
      <c r="N111" s="124"/>
      <c r="O111" s="97"/>
      <c r="P111" s="68">
        <f t="shared" si="8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42"/>
      <c r="I112" s="129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6"/>
        <v>999</v>
      </c>
      <c r="M112" s="126">
        <f t="shared" si="7"/>
        <v>999</v>
      </c>
      <c r="N112" s="124"/>
      <c r="O112" s="97"/>
      <c r="P112" s="68">
        <f t="shared" si="8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42"/>
      <c r="I113" s="129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6"/>
        <v>999</v>
      </c>
      <c r="M113" s="126">
        <f t="shared" si="7"/>
        <v>999</v>
      </c>
      <c r="N113" s="124"/>
      <c r="O113" s="97"/>
      <c r="P113" s="68">
        <f t="shared" si="8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42"/>
      <c r="I114" s="129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6"/>
        <v>999</v>
      </c>
      <c r="M114" s="126">
        <f t="shared" si="7"/>
        <v>999</v>
      </c>
      <c r="N114" s="124"/>
      <c r="O114" s="97"/>
      <c r="P114" s="68">
        <f t="shared" si="8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42"/>
      <c r="I115" s="129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6"/>
        <v>999</v>
      </c>
      <c r="M115" s="126">
        <f t="shared" si="7"/>
        <v>999</v>
      </c>
      <c r="N115" s="124"/>
      <c r="O115" s="97"/>
      <c r="P115" s="68">
        <f t="shared" si="8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42"/>
      <c r="I116" s="129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6"/>
        <v>999</v>
      </c>
      <c r="M116" s="126">
        <f t="shared" si="7"/>
        <v>999</v>
      </c>
      <c r="N116" s="124"/>
      <c r="O116" s="97"/>
      <c r="P116" s="68">
        <f t="shared" si="8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42"/>
      <c r="I117" s="129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6"/>
        <v>999</v>
      </c>
      <c r="M117" s="126">
        <f t="shared" si="7"/>
        <v>999</v>
      </c>
      <c r="N117" s="124"/>
      <c r="O117" s="97"/>
      <c r="P117" s="68">
        <f t="shared" si="8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42"/>
      <c r="I118" s="129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6"/>
        <v>999</v>
      </c>
      <c r="M118" s="126">
        <f t="shared" si="7"/>
        <v>999</v>
      </c>
      <c r="N118" s="124"/>
      <c r="O118" s="97"/>
      <c r="P118" s="68">
        <f t="shared" si="8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42"/>
      <c r="I119" s="129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6"/>
        <v>999</v>
      </c>
      <c r="M119" s="126">
        <f t="shared" si="7"/>
        <v>999</v>
      </c>
      <c r="N119" s="124"/>
      <c r="O119" s="97"/>
      <c r="P119" s="68">
        <f t="shared" si="8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42"/>
      <c r="I120" s="129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6"/>
        <v>999</v>
      </c>
      <c r="M120" s="126">
        <f t="shared" si="7"/>
        <v>999</v>
      </c>
      <c r="N120" s="124"/>
      <c r="O120" s="97"/>
      <c r="P120" s="68">
        <f t="shared" si="8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42"/>
      <c r="I121" s="129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6"/>
        <v>999</v>
      </c>
      <c r="M121" s="126">
        <f t="shared" si="7"/>
        <v>999</v>
      </c>
      <c r="N121" s="124"/>
      <c r="O121" s="97"/>
      <c r="P121" s="68">
        <f t="shared" si="8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42"/>
      <c r="I122" s="129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6"/>
        <v>999</v>
      </c>
      <c r="M122" s="126">
        <f t="shared" si="7"/>
        <v>999</v>
      </c>
      <c r="N122" s="124"/>
      <c r="O122" s="97"/>
      <c r="P122" s="68">
        <f t="shared" si="8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42"/>
      <c r="I123" s="129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6"/>
        <v>999</v>
      </c>
      <c r="M123" s="126">
        <f t="shared" si="7"/>
        <v>999</v>
      </c>
      <c r="N123" s="124"/>
      <c r="O123" s="97"/>
      <c r="P123" s="68">
        <f t="shared" si="8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42"/>
      <c r="I124" s="129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6"/>
        <v>999</v>
      </c>
      <c r="M124" s="126">
        <f t="shared" si="7"/>
        <v>999</v>
      </c>
      <c r="N124" s="124"/>
      <c r="O124" s="97"/>
      <c r="P124" s="68">
        <f t="shared" si="8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42"/>
      <c r="I125" s="129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6"/>
        <v>999</v>
      </c>
      <c r="M125" s="126">
        <f t="shared" si="7"/>
        <v>999</v>
      </c>
      <c r="N125" s="124"/>
      <c r="O125" s="97"/>
      <c r="P125" s="68">
        <f t="shared" si="8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42"/>
      <c r="I126" s="129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6"/>
        <v>999</v>
      </c>
      <c r="M126" s="126">
        <f t="shared" si="7"/>
        <v>999</v>
      </c>
      <c r="N126" s="124"/>
      <c r="O126" s="97"/>
      <c r="P126" s="68">
        <f t="shared" si="8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42"/>
      <c r="I127" s="129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6"/>
        <v>999</v>
      </c>
      <c r="M127" s="126">
        <f t="shared" si="7"/>
        <v>999</v>
      </c>
      <c r="N127" s="124"/>
      <c r="O127" s="97"/>
      <c r="P127" s="68">
        <f t="shared" si="8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42"/>
      <c r="I128" s="129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6"/>
        <v>999</v>
      </c>
      <c r="M128" s="126">
        <f t="shared" si="7"/>
        <v>999</v>
      </c>
      <c r="N128" s="124"/>
      <c r="O128" s="97"/>
      <c r="P128" s="68">
        <f t="shared" si="8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42"/>
      <c r="I129" s="129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6"/>
        <v>999</v>
      </c>
      <c r="M129" s="126">
        <f t="shared" si="7"/>
        <v>999</v>
      </c>
      <c r="N129" s="124"/>
      <c r="O129" s="97"/>
      <c r="P129" s="68">
        <f t="shared" si="8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42"/>
      <c r="I130" s="129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6"/>
        <v>999</v>
      </c>
      <c r="M130" s="126">
        <f t="shared" si="7"/>
        <v>999</v>
      </c>
      <c r="N130" s="124"/>
      <c r="O130" s="97"/>
      <c r="P130" s="68">
        <f t="shared" si="8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42"/>
      <c r="I131" s="129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6"/>
        <v>999</v>
      </c>
      <c r="M131" s="126">
        <f t="shared" si="7"/>
        <v>999</v>
      </c>
      <c r="N131" s="124"/>
      <c r="O131" s="97"/>
      <c r="P131" s="68">
        <f t="shared" si="8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42"/>
      <c r="I132" s="129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6"/>
        <v>999</v>
      </c>
      <c r="M132" s="126">
        <f t="shared" si="7"/>
        <v>999</v>
      </c>
      <c r="N132" s="124"/>
      <c r="O132" s="97"/>
      <c r="P132" s="68">
        <f t="shared" si="8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42"/>
      <c r="I133" s="129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6"/>
        <v>999</v>
      </c>
      <c r="M133" s="126">
        <f t="shared" si="7"/>
        <v>999</v>
      </c>
      <c r="N133" s="124"/>
      <c r="O133" s="97"/>
      <c r="P133" s="68">
        <f t="shared" si="8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42"/>
      <c r="I134" s="129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6"/>
        <v>999</v>
      </c>
      <c r="M134" s="126">
        <f t="shared" si="7"/>
        <v>999</v>
      </c>
      <c r="N134" s="124"/>
      <c r="O134" s="127"/>
      <c r="P134" s="128">
        <f t="shared" si="8"/>
        <v>999</v>
      </c>
      <c r="Q134" s="129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42"/>
      <c r="I135" s="129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aca="true" t="shared" si="9" ref="L135:L156">IF(Q135="",999,Q135)</f>
        <v>999</v>
      </c>
      <c r="M135" s="126">
        <f aca="true" t="shared" si="10" ref="M135:M156">IF(P135=999,999,1)</f>
        <v>999</v>
      </c>
      <c r="N135" s="124"/>
      <c r="O135" s="97"/>
      <c r="P135" s="68">
        <f aca="true" t="shared" si="11" ref="P135:P156">IF(N135="DA",1,IF(N135="WC",2,IF(N135="SE",3,IF(N135="Q",4,IF(N135="LL",5,999)))))</f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42"/>
      <c r="I136" s="129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9"/>
        <v>999</v>
      </c>
      <c r="M136" s="126">
        <f t="shared" si="10"/>
        <v>999</v>
      </c>
      <c r="N136" s="124"/>
      <c r="O136" s="97"/>
      <c r="P136" s="68">
        <f t="shared" si="11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42"/>
      <c r="I137" s="129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9"/>
        <v>999</v>
      </c>
      <c r="M137" s="126">
        <f t="shared" si="10"/>
        <v>999</v>
      </c>
      <c r="N137" s="124"/>
      <c r="O137" s="97"/>
      <c r="P137" s="68">
        <f t="shared" si="11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42"/>
      <c r="I138" s="129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9"/>
        <v>999</v>
      </c>
      <c r="M138" s="126">
        <f t="shared" si="10"/>
        <v>999</v>
      </c>
      <c r="N138" s="124"/>
      <c r="O138" s="97"/>
      <c r="P138" s="68">
        <f t="shared" si="11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42"/>
      <c r="I139" s="129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9"/>
        <v>999</v>
      </c>
      <c r="M139" s="126">
        <f t="shared" si="10"/>
        <v>999</v>
      </c>
      <c r="N139" s="124"/>
      <c r="O139" s="97"/>
      <c r="P139" s="68">
        <f t="shared" si="11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42"/>
      <c r="I140" s="129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9"/>
        <v>999</v>
      </c>
      <c r="M140" s="126">
        <f t="shared" si="10"/>
        <v>999</v>
      </c>
      <c r="N140" s="124"/>
      <c r="O140" s="97"/>
      <c r="P140" s="68">
        <f t="shared" si="11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42"/>
      <c r="I141" s="129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9"/>
        <v>999</v>
      </c>
      <c r="M141" s="126">
        <f t="shared" si="10"/>
        <v>999</v>
      </c>
      <c r="N141" s="124"/>
      <c r="O141" s="127"/>
      <c r="P141" s="128">
        <f t="shared" si="11"/>
        <v>999</v>
      </c>
      <c r="Q141" s="129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42"/>
      <c r="I142" s="129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9"/>
        <v>999</v>
      </c>
      <c r="M142" s="126">
        <f t="shared" si="10"/>
        <v>999</v>
      </c>
      <c r="N142" s="124"/>
      <c r="O142" s="97"/>
      <c r="P142" s="68">
        <f t="shared" si="11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42"/>
      <c r="I143" s="129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9"/>
        <v>999</v>
      </c>
      <c r="M143" s="126">
        <f t="shared" si="10"/>
        <v>999</v>
      </c>
      <c r="N143" s="124"/>
      <c r="O143" s="97"/>
      <c r="P143" s="68">
        <f t="shared" si="11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42"/>
      <c r="I144" s="129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9"/>
        <v>999</v>
      </c>
      <c r="M144" s="126">
        <f t="shared" si="10"/>
        <v>999</v>
      </c>
      <c r="N144" s="124"/>
      <c r="O144" s="97"/>
      <c r="P144" s="68">
        <f t="shared" si="11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42"/>
      <c r="I145" s="129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9"/>
        <v>999</v>
      </c>
      <c r="M145" s="126">
        <f t="shared" si="10"/>
        <v>999</v>
      </c>
      <c r="N145" s="124"/>
      <c r="O145" s="97"/>
      <c r="P145" s="68">
        <f t="shared" si="11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42"/>
      <c r="I146" s="129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9"/>
        <v>999</v>
      </c>
      <c r="M146" s="126">
        <f t="shared" si="10"/>
        <v>999</v>
      </c>
      <c r="N146" s="124"/>
      <c r="O146" s="97"/>
      <c r="P146" s="68">
        <f t="shared" si="11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42"/>
      <c r="I147" s="129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9"/>
        <v>999</v>
      </c>
      <c r="M147" s="126">
        <f t="shared" si="10"/>
        <v>999</v>
      </c>
      <c r="N147" s="124"/>
      <c r="O147" s="97"/>
      <c r="P147" s="68">
        <f t="shared" si="11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42"/>
      <c r="I148" s="129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9"/>
        <v>999</v>
      </c>
      <c r="M148" s="126">
        <f t="shared" si="10"/>
        <v>999</v>
      </c>
      <c r="N148" s="124"/>
      <c r="O148" s="127"/>
      <c r="P148" s="128">
        <f t="shared" si="11"/>
        <v>999</v>
      </c>
      <c r="Q148" s="129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42"/>
      <c r="I149" s="129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9"/>
        <v>999</v>
      </c>
      <c r="M149" s="126">
        <f t="shared" si="10"/>
        <v>999</v>
      </c>
      <c r="N149" s="124"/>
      <c r="O149" s="97"/>
      <c r="P149" s="68">
        <f t="shared" si="11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42"/>
      <c r="I150" s="129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9"/>
        <v>999</v>
      </c>
      <c r="M150" s="126">
        <f t="shared" si="10"/>
        <v>999</v>
      </c>
      <c r="N150" s="124"/>
      <c r="O150" s="97"/>
      <c r="P150" s="68">
        <f t="shared" si="11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42"/>
      <c r="I151" s="129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9"/>
        <v>999</v>
      </c>
      <c r="M151" s="126">
        <f t="shared" si="10"/>
        <v>999</v>
      </c>
      <c r="N151" s="124"/>
      <c r="O151" s="97"/>
      <c r="P151" s="68">
        <f t="shared" si="11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42"/>
      <c r="I152" s="129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9"/>
        <v>999</v>
      </c>
      <c r="M152" s="126">
        <f t="shared" si="10"/>
        <v>999</v>
      </c>
      <c r="N152" s="124"/>
      <c r="O152" s="97"/>
      <c r="P152" s="68">
        <f t="shared" si="11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42"/>
      <c r="I153" s="129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9"/>
        <v>999</v>
      </c>
      <c r="M153" s="126">
        <f t="shared" si="10"/>
        <v>999</v>
      </c>
      <c r="N153" s="124"/>
      <c r="O153" s="97"/>
      <c r="P153" s="68">
        <f t="shared" si="11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42"/>
      <c r="I154" s="129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9"/>
        <v>999</v>
      </c>
      <c r="M154" s="126">
        <f t="shared" si="10"/>
        <v>999</v>
      </c>
      <c r="N154" s="124"/>
      <c r="O154" s="97"/>
      <c r="P154" s="68">
        <f t="shared" si="11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42"/>
      <c r="I155" s="129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9"/>
        <v>999</v>
      </c>
      <c r="M155" s="126">
        <f t="shared" si="10"/>
        <v>999</v>
      </c>
      <c r="N155" s="124"/>
      <c r="O155" s="97"/>
      <c r="P155" s="68">
        <f t="shared" si="11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42"/>
      <c r="I156" s="129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9"/>
        <v>999</v>
      </c>
      <c r="M156" s="126">
        <f t="shared" si="10"/>
        <v>999</v>
      </c>
      <c r="N156" s="124"/>
      <c r="O156" s="97"/>
      <c r="P156" s="68">
        <f t="shared" si="11"/>
        <v>999</v>
      </c>
      <c r="Q156" s="52"/>
    </row>
  </sheetData>
  <sheetProtection/>
  <conditionalFormatting sqref="E7:E156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J7:J156">
    <cfRule type="cellIs" priority="17" dxfId="11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6">
    <tabColor rgb="FFFF0000"/>
  </sheetPr>
  <dimension ref="A1:AK54"/>
  <sheetViews>
    <sheetView zoomScalePageLayoutView="0" workbookViewId="0" topLeftCell="A1">
      <selection activeCell="L7" sqref="L7:L21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266" customWidth="1"/>
    <col min="5" max="5" width="9.28125" style="266" customWidth="1"/>
    <col min="6" max="6" width="7.140625" style="266" customWidth="1"/>
    <col min="7" max="7" width="9.28125" style="266" customWidth="1"/>
    <col min="8" max="8" width="7.140625" style="266" customWidth="1"/>
    <col min="9" max="9" width="9.28125" style="266" customWidth="1"/>
    <col min="10" max="10" width="7.8515625" style="266" customWidth="1"/>
    <col min="11" max="11" width="8.57421875" style="266" customWidth="1"/>
    <col min="12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288" t="str">
        <f>Altalanos!$A$6</f>
        <v>KORO. CSB DÖNTŐ</v>
      </c>
      <c r="B1" s="288"/>
      <c r="C1" s="288"/>
      <c r="D1" s="288"/>
      <c r="E1" s="288"/>
      <c r="F1" s="288"/>
      <c r="G1" s="134"/>
      <c r="H1" s="137" t="s">
        <v>44</v>
      </c>
      <c r="I1" s="135"/>
      <c r="J1" s="136"/>
      <c r="L1" s="138"/>
      <c r="M1" s="159"/>
      <c r="N1" s="161"/>
      <c r="O1" s="161" t="s">
        <v>11</v>
      </c>
      <c r="P1" s="161"/>
      <c r="Q1" s="162"/>
      <c r="R1" s="161"/>
      <c r="S1" s="163"/>
      <c r="AB1" s="225" t="e">
        <f>IF(Y5=1,CONCATENATE(VLOOKUP(Y3,AA16:AH30,2)),CONCATENATE(VLOOKUP(Y3,AA2:AK13,2)))</f>
        <v>#N/A</v>
      </c>
      <c r="AC1" s="225" t="e">
        <f>IF(Y5=1,CONCATENATE(VLOOKUP(Y3,AA16:AK30,3)),CONCATENATE(VLOOKUP(Y3,AA2:AK13,3)))</f>
        <v>#N/A</v>
      </c>
      <c r="AD1" s="225" t="e">
        <f>IF(Y5=1,CONCATENATE(VLOOKUP(Y3,AA16:AK30,4)),CONCATENATE(VLOOKUP(Y3,AA2:AK13,4)))</f>
        <v>#N/A</v>
      </c>
      <c r="AE1" s="225" t="e">
        <f>IF(Y5=1,CONCATENATE(VLOOKUP(Y3,AA16:AK30,5)),CONCATENATE(VLOOKUP(Y3,AA2:AK13,5)))</f>
        <v>#N/A</v>
      </c>
      <c r="AF1" s="225" t="e">
        <f>IF(Y5=1,CONCATENATE(VLOOKUP(Y3,AA16:AK30,6)),CONCATENATE(VLOOKUP(Y3,AA2:AK13,6)))</f>
        <v>#N/A</v>
      </c>
      <c r="AG1" s="225" t="e">
        <f>IF(Y5=1,CONCATENATE(VLOOKUP(Y3,AA16:AK30,7)),CONCATENATE(VLOOKUP(Y3,AA2:AK13,7)))</f>
        <v>#N/A</v>
      </c>
      <c r="AH1" s="225" t="e">
        <f>IF(Y5=1,CONCATENATE(VLOOKUP(Y3,AA16:AK30,8)),CONCATENATE(VLOOKUP(Y3,AA2:AK13,8)))</f>
        <v>#N/A</v>
      </c>
      <c r="AI1" s="225" t="e">
        <f>IF(Y5=1,CONCATENATE(VLOOKUP(Y3,AA16:AK30,9)),CONCATENATE(VLOOKUP(Y3,AA2:AK13,9)))</f>
        <v>#N/A</v>
      </c>
      <c r="AJ1" s="225" t="e">
        <f>IF(Y5=1,CONCATENATE(VLOOKUP(Y3,AA16:AK30,10)),CONCATENATE(VLOOKUP(Y3,AA2:AK13,10)))</f>
        <v>#N/A</v>
      </c>
      <c r="AK1" s="225" t="e">
        <f>IF(Y5=1,CONCATENATE(VLOOKUP(Y3,AA16:AK30,11)),CONCATENATE(VLOOKUP(Y3,AA2:AK13,11)))</f>
        <v>#N/A</v>
      </c>
    </row>
    <row r="2" spans="1:37" ht="12.75">
      <c r="A2" s="139" t="s">
        <v>43</v>
      </c>
      <c r="B2" s="140"/>
      <c r="C2" s="140"/>
      <c r="D2" s="140"/>
      <c r="E2" s="140" t="str">
        <f>Altalanos!$A$8</f>
        <v>F14</v>
      </c>
      <c r="F2" s="140"/>
      <c r="G2" s="141"/>
      <c r="H2" s="142"/>
      <c r="I2" s="142"/>
      <c r="J2" s="143"/>
      <c r="K2" s="138"/>
      <c r="L2" s="138"/>
      <c r="M2" s="160"/>
      <c r="N2" s="164"/>
      <c r="O2" s="165"/>
      <c r="P2" s="164"/>
      <c r="Q2" s="165"/>
      <c r="R2" s="164"/>
      <c r="S2" s="163"/>
      <c r="Y2" s="220"/>
      <c r="Z2" s="219"/>
      <c r="AA2" s="219" t="s">
        <v>53</v>
      </c>
      <c r="AB2" s="223">
        <v>150</v>
      </c>
      <c r="AC2" s="223">
        <v>120</v>
      </c>
      <c r="AD2" s="223">
        <v>100</v>
      </c>
      <c r="AE2" s="223">
        <v>80</v>
      </c>
      <c r="AF2" s="223">
        <v>70</v>
      </c>
      <c r="AG2" s="223">
        <v>60</v>
      </c>
      <c r="AH2" s="223">
        <v>55</v>
      </c>
      <c r="AI2" s="223">
        <v>50</v>
      </c>
      <c r="AJ2" s="223">
        <v>45</v>
      </c>
      <c r="AK2" s="223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208" t="s">
        <v>67</v>
      </c>
      <c r="R3" s="209" t="s">
        <v>73</v>
      </c>
      <c r="S3" s="209" t="s">
        <v>68</v>
      </c>
      <c r="Y3" s="219">
        <f>IF(H4="OB","A",IF(H4="IX","W",H4))</f>
        <v>0</v>
      </c>
      <c r="Z3" s="219"/>
      <c r="AA3" s="219" t="s">
        <v>76</v>
      </c>
      <c r="AB3" s="223">
        <v>120</v>
      </c>
      <c r="AC3" s="223">
        <v>90</v>
      </c>
      <c r="AD3" s="223">
        <v>65</v>
      </c>
      <c r="AE3" s="223">
        <v>55</v>
      </c>
      <c r="AF3" s="223">
        <v>50</v>
      </c>
      <c r="AG3" s="223">
        <v>45</v>
      </c>
      <c r="AH3" s="223">
        <v>40</v>
      </c>
      <c r="AI3" s="223">
        <v>35</v>
      </c>
      <c r="AJ3" s="223">
        <v>25</v>
      </c>
      <c r="AK3" s="223">
        <v>20</v>
      </c>
    </row>
    <row r="4" spans="1:37" ht="13.5" thickBot="1">
      <c r="A4" s="289" t="str">
        <f>Altalanos!$A$10</f>
        <v>2022.08.26-28</v>
      </c>
      <c r="B4" s="289"/>
      <c r="C4" s="289"/>
      <c r="D4" s="267"/>
      <c r="E4" s="144" t="str">
        <f>Altalanos!$C$10</f>
        <v>Balatonboglár</v>
      </c>
      <c r="F4" s="144"/>
      <c r="G4" s="144"/>
      <c r="H4" s="146"/>
      <c r="I4" s="144"/>
      <c r="J4" s="145"/>
      <c r="K4" s="146"/>
      <c r="L4" s="147" t="str">
        <f>Altalanos!$E$10</f>
        <v>Droppa Erika</v>
      </c>
      <c r="M4" s="146"/>
      <c r="N4" s="168"/>
      <c r="O4" s="169"/>
      <c r="P4" s="168"/>
      <c r="Q4" s="210" t="s">
        <v>74</v>
      </c>
      <c r="R4" s="211" t="s">
        <v>69</v>
      </c>
      <c r="S4" s="211" t="s">
        <v>70</v>
      </c>
      <c r="Y4" s="219"/>
      <c r="Z4" s="219"/>
      <c r="AA4" s="219" t="s">
        <v>77</v>
      </c>
      <c r="AB4" s="223">
        <v>90</v>
      </c>
      <c r="AC4" s="223">
        <v>60</v>
      </c>
      <c r="AD4" s="223">
        <v>45</v>
      </c>
      <c r="AE4" s="223">
        <v>34</v>
      </c>
      <c r="AF4" s="223">
        <v>27</v>
      </c>
      <c r="AG4" s="223">
        <v>22</v>
      </c>
      <c r="AH4" s="223">
        <v>18</v>
      </c>
      <c r="AI4" s="223">
        <v>15</v>
      </c>
      <c r="AJ4" s="223">
        <v>12</v>
      </c>
      <c r="AK4" s="223">
        <v>9</v>
      </c>
    </row>
    <row r="5" spans="1:37" ht="12.75">
      <c r="A5" s="30"/>
      <c r="B5" s="30" t="s">
        <v>41</v>
      </c>
      <c r="C5" s="157" t="s">
        <v>51</v>
      </c>
      <c r="D5" s="268" t="s">
        <v>35</v>
      </c>
      <c r="E5" s="268" t="s">
        <v>56</v>
      </c>
      <c r="F5" s="268"/>
      <c r="G5" s="268" t="s">
        <v>23</v>
      </c>
      <c r="H5" s="268"/>
      <c r="I5" s="268" t="s">
        <v>26</v>
      </c>
      <c r="J5" s="268"/>
      <c r="K5" s="269" t="s">
        <v>57</v>
      </c>
      <c r="L5" s="198" t="s">
        <v>58</v>
      </c>
      <c r="M5" s="198" t="s">
        <v>59</v>
      </c>
      <c r="N5" s="163"/>
      <c r="O5" s="163"/>
      <c r="P5" s="163"/>
      <c r="Q5" s="212" t="s">
        <v>75</v>
      </c>
      <c r="R5" s="213" t="s">
        <v>71</v>
      </c>
      <c r="S5" s="213" t="s">
        <v>72</v>
      </c>
      <c r="Y5" s="219">
        <f>IF(OR(Altalanos!$A$8="F1",Altalanos!$A$8="F2",Altalanos!$A$8="N1",Altalanos!$A$8="N2"),1,2)</f>
        <v>2</v>
      </c>
      <c r="Z5" s="219"/>
      <c r="AA5" s="219" t="s">
        <v>78</v>
      </c>
      <c r="AB5" s="223">
        <v>60</v>
      </c>
      <c r="AC5" s="223">
        <v>40</v>
      </c>
      <c r="AD5" s="223">
        <v>30</v>
      </c>
      <c r="AE5" s="223">
        <v>20</v>
      </c>
      <c r="AF5" s="223">
        <v>18</v>
      </c>
      <c r="AG5" s="223">
        <v>15</v>
      </c>
      <c r="AH5" s="223">
        <v>12</v>
      </c>
      <c r="AI5" s="223">
        <v>10</v>
      </c>
      <c r="AJ5" s="223">
        <v>8</v>
      </c>
      <c r="AK5" s="223">
        <v>6</v>
      </c>
    </row>
    <row r="6" spans="1:37" ht="12.75">
      <c r="A6" s="149"/>
      <c r="B6" s="149"/>
      <c r="C6" s="197"/>
      <c r="D6" s="270"/>
      <c r="E6" s="270"/>
      <c r="F6" s="270"/>
      <c r="G6" s="270"/>
      <c r="H6" s="270"/>
      <c r="I6" s="270"/>
      <c r="J6" s="270"/>
      <c r="K6" s="270"/>
      <c r="L6" s="149"/>
      <c r="M6" s="149"/>
      <c r="N6" s="163"/>
      <c r="O6" s="163"/>
      <c r="P6" s="163"/>
      <c r="Q6" s="163"/>
      <c r="R6" s="163"/>
      <c r="S6" s="163"/>
      <c r="Y6" s="219"/>
      <c r="Z6" s="219"/>
      <c r="AA6" s="219" t="s">
        <v>79</v>
      </c>
      <c r="AB6" s="223">
        <v>40</v>
      </c>
      <c r="AC6" s="223">
        <v>25</v>
      </c>
      <c r="AD6" s="223">
        <v>18</v>
      </c>
      <c r="AE6" s="223">
        <v>13</v>
      </c>
      <c r="AF6" s="223">
        <v>10</v>
      </c>
      <c r="AG6" s="223">
        <v>8</v>
      </c>
      <c r="AH6" s="223">
        <v>6</v>
      </c>
      <c r="AI6" s="223">
        <v>5</v>
      </c>
      <c r="AJ6" s="223">
        <v>4</v>
      </c>
      <c r="AK6" s="223">
        <v>3</v>
      </c>
    </row>
    <row r="7" spans="1:37" ht="12.75">
      <c r="A7" s="200" t="s">
        <v>53</v>
      </c>
      <c r="B7" s="214">
        <v>1</v>
      </c>
      <c r="C7" s="158">
        <f>IF($B7="","",VLOOKUP($B7,'F14 elo'!$A$7:$O$22,5))</f>
        <v>0</v>
      </c>
      <c r="D7" s="271">
        <f>IF($B7="","",VLOOKUP($B7,'F14 elo'!$A$7:$O$22,15))</f>
        <v>31</v>
      </c>
      <c r="E7" s="272" t="str">
        <f>UPPER(IF($B7="","",VLOOKUP($B7,'F14 elo'!$A$7:$O$22,2)))</f>
        <v>PASARÉT TK I.</v>
      </c>
      <c r="F7" s="273"/>
      <c r="G7" s="272">
        <f>IF($B7="","",VLOOKUP($B7,'F14 elo'!$A$7:$O$22,3))</f>
        <v>0</v>
      </c>
      <c r="H7" s="273"/>
      <c r="I7" s="272">
        <f>IF($B7="","",VLOOKUP($B7,'F14 elo'!$A$7:$O$22,4))</f>
        <v>0</v>
      </c>
      <c r="J7" s="270"/>
      <c r="K7" s="287" t="s">
        <v>3</v>
      </c>
      <c r="L7" s="221"/>
      <c r="M7" s="226"/>
      <c r="N7" s="163"/>
      <c r="O7" s="163"/>
      <c r="P7" s="163"/>
      <c r="Q7" s="208" t="s">
        <v>67</v>
      </c>
      <c r="R7" s="257" t="s">
        <v>100</v>
      </c>
      <c r="S7" s="257" t="s">
        <v>101</v>
      </c>
      <c r="Y7" s="219"/>
      <c r="Z7" s="219"/>
      <c r="AA7" s="219" t="s">
        <v>80</v>
      </c>
      <c r="AB7" s="223">
        <v>25</v>
      </c>
      <c r="AC7" s="223">
        <v>15</v>
      </c>
      <c r="AD7" s="223">
        <v>13</v>
      </c>
      <c r="AE7" s="223">
        <v>8</v>
      </c>
      <c r="AF7" s="223">
        <v>6</v>
      </c>
      <c r="AG7" s="223">
        <v>4</v>
      </c>
      <c r="AH7" s="223">
        <v>3</v>
      </c>
      <c r="AI7" s="223">
        <v>2</v>
      </c>
      <c r="AJ7" s="223">
        <v>1</v>
      </c>
      <c r="AK7" s="223">
        <v>0</v>
      </c>
    </row>
    <row r="8" spans="1:37" ht="12.75">
      <c r="A8" s="170"/>
      <c r="B8" s="215"/>
      <c r="C8" s="171"/>
      <c r="D8" s="275"/>
      <c r="E8" s="275"/>
      <c r="F8" s="275"/>
      <c r="G8" s="275"/>
      <c r="H8" s="275"/>
      <c r="I8" s="275"/>
      <c r="J8" s="270"/>
      <c r="K8" s="276"/>
      <c r="L8" s="170"/>
      <c r="M8" s="227"/>
      <c r="N8" s="163"/>
      <c r="O8" s="163"/>
      <c r="P8" s="163"/>
      <c r="Q8" s="210" t="s">
        <v>74</v>
      </c>
      <c r="R8" s="258" t="s">
        <v>99</v>
      </c>
      <c r="S8" s="258" t="s">
        <v>102</v>
      </c>
      <c r="Y8" s="219"/>
      <c r="Z8" s="219"/>
      <c r="AA8" s="219" t="s">
        <v>81</v>
      </c>
      <c r="AB8" s="223">
        <v>15</v>
      </c>
      <c r="AC8" s="223">
        <v>10</v>
      </c>
      <c r="AD8" s="223">
        <v>7</v>
      </c>
      <c r="AE8" s="223">
        <v>5</v>
      </c>
      <c r="AF8" s="223">
        <v>4</v>
      </c>
      <c r="AG8" s="223">
        <v>3</v>
      </c>
      <c r="AH8" s="223">
        <v>2</v>
      </c>
      <c r="AI8" s="223">
        <v>1</v>
      </c>
      <c r="AJ8" s="223">
        <v>0</v>
      </c>
      <c r="AK8" s="223">
        <v>0</v>
      </c>
    </row>
    <row r="9" spans="1:37" ht="12.75">
      <c r="A9" s="170" t="s">
        <v>54</v>
      </c>
      <c r="B9" s="216">
        <v>8</v>
      </c>
      <c r="C9" s="158">
        <f>IF($B9="","",VLOOKUP($B9,'F14 elo'!$A$7:$O$22,5))</f>
        <v>0</v>
      </c>
      <c r="D9" s="271">
        <f>IF($B9="","",VLOOKUP($B9,'F14 elo'!$A$7:$O$22,15))</f>
        <v>255</v>
      </c>
      <c r="E9" s="277" t="str">
        <f>UPPER(IF($B9="","",VLOOKUP($B9,'F14 elo'!$A$7:$O$22,2)))</f>
        <v>BEBTO TEAM "B"</v>
      </c>
      <c r="F9" s="278"/>
      <c r="G9" s="277">
        <f>IF($B9="","",VLOOKUP($B9,'F14 elo'!$A$7:$O$22,3))</f>
        <v>0</v>
      </c>
      <c r="H9" s="278"/>
      <c r="I9" s="277">
        <f>IF($B9="","",VLOOKUP($B9,'F14 elo'!$A$7:$O$22,4))</f>
        <v>0</v>
      </c>
      <c r="J9" s="270"/>
      <c r="K9" s="287" t="s">
        <v>10</v>
      </c>
      <c r="L9" s="221"/>
      <c r="M9" s="226"/>
      <c r="N9" s="163"/>
      <c r="O9" s="163"/>
      <c r="P9" s="163"/>
      <c r="Q9" s="212" t="s">
        <v>75</v>
      </c>
      <c r="R9" s="259" t="s">
        <v>98</v>
      </c>
      <c r="S9" s="259" t="s">
        <v>103</v>
      </c>
      <c r="Y9" s="219"/>
      <c r="Z9" s="219"/>
      <c r="AA9" s="219" t="s">
        <v>82</v>
      </c>
      <c r="AB9" s="223">
        <v>10</v>
      </c>
      <c r="AC9" s="223">
        <v>6</v>
      </c>
      <c r="AD9" s="223">
        <v>4</v>
      </c>
      <c r="AE9" s="223">
        <v>2</v>
      </c>
      <c r="AF9" s="223">
        <v>1</v>
      </c>
      <c r="AG9" s="223">
        <v>0</v>
      </c>
      <c r="AH9" s="223">
        <v>0</v>
      </c>
      <c r="AI9" s="223">
        <v>0</v>
      </c>
      <c r="AJ9" s="223">
        <v>0</v>
      </c>
      <c r="AK9" s="223">
        <v>0</v>
      </c>
    </row>
    <row r="10" spans="1:37" ht="12.75">
      <c r="A10" s="170"/>
      <c r="B10" s="215"/>
      <c r="C10" s="171"/>
      <c r="D10" s="275"/>
      <c r="E10" s="275"/>
      <c r="F10" s="275"/>
      <c r="G10" s="275"/>
      <c r="H10" s="275"/>
      <c r="I10" s="275"/>
      <c r="J10" s="270"/>
      <c r="K10" s="276"/>
      <c r="L10" s="170"/>
      <c r="M10" s="227"/>
      <c r="N10" s="163"/>
      <c r="O10" s="163"/>
      <c r="P10" s="163"/>
      <c r="Q10" s="163"/>
      <c r="R10" s="163"/>
      <c r="S10" s="163"/>
      <c r="Y10" s="219"/>
      <c r="Z10" s="219"/>
      <c r="AA10" s="219" t="s">
        <v>83</v>
      </c>
      <c r="AB10" s="223">
        <v>6</v>
      </c>
      <c r="AC10" s="223">
        <v>3</v>
      </c>
      <c r="AD10" s="223">
        <v>2</v>
      </c>
      <c r="AE10" s="223">
        <v>1</v>
      </c>
      <c r="AF10" s="223">
        <v>0</v>
      </c>
      <c r="AG10" s="223">
        <v>0</v>
      </c>
      <c r="AH10" s="223">
        <v>0</v>
      </c>
      <c r="AI10" s="223">
        <v>0</v>
      </c>
      <c r="AJ10" s="223">
        <v>0</v>
      </c>
      <c r="AK10" s="223">
        <v>0</v>
      </c>
    </row>
    <row r="11" spans="1:37" ht="12.75">
      <c r="A11" s="170" t="s">
        <v>55</v>
      </c>
      <c r="B11" s="216">
        <v>7</v>
      </c>
      <c r="C11" s="158">
        <f>IF($B11="","",VLOOKUP($B11,'F14 elo'!$A$7:$O$22,5))</f>
        <v>0</v>
      </c>
      <c r="D11" s="271">
        <f>IF($B11="","",VLOOKUP($B11,'F14 elo'!$A$7:$O$22,15))</f>
        <v>111</v>
      </c>
      <c r="E11" s="277" t="str">
        <f>UPPER(IF($B11="","",VLOOKUP($B11,'F14 elo'!$A$7:$O$22,2)))</f>
        <v>VASAS SC</v>
      </c>
      <c r="F11" s="278"/>
      <c r="G11" s="277">
        <f>IF($B11="","",VLOOKUP($B11,'F14 elo'!$A$7:$O$22,3))</f>
        <v>0</v>
      </c>
      <c r="H11" s="278"/>
      <c r="I11" s="277">
        <f>IF($B11="","",VLOOKUP($B11,'F14 elo'!$A$7:$O$22,4))</f>
        <v>0</v>
      </c>
      <c r="J11" s="270"/>
      <c r="K11" s="287" t="s">
        <v>7</v>
      </c>
      <c r="L11" s="221"/>
      <c r="M11" s="226"/>
      <c r="N11" s="163"/>
      <c r="O11" s="163"/>
      <c r="P11" s="163"/>
      <c r="Q11" s="163"/>
      <c r="R11" s="163"/>
      <c r="S11" s="163"/>
      <c r="Y11" s="219"/>
      <c r="Z11" s="219"/>
      <c r="AA11" s="219" t="s">
        <v>88</v>
      </c>
      <c r="AB11" s="223">
        <v>3</v>
      </c>
      <c r="AC11" s="223">
        <v>2</v>
      </c>
      <c r="AD11" s="223">
        <v>1</v>
      </c>
      <c r="AE11" s="223">
        <v>0</v>
      </c>
      <c r="AF11" s="223">
        <v>0</v>
      </c>
      <c r="AG11" s="223">
        <v>0</v>
      </c>
      <c r="AH11" s="223">
        <v>0</v>
      </c>
      <c r="AI11" s="223">
        <v>0</v>
      </c>
      <c r="AJ11" s="223">
        <v>0</v>
      </c>
      <c r="AK11" s="223">
        <v>0</v>
      </c>
    </row>
    <row r="12" spans="1:37" ht="12.75">
      <c r="A12" s="149"/>
      <c r="B12" s="200"/>
      <c r="C12" s="197"/>
      <c r="D12" s="270"/>
      <c r="E12" s="270"/>
      <c r="F12" s="270"/>
      <c r="G12" s="270"/>
      <c r="H12" s="270"/>
      <c r="I12" s="270"/>
      <c r="J12" s="270"/>
      <c r="K12" s="279"/>
      <c r="L12" s="197"/>
      <c r="M12" s="228"/>
      <c r="Y12" s="219"/>
      <c r="Z12" s="219"/>
      <c r="AA12" s="219" t="s">
        <v>84</v>
      </c>
      <c r="AB12" s="224">
        <v>0</v>
      </c>
      <c r="AC12" s="224">
        <v>0</v>
      </c>
      <c r="AD12" s="224">
        <v>0</v>
      </c>
      <c r="AE12" s="224">
        <v>0</v>
      </c>
      <c r="AF12" s="224">
        <v>0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</row>
    <row r="13" spans="1:37" ht="12.75">
      <c r="A13" s="253" t="s">
        <v>60</v>
      </c>
      <c r="B13" s="255">
        <v>3</v>
      </c>
      <c r="C13" s="158">
        <f>IF($B13="","",VLOOKUP($B13,'F14 elo'!$A$7:$O$22,5))</f>
        <v>0</v>
      </c>
      <c r="D13" s="271">
        <f>IF($B13="","",VLOOKUP($B13,'F14 elo'!$A$7:$O$22,15))</f>
        <v>65</v>
      </c>
      <c r="E13" s="277" t="str">
        <f>UPPER(IF($B13="","",VLOOKUP($B13,'F14 elo'!$A$7:$O$22,2)))</f>
        <v>GELLÉRT SE</v>
      </c>
      <c r="F13" s="278"/>
      <c r="G13" s="277">
        <f>IF($B13="","",VLOOKUP($B13,'F14 elo'!$A$7:$O$22,3))</f>
        <v>0</v>
      </c>
      <c r="H13" s="278"/>
      <c r="I13" s="277">
        <f>IF($B13="","",VLOOKUP($B13,'F14 elo'!$A$7:$O$22,4))</f>
        <v>0</v>
      </c>
      <c r="J13" s="270"/>
      <c r="K13" s="287" t="s">
        <v>5</v>
      </c>
      <c r="L13" s="221"/>
      <c r="M13" s="226"/>
      <c r="Y13" s="219"/>
      <c r="Z13" s="219"/>
      <c r="AA13" s="219" t="s">
        <v>85</v>
      </c>
      <c r="AB13" s="224">
        <v>0</v>
      </c>
      <c r="AC13" s="224">
        <v>0</v>
      </c>
      <c r="AD13" s="224">
        <v>0</v>
      </c>
      <c r="AE13" s="224">
        <v>0</v>
      </c>
      <c r="AF13" s="224">
        <v>0</v>
      </c>
      <c r="AG13" s="224">
        <v>0</v>
      </c>
      <c r="AH13" s="224">
        <v>0</v>
      </c>
      <c r="AI13" s="224">
        <v>0</v>
      </c>
      <c r="AJ13" s="224">
        <v>0</v>
      </c>
      <c r="AK13" s="224">
        <v>0</v>
      </c>
    </row>
    <row r="14" spans="1:37" ht="12.75">
      <c r="A14" s="170"/>
      <c r="B14" s="215"/>
      <c r="C14" s="171"/>
      <c r="D14" s="275"/>
      <c r="E14" s="275"/>
      <c r="F14" s="275"/>
      <c r="G14" s="275"/>
      <c r="H14" s="275"/>
      <c r="I14" s="275"/>
      <c r="J14" s="270"/>
      <c r="K14" s="276"/>
      <c r="L14" s="170"/>
      <c r="M14" s="227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</row>
    <row r="15" spans="1:37" ht="12.75">
      <c r="A15" s="200" t="s">
        <v>61</v>
      </c>
      <c r="B15" s="254">
        <v>2</v>
      </c>
      <c r="C15" s="158">
        <f>IF($B15="","",VLOOKUP($B15,'F14 elo'!$A$7:$O$22,5))</f>
        <v>0</v>
      </c>
      <c r="D15" s="280">
        <f>IF($B15="","",VLOOKUP($B15,'F14 elo'!$A$7:$O$22,15))</f>
        <v>36</v>
      </c>
      <c r="E15" s="272" t="str">
        <f>UPPER(IF($B15="","",VLOOKUP($B15,'F14 elo'!$A$7:$O$22,2)))</f>
        <v>BEBTO TEAM "A"</v>
      </c>
      <c r="F15" s="273"/>
      <c r="G15" s="272">
        <f>IF($B15="","",VLOOKUP($B15,'F14 elo'!$A$7:$O$22,3))</f>
        <v>0</v>
      </c>
      <c r="H15" s="273"/>
      <c r="I15" s="272">
        <f>IF($B15="","",VLOOKUP($B15,'F14 elo'!$A$7:$O$22,4))</f>
        <v>0</v>
      </c>
      <c r="J15" s="270"/>
      <c r="K15" s="287" t="s">
        <v>4</v>
      </c>
      <c r="L15" s="221"/>
      <c r="M15" s="226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</row>
    <row r="16" spans="1:37" ht="12.75">
      <c r="A16" s="170"/>
      <c r="B16" s="215"/>
      <c r="C16" s="171"/>
      <c r="D16" s="275"/>
      <c r="E16" s="275"/>
      <c r="F16" s="275"/>
      <c r="G16" s="275"/>
      <c r="H16" s="275"/>
      <c r="I16" s="275"/>
      <c r="J16" s="270"/>
      <c r="K16" s="276"/>
      <c r="L16" s="170"/>
      <c r="M16" s="227"/>
      <c r="Y16" s="219"/>
      <c r="Z16" s="219"/>
      <c r="AA16" s="219" t="s">
        <v>53</v>
      </c>
      <c r="AB16" s="219">
        <v>300</v>
      </c>
      <c r="AC16" s="219">
        <v>250</v>
      </c>
      <c r="AD16" s="219">
        <v>220</v>
      </c>
      <c r="AE16" s="219">
        <v>180</v>
      </c>
      <c r="AF16" s="219">
        <v>160</v>
      </c>
      <c r="AG16" s="219">
        <v>150</v>
      </c>
      <c r="AH16" s="219">
        <v>140</v>
      </c>
      <c r="AI16" s="219">
        <v>130</v>
      </c>
      <c r="AJ16" s="219">
        <v>120</v>
      </c>
      <c r="AK16" s="219">
        <v>110</v>
      </c>
    </row>
    <row r="17" spans="1:37" ht="12.75">
      <c r="A17" s="170" t="s">
        <v>62</v>
      </c>
      <c r="B17" s="216">
        <v>5</v>
      </c>
      <c r="C17" s="158">
        <f>IF($B17="","",VLOOKUP($B17,'F14 elo'!$A$7:$O$22,5))</f>
        <v>0</v>
      </c>
      <c r="D17" s="271">
        <f>IF($B17="","",VLOOKUP($B17,'F14 elo'!$A$7:$O$22,15))</f>
        <v>86</v>
      </c>
      <c r="E17" s="277" t="str">
        <f>UPPER(IF($B17="","",VLOOKUP($B17,'F14 elo'!$A$7:$O$22,2)))</f>
        <v>PASARÉT TK II.</v>
      </c>
      <c r="F17" s="278"/>
      <c r="G17" s="277">
        <f>IF($B17="","",VLOOKUP($B17,'F14 elo'!$A$7:$O$22,3))</f>
        <v>0</v>
      </c>
      <c r="H17" s="278"/>
      <c r="I17" s="277">
        <f>IF($B17="","",VLOOKUP($B17,'F14 elo'!$A$7:$O$22,4))</f>
        <v>0</v>
      </c>
      <c r="J17" s="270"/>
      <c r="K17" s="287" t="s">
        <v>8</v>
      </c>
      <c r="L17" s="221"/>
      <c r="M17" s="226"/>
      <c r="Y17" s="219"/>
      <c r="Z17" s="219"/>
      <c r="AA17" s="219" t="s">
        <v>76</v>
      </c>
      <c r="AB17" s="219">
        <v>250</v>
      </c>
      <c r="AC17" s="219">
        <v>200</v>
      </c>
      <c r="AD17" s="219">
        <v>160</v>
      </c>
      <c r="AE17" s="219">
        <v>140</v>
      </c>
      <c r="AF17" s="219">
        <v>120</v>
      </c>
      <c r="AG17" s="219">
        <v>110</v>
      </c>
      <c r="AH17" s="219">
        <v>100</v>
      </c>
      <c r="AI17" s="219">
        <v>90</v>
      </c>
      <c r="AJ17" s="219">
        <v>80</v>
      </c>
      <c r="AK17" s="219">
        <v>70</v>
      </c>
    </row>
    <row r="18" spans="1:37" ht="12.75">
      <c r="A18" s="170"/>
      <c r="B18" s="215"/>
      <c r="C18" s="171"/>
      <c r="D18" s="275"/>
      <c r="E18" s="275"/>
      <c r="F18" s="275"/>
      <c r="G18" s="275"/>
      <c r="H18" s="275"/>
      <c r="I18" s="275"/>
      <c r="J18" s="270"/>
      <c r="K18" s="276"/>
      <c r="L18" s="170"/>
      <c r="M18" s="227"/>
      <c r="Y18" s="219"/>
      <c r="Z18" s="219"/>
      <c r="AA18" s="219" t="s">
        <v>77</v>
      </c>
      <c r="AB18" s="219">
        <v>200</v>
      </c>
      <c r="AC18" s="219">
        <v>150</v>
      </c>
      <c r="AD18" s="219">
        <v>130</v>
      </c>
      <c r="AE18" s="219">
        <v>110</v>
      </c>
      <c r="AF18" s="219">
        <v>95</v>
      </c>
      <c r="AG18" s="219">
        <v>80</v>
      </c>
      <c r="AH18" s="219">
        <v>70</v>
      </c>
      <c r="AI18" s="219">
        <v>60</v>
      </c>
      <c r="AJ18" s="219">
        <v>55</v>
      </c>
      <c r="AK18" s="219">
        <v>50</v>
      </c>
    </row>
    <row r="19" spans="1:37" ht="12.75">
      <c r="A19" s="253" t="s">
        <v>66</v>
      </c>
      <c r="B19" s="216">
        <v>6</v>
      </c>
      <c r="C19" s="158">
        <f>IF($B19="","",VLOOKUP($B19,'F14 elo'!$A$7:$O$22,5))</f>
        <v>0</v>
      </c>
      <c r="D19" s="271">
        <f>IF($B19="","",VLOOKUP($B19,'F14 elo'!$A$7:$O$22,15))</f>
        <v>102</v>
      </c>
      <c r="E19" s="277" t="str">
        <f>UPPER(IF($B19="","",VLOOKUP($B19,'F14 elo'!$A$7:$O$22,2)))</f>
        <v>BUSC</v>
      </c>
      <c r="F19" s="278"/>
      <c r="G19" s="277">
        <f>IF($B19="","",VLOOKUP($B19,'F14 elo'!$A$7:$O$22,3))</f>
        <v>0</v>
      </c>
      <c r="H19" s="278"/>
      <c r="I19" s="277">
        <f>IF($B19="","",VLOOKUP($B19,'F14 elo'!$A$7:$O$22,4))</f>
        <v>0</v>
      </c>
      <c r="J19" s="270"/>
      <c r="K19" s="287" t="s">
        <v>9</v>
      </c>
      <c r="L19" s="221"/>
      <c r="M19" s="226"/>
      <c r="Y19" s="219"/>
      <c r="Z19" s="219"/>
      <c r="AA19" s="219" t="s">
        <v>78</v>
      </c>
      <c r="AB19" s="219">
        <v>150</v>
      </c>
      <c r="AC19" s="219">
        <v>120</v>
      </c>
      <c r="AD19" s="219">
        <v>100</v>
      </c>
      <c r="AE19" s="219">
        <v>80</v>
      </c>
      <c r="AF19" s="219">
        <v>70</v>
      </c>
      <c r="AG19" s="219">
        <v>60</v>
      </c>
      <c r="AH19" s="219">
        <v>55</v>
      </c>
      <c r="AI19" s="219">
        <v>50</v>
      </c>
      <c r="AJ19" s="219">
        <v>45</v>
      </c>
      <c r="AK19" s="219">
        <v>40</v>
      </c>
    </row>
    <row r="20" spans="1:37" ht="12.75">
      <c r="A20" s="170"/>
      <c r="B20" s="215"/>
      <c r="C20" s="171"/>
      <c r="D20" s="275"/>
      <c r="E20" s="275"/>
      <c r="F20" s="275"/>
      <c r="G20" s="275"/>
      <c r="H20" s="275"/>
      <c r="I20" s="275"/>
      <c r="J20" s="270"/>
      <c r="K20" s="276"/>
      <c r="L20" s="170"/>
      <c r="M20" s="227"/>
      <c r="Y20" s="219"/>
      <c r="Z20" s="219"/>
      <c r="AA20" s="219" t="s">
        <v>77</v>
      </c>
      <c r="AB20" s="219">
        <v>200</v>
      </c>
      <c r="AC20" s="219">
        <v>150</v>
      </c>
      <c r="AD20" s="219">
        <v>130</v>
      </c>
      <c r="AE20" s="219">
        <v>110</v>
      </c>
      <c r="AF20" s="219">
        <v>95</v>
      </c>
      <c r="AG20" s="219">
        <v>80</v>
      </c>
      <c r="AH20" s="219">
        <v>70</v>
      </c>
      <c r="AI20" s="219">
        <v>60</v>
      </c>
      <c r="AJ20" s="219">
        <v>55</v>
      </c>
      <c r="AK20" s="219">
        <v>50</v>
      </c>
    </row>
    <row r="21" spans="1:37" ht="12.75">
      <c r="A21" s="253" t="s">
        <v>96</v>
      </c>
      <c r="B21" s="216">
        <v>4</v>
      </c>
      <c r="C21" s="158">
        <f>IF($B21="","",VLOOKUP($B21,'F14 elo'!$A$7:$O$22,5))</f>
        <v>0</v>
      </c>
      <c r="D21" s="271">
        <f>IF($B21="","",VLOOKUP($B21,'F14 elo'!$A$7:$O$22,15))</f>
        <v>76</v>
      </c>
      <c r="E21" s="277" t="str">
        <f>UPPER(IF($B21="","",VLOOKUP($B21,'F14 elo'!$A$7:$O$22,2)))</f>
        <v>PÉCS VTC</v>
      </c>
      <c r="F21" s="278"/>
      <c r="G21" s="277">
        <f>IF($B21="","",VLOOKUP($B21,'F14 elo'!$A$7:$O$22,3))</f>
        <v>0</v>
      </c>
      <c r="H21" s="278"/>
      <c r="I21" s="277">
        <f>IF($B21="","",VLOOKUP($B21,'F14 elo'!$A$7:$O$22,4))</f>
        <v>0</v>
      </c>
      <c r="J21" s="270"/>
      <c r="K21" s="287" t="s">
        <v>6</v>
      </c>
      <c r="L21" s="221"/>
      <c r="M21" s="226"/>
      <c r="Y21" s="219"/>
      <c r="Z21" s="219"/>
      <c r="AA21" s="219" t="s">
        <v>78</v>
      </c>
      <c r="AB21" s="219">
        <v>150</v>
      </c>
      <c r="AC21" s="219">
        <v>120</v>
      </c>
      <c r="AD21" s="219">
        <v>100</v>
      </c>
      <c r="AE21" s="219">
        <v>80</v>
      </c>
      <c r="AF21" s="219">
        <v>70</v>
      </c>
      <c r="AG21" s="219">
        <v>60</v>
      </c>
      <c r="AH21" s="219">
        <v>55</v>
      </c>
      <c r="AI21" s="219">
        <v>50</v>
      </c>
      <c r="AJ21" s="219">
        <v>45</v>
      </c>
      <c r="AK21" s="219">
        <v>40</v>
      </c>
    </row>
    <row r="22" spans="1:37" ht="12.75">
      <c r="A22" s="149"/>
      <c r="B22" s="149"/>
      <c r="C22" s="149"/>
      <c r="D22" s="270"/>
      <c r="E22" s="270"/>
      <c r="F22" s="270"/>
      <c r="G22" s="270"/>
      <c r="H22" s="270"/>
      <c r="I22" s="270"/>
      <c r="J22" s="270"/>
      <c r="K22" s="270"/>
      <c r="L22" s="149"/>
      <c r="M22" s="149"/>
      <c r="Y22" s="219"/>
      <c r="Z22" s="219"/>
      <c r="AA22" s="219" t="s">
        <v>79</v>
      </c>
      <c r="AB22" s="219">
        <v>120</v>
      </c>
      <c r="AC22" s="219">
        <v>90</v>
      </c>
      <c r="AD22" s="219">
        <v>65</v>
      </c>
      <c r="AE22" s="219">
        <v>55</v>
      </c>
      <c r="AF22" s="219">
        <v>50</v>
      </c>
      <c r="AG22" s="219">
        <v>45</v>
      </c>
      <c r="AH22" s="219">
        <v>40</v>
      </c>
      <c r="AI22" s="219">
        <v>35</v>
      </c>
      <c r="AJ22" s="219">
        <v>25</v>
      </c>
      <c r="AK22" s="219">
        <v>20</v>
      </c>
    </row>
    <row r="23" spans="1:37" ht="12.75">
      <c r="A23" s="149"/>
      <c r="B23" s="149"/>
      <c r="C23" s="149"/>
      <c r="D23" s="270"/>
      <c r="E23" s="270"/>
      <c r="F23" s="270"/>
      <c r="G23" s="270"/>
      <c r="H23" s="270"/>
      <c r="I23" s="270"/>
      <c r="J23" s="270"/>
      <c r="K23" s="270"/>
      <c r="L23" s="149"/>
      <c r="M23" s="149"/>
      <c r="Y23" s="219"/>
      <c r="Z23" s="219"/>
      <c r="AA23" s="219" t="s">
        <v>80</v>
      </c>
      <c r="AB23" s="219">
        <v>90</v>
      </c>
      <c r="AC23" s="219">
        <v>60</v>
      </c>
      <c r="AD23" s="219">
        <v>45</v>
      </c>
      <c r="AE23" s="219">
        <v>34</v>
      </c>
      <c r="AF23" s="219">
        <v>27</v>
      </c>
      <c r="AG23" s="219">
        <v>22</v>
      </c>
      <c r="AH23" s="219">
        <v>18</v>
      </c>
      <c r="AI23" s="219">
        <v>15</v>
      </c>
      <c r="AJ23" s="219">
        <v>12</v>
      </c>
      <c r="AK23" s="219">
        <v>9</v>
      </c>
    </row>
    <row r="24" spans="1:37" ht="18.75" customHeight="1">
      <c r="A24" s="149"/>
      <c r="B24" s="290"/>
      <c r="C24" s="290"/>
      <c r="D24" s="291" t="str">
        <f>E7</f>
        <v>PASARÉT TK I.</v>
      </c>
      <c r="E24" s="291"/>
      <c r="F24" s="291" t="str">
        <f>E9</f>
        <v>BEBTO TEAM "B"</v>
      </c>
      <c r="G24" s="291"/>
      <c r="H24" s="291" t="str">
        <f>E11</f>
        <v>VASAS SC</v>
      </c>
      <c r="I24" s="291"/>
      <c r="J24" s="291" t="str">
        <f>E13</f>
        <v>GELLÉRT SE</v>
      </c>
      <c r="K24" s="291"/>
      <c r="L24" s="149"/>
      <c r="M24" s="201" t="s">
        <v>57</v>
      </c>
      <c r="Y24" s="219"/>
      <c r="Z24" s="219"/>
      <c r="AA24" s="219" t="s">
        <v>81</v>
      </c>
      <c r="AB24" s="219">
        <v>60</v>
      </c>
      <c r="AC24" s="219">
        <v>40</v>
      </c>
      <c r="AD24" s="219">
        <v>30</v>
      </c>
      <c r="AE24" s="219">
        <v>20</v>
      </c>
      <c r="AF24" s="219">
        <v>18</v>
      </c>
      <c r="AG24" s="219">
        <v>15</v>
      </c>
      <c r="AH24" s="219">
        <v>12</v>
      </c>
      <c r="AI24" s="219">
        <v>10</v>
      </c>
      <c r="AJ24" s="219">
        <v>8</v>
      </c>
      <c r="AK24" s="219">
        <v>6</v>
      </c>
    </row>
    <row r="25" spans="1:37" ht="18.75" customHeight="1">
      <c r="A25" s="199" t="s">
        <v>53</v>
      </c>
      <c r="B25" s="292" t="str">
        <f>E7</f>
        <v>PASARÉT TK I.</v>
      </c>
      <c r="C25" s="292"/>
      <c r="D25" s="293"/>
      <c r="E25" s="293"/>
      <c r="F25" s="294" t="s">
        <v>132</v>
      </c>
      <c r="G25" s="295"/>
      <c r="H25" s="294" t="s">
        <v>132</v>
      </c>
      <c r="I25" s="295"/>
      <c r="J25" s="300" t="s">
        <v>133</v>
      </c>
      <c r="K25" s="291"/>
      <c r="L25" s="149"/>
      <c r="M25" s="203">
        <v>1</v>
      </c>
      <c r="Y25" s="219"/>
      <c r="Z25" s="219"/>
      <c r="AA25" s="219" t="s">
        <v>82</v>
      </c>
      <c r="AB25" s="219">
        <v>40</v>
      </c>
      <c r="AC25" s="219">
        <v>25</v>
      </c>
      <c r="AD25" s="219">
        <v>18</v>
      </c>
      <c r="AE25" s="219">
        <v>13</v>
      </c>
      <c r="AF25" s="219">
        <v>8</v>
      </c>
      <c r="AG25" s="219">
        <v>7</v>
      </c>
      <c r="AH25" s="219">
        <v>6</v>
      </c>
      <c r="AI25" s="219">
        <v>5</v>
      </c>
      <c r="AJ25" s="219">
        <v>4</v>
      </c>
      <c r="AK25" s="219">
        <v>3</v>
      </c>
    </row>
    <row r="26" spans="1:37" ht="18.75" customHeight="1">
      <c r="A26" s="199" t="s">
        <v>54</v>
      </c>
      <c r="B26" s="292" t="str">
        <f>E9</f>
        <v>BEBTO TEAM "B"</v>
      </c>
      <c r="C26" s="292"/>
      <c r="D26" s="294" t="s">
        <v>135</v>
      </c>
      <c r="E26" s="295"/>
      <c r="F26" s="293"/>
      <c r="G26" s="293"/>
      <c r="H26" s="294" t="s">
        <v>134</v>
      </c>
      <c r="I26" s="295"/>
      <c r="J26" s="294" t="s">
        <v>135</v>
      </c>
      <c r="K26" s="295"/>
      <c r="L26" s="149"/>
      <c r="M26" s="203">
        <v>4</v>
      </c>
      <c r="Y26" s="219"/>
      <c r="Z26" s="219"/>
      <c r="AA26" s="219" t="s">
        <v>83</v>
      </c>
      <c r="AB26" s="219">
        <v>25</v>
      </c>
      <c r="AC26" s="219">
        <v>15</v>
      </c>
      <c r="AD26" s="219">
        <v>13</v>
      </c>
      <c r="AE26" s="219">
        <v>7</v>
      </c>
      <c r="AF26" s="219">
        <v>6</v>
      </c>
      <c r="AG26" s="219">
        <v>5</v>
      </c>
      <c r="AH26" s="219">
        <v>4</v>
      </c>
      <c r="AI26" s="219">
        <v>3</v>
      </c>
      <c r="AJ26" s="219">
        <v>2</v>
      </c>
      <c r="AK26" s="219">
        <v>1</v>
      </c>
    </row>
    <row r="27" spans="1:37" ht="18.75" customHeight="1">
      <c r="A27" s="199" t="s">
        <v>55</v>
      </c>
      <c r="B27" s="292" t="str">
        <f>E11</f>
        <v>VASAS SC</v>
      </c>
      <c r="C27" s="292"/>
      <c r="D27" s="294" t="s">
        <v>135</v>
      </c>
      <c r="E27" s="295"/>
      <c r="F27" s="294" t="s">
        <v>136</v>
      </c>
      <c r="G27" s="295"/>
      <c r="H27" s="293"/>
      <c r="I27" s="293"/>
      <c r="J27" s="294" t="s">
        <v>148</v>
      </c>
      <c r="K27" s="295"/>
      <c r="L27" s="149"/>
      <c r="M27" s="203">
        <v>3</v>
      </c>
      <c r="Y27" s="219"/>
      <c r="Z27" s="219"/>
      <c r="AA27" s="219" t="s">
        <v>88</v>
      </c>
      <c r="AB27" s="219">
        <v>15</v>
      </c>
      <c r="AC27" s="219">
        <v>10</v>
      </c>
      <c r="AD27" s="219">
        <v>8</v>
      </c>
      <c r="AE27" s="219">
        <v>4</v>
      </c>
      <c r="AF27" s="219">
        <v>3</v>
      </c>
      <c r="AG27" s="219">
        <v>2</v>
      </c>
      <c r="AH27" s="219">
        <v>1</v>
      </c>
      <c r="AI27" s="219">
        <v>0</v>
      </c>
      <c r="AJ27" s="219">
        <v>0</v>
      </c>
      <c r="AK27" s="219">
        <v>0</v>
      </c>
    </row>
    <row r="28" spans="1:37" ht="18.75" customHeight="1">
      <c r="A28" s="252" t="s">
        <v>60</v>
      </c>
      <c r="B28" s="292" t="str">
        <f>E13</f>
        <v>GELLÉRT SE</v>
      </c>
      <c r="C28" s="292"/>
      <c r="D28" s="294" t="s">
        <v>137</v>
      </c>
      <c r="E28" s="295"/>
      <c r="F28" s="294" t="s">
        <v>132</v>
      </c>
      <c r="G28" s="295"/>
      <c r="H28" s="300" t="s">
        <v>149</v>
      </c>
      <c r="I28" s="291"/>
      <c r="J28" s="293"/>
      <c r="K28" s="293"/>
      <c r="L28" s="149"/>
      <c r="M28" s="203">
        <v>2</v>
      </c>
      <c r="Y28" s="219"/>
      <c r="Z28" s="219"/>
      <c r="AA28" s="219" t="s">
        <v>88</v>
      </c>
      <c r="AB28" s="219">
        <v>15</v>
      </c>
      <c r="AC28" s="219">
        <v>10</v>
      </c>
      <c r="AD28" s="219">
        <v>8</v>
      </c>
      <c r="AE28" s="219">
        <v>4</v>
      </c>
      <c r="AF28" s="219">
        <v>3</v>
      </c>
      <c r="AG28" s="219">
        <v>2</v>
      </c>
      <c r="AH28" s="219">
        <v>1</v>
      </c>
      <c r="AI28" s="219">
        <v>0</v>
      </c>
      <c r="AJ28" s="219">
        <v>0</v>
      </c>
      <c r="AK28" s="219">
        <v>0</v>
      </c>
    </row>
    <row r="29" spans="1:37" ht="12.75">
      <c r="A29" s="149"/>
      <c r="B29" s="149"/>
      <c r="C29" s="149"/>
      <c r="D29" s="270"/>
      <c r="E29" s="270"/>
      <c r="F29" s="270"/>
      <c r="G29" s="270"/>
      <c r="H29" s="270"/>
      <c r="I29" s="270"/>
      <c r="J29" s="270"/>
      <c r="K29" s="270"/>
      <c r="L29" s="149"/>
      <c r="M29" s="204"/>
      <c r="Y29" s="219"/>
      <c r="Z29" s="219"/>
      <c r="AA29" s="219" t="s">
        <v>84</v>
      </c>
      <c r="AB29" s="219">
        <v>10</v>
      </c>
      <c r="AC29" s="219">
        <v>6</v>
      </c>
      <c r="AD29" s="219">
        <v>4</v>
      </c>
      <c r="AE29" s="219">
        <v>2</v>
      </c>
      <c r="AF29" s="219">
        <v>1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</row>
    <row r="30" spans="1:37" ht="18.75" customHeight="1">
      <c r="A30" s="149"/>
      <c r="B30" s="290"/>
      <c r="C30" s="290"/>
      <c r="D30" s="291" t="str">
        <f>E15</f>
        <v>BEBTO TEAM "A"</v>
      </c>
      <c r="E30" s="291"/>
      <c r="F30" s="291" t="str">
        <f>E17</f>
        <v>PASARÉT TK II.</v>
      </c>
      <c r="G30" s="291"/>
      <c r="H30" s="296" t="str">
        <f>E19</f>
        <v>BUSC</v>
      </c>
      <c r="I30" s="297"/>
      <c r="J30" s="291" t="str">
        <f>E21</f>
        <v>PÉCS VTC</v>
      </c>
      <c r="K30" s="291"/>
      <c r="L30" s="149"/>
      <c r="M30" s="204"/>
      <c r="Y30" s="219"/>
      <c r="Z30" s="219"/>
      <c r="AA30" s="219" t="s">
        <v>85</v>
      </c>
      <c r="AB30" s="219">
        <v>3</v>
      </c>
      <c r="AC30" s="219">
        <v>2</v>
      </c>
      <c r="AD30" s="219">
        <v>1</v>
      </c>
      <c r="AE30" s="219">
        <v>0</v>
      </c>
      <c r="AF30" s="219">
        <v>0</v>
      </c>
      <c r="AG30" s="219">
        <v>0</v>
      </c>
      <c r="AH30" s="219">
        <v>0</v>
      </c>
      <c r="AI30" s="219">
        <v>0</v>
      </c>
      <c r="AJ30" s="219">
        <v>0</v>
      </c>
      <c r="AK30" s="219">
        <v>0</v>
      </c>
    </row>
    <row r="31" spans="1:13" ht="18.75" customHeight="1">
      <c r="A31" s="252" t="s">
        <v>61</v>
      </c>
      <c r="B31" s="298" t="str">
        <f>E15</f>
        <v>BEBTO TEAM "A"</v>
      </c>
      <c r="C31" s="299"/>
      <c r="D31" s="293"/>
      <c r="E31" s="293"/>
      <c r="F31" s="294" t="s">
        <v>136</v>
      </c>
      <c r="G31" s="295"/>
      <c r="H31" s="294" t="s">
        <v>136</v>
      </c>
      <c r="I31" s="295"/>
      <c r="J31" s="300" t="s">
        <v>132</v>
      </c>
      <c r="K31" s="291"/>
      <c r="L31" s="149"/>
      <c r="M31" s="203">
        <v>1</v>
      </c>
    </row>
    <row r="32" spans="1:13" ht="18.75" customHeight="1">
      <c r="A32" s="252" t="s">
        <v>62</v>
      </c>
      <c r="B32" s="292" t="str">
        <f>E17</f>
        <v>PASARÉT TK II.</v>
      </c>
      <c r="C32" s="292"/>
      <c r="D32" s="294" t="s">
        <v>134</v>
      </c>
      <c r="E32" s="295"/>
      <c r="F32" s="293"/>
      <c r="G32" s="293"/>
      <c r="H32" s="294" t="s">
        <v>138</v>
      </c>
      <c r="I32" s="295"/>
      <c r="J32" s="294" t="s">
        <v>134</v>
      </c>
      <c r="K32" s="295"/>
      <c r="L32" s="149"/>
      <c r="M32" s="203">
        <v>3</v>
      </c>
    </row>
    <row r="33" spans="1:13" ht="18.75" customHeight="1">
      <c r="A33" s="252" t="s">
        <v>66</v>
      </c>
      <c r="B33" s="292" t="str">
        <f>E19</f>
        <v>BUSC</v>
      </c>
      <c r="C33" s="292"/>
      <c r="D33" s="294" t="s">
        <v>134</v>
      </c>
      <c r="E33" s="295"/>
      <c r="F33" s="294" t="s">
        <v>139</v>
      </c>
      <c r="G33" s="295"/>
      <c r="H33" s="293"/>
      <c r="I33" s="293"/>
      <c r="J33" s="294" t="s">
        <v>134</v>
      </c>
      <c r="K33" s="295"/>
      <c r="L33" s="149"/>
      <c r="M33" s="203">
        <v>4</v>
      </c>
    </row>
    <row r="34" spans="1:13" ht="18.75" customHeight="1">
      <c r="A34" s="252" t="s">
        <v>96</v>
      </c>
      <c r="B34" s="292" t="str">
        <f>E21</f>
        <v>PÉCS VTC</v>
      </c>
      <c r="C34" s="292"/>
      <c r="D34" s="294" t="s">
        <v>135</v>
      </c>
      <c r="E34" s="295"/>
      <c r="F34" s="294" t="s">
        <v>136</v>
      </c>
      <c r="G34" s="295"/>
      <c r="H34" s="300" t="s">
        <v>136</v>
      </c>
      <c r="I34" s="291"/>
      <c r="J34" s="293"/>
      <c r="K34" s="293"/>
      <c r="L34" s="149"/>
      <c r="M34" s="203">
        <v>2</v>
      </c>
    </row>
    <row r="35" spans="1:13" ht="18.75" customHeight="1">
      <c r="A35" s="205"/>
      <c r="B35" s="206"/>
      <c r="C35" s="206"/>
      <c r="D35" s="281"/>
      <c r="E35" s="281"/>
      <c r="F35" s="281"/>
      <c r="G35" s="281"/>
      <c r="H35" s="281"/>
      <c r="I35" s="281"/>
      <c r="J35" s="270"/>
      <c r="K35" s="270"/>
      <c r="L35" s="149"/>
      <c r="M35" s="207"/>
    </row>
    <row r="36" spans="1:13" ht="13.5" thickBot="1">
      <c r="A36" s="149"/>
      <c r="B36" s="149"/>
      <c r="C36" s="149"/>
      <c r="D36" s="270"/>
      <c r="E36" s="270"/>
      <c r="F36" s="270"/>
      <c r="G36" s="270"/>
      <c r="H36" s="270"/>
      <c r="I36" s="270"/>
      <c r="J36" s="270"/>
      <c r="K36" s="270"/>
      <c r="L36" s="149"/>
      <c r="M36" s="149"/>
    </row>
    <row r="37" spans="1:13" ht="13.5" thickBot="1">
      <c r="A37" s="149" t="s">
        <v>49</v>
      </c>
      <c r="B37" s="149"/>
      <c r="C37" s="301" t="str">
        <f>IF(M25=1,B25,IF(M26=1,B26,IF(M27=1,B27,IF(M28=1,B28,""))))</f>
        <v>PASARÉT TK I.</v>
      </c>
      <c r="D37" s="302"/>
      <c r="E37" s="276" t="s">
        <v>64</v>
      </c>
      <c r="F37" s="303" t="str">
        <f>IF(M31=1,B31,IF(M32=1,B32,IF(M33=1,B33,IF(M34=1,B34,""))))</f>
        <v>BEBTO TEAM "A"</v>
      </c>
      <c r="G37" s="303"/>
      <c r="H37" s="270"/>
      <c r="I37" s="286" t="s">
        <v>136</v>
      </c>
      <c r="J37" s="270"/>
      <c r="K37" s="270"/>
      <c r="L37" s="149"/>
      <c r="M37" s="149"/>
    </row>
    <row r="38" spans="1:13" ht="13.5" thickBot="1">
      <c r="A38" s="149"/>
      <c r="B38" s="149"/>
      <c r="C38" s="149"/>
      <c r="D38" s="270"/>
      <c r="E38" s="270"/>
      <c r="F38" s="276"/>
      <c r="G38" s="276"/>
      <c r="H38" s="270"/>
      <c r="I38" s="270"/>
      <c r="J38" s="270"/>
      <c r="K38" s="270"/>
      <c r="L38" s="149"/>
      <c r="M38" s="149"/>
    </row>
    <row r="39" spans="1:13" ht="13.5" thickBot="1">
      <c r="A39" s="149" t="s">
        <v>63</v>
      </c>
      <c r="B39" s="149"/>
      <c r="C39" s="301" t="str">
        <f>IF(M25=2,B25,IF(M26=2,B26,IF(M27=2,B27,IF(M28=2,B28,""))))</f>
        <v>GELLÉRT SE</v>
      </c>
      <c r="D39" s="302"/>
      <c r="E39" s="276" t="s">
        <v>64</v>
      </c>
      <c r="F39" s="303" t="str">
        <f>IF(M31=2,B31,IF(M32=2,B32,IF(M33=2,B33,IF(M34=2,B34,""))))</f>
        <v>PÉCS VTC</v>
      </c>
      <c r="G39" s="303"/>
      <c r="H39" s="270"/>
      <c r="I39" s="286" t="s">
        <v>155</v>
      </c>
      <c r="J39" s="270"/>
      <c r="K39" s="270"/>
      <c r="L39" s="149"/>
      <c r="M39" s="149"/>
    </row>
    <row r="40" spans="1:13" ht="13.5" thickBot="1">
      <c r="A40" s="149"/>
      <c r="B40" s="149"/>
      <c r="C40" s="202"/>
      <c r="D40" s="283"/>
      <c r="E40" s="276"/>
      <c r="F40" s="283"/>
      <c r="G40" s="283"/>
      <c r="H40" s="270"/>
      <c r="I40" s="270"/>
      <c r="J40" s="270"/>
      <c r="K40" s="270"/>
      <c r="L40" s="149"/>
      <c r="M40" s="149"/>
    </row>
    <row r="41" spans="1:13" ht="13.5" thickBot="1">
      <c r="A41" s="149" t="s">
        <v>65</v>
      </c>
      <c r="B41" s="149"/>
      <c r="C41" s="301" t="str">
        <f>IF(M25=3,B25,IF(M26=3,B26,IF(M27=3,B27,IF(M28=3,B28,""))))</f>
        <v>VASAS SC</v>
      </c>
      <c r="D41" s="302"/>
      <c r="E41" s="276" t="s">
        <v>64</v>
      </c>
      <c r="F41" s="303" t="str">
        <f>IF(M31=3,B31,IF(M32=3,B32,IF(M33=3,B33,IF(M34=3,B34,""))))</f>
        <v>PASARÉT TK II.</v>
      </c>
      <c r="G41" s="303"/>
      <c r="H41" s="270"/>
      <c r="I41" s="286" t="s">
        <v>132</v>
      </c>
      <c r="J41" s="270"/>
      <c r="K41" s="270"/>
      <c r="L41" s="149"/>
      <c r="M41" s="149"/>
    </row>
    <row r="42" spans="1:13" ht="13.5" thickBot="1">
      <c r="A42" s="149"/>
      <c r="B42" s="149"/>
      <c r="C42" s="149"/>
      <c r="D42" s="270"/>
      <c r="E42" s="270"/>
      <c r="F42" s="270"/>
      <c r="G42" s="270"/>
      <c r="H42" s="270"/>
      <c r="I42" s="270"/>
      <c r="J42" s="270"/>
      <c r="K42" s="270"/>
      <c r="L42" s="149"/>
      <c r="M42" s="149"/>
    </row>
    <row r="43" spans="1:19" ht="13.5" thickBot="1">
      <c r="A43" s="171" t="s">
        <v>97</v>
      </c>
      <c r="B43" s="149"/>
      <c r="C43" s="306" t="str">
        <f>IF(M25=4,B25,IF(M26=4,B26,IF(M27=4,B27,IF(M28=4,B28,))))</f>
        <v>BEBTO TEAM "B"</v>
      </c>
      <c r="D43" s="306"/>
      <c r="E43" s="276" t="s">
        <v>64</v>
      </c>
      <c r="F43" s="307" t="s">
        <v>118</v>
      </c>
      <c r="G43" s="308"/>
      <c r="H43" s="270"/>
      <c r="I43" s="286" t="s">
        <v>132</v>
      </c>
      <c r="J43" s="270"/>
      <c r="K43" s="270"/>
      <c r="L43" s="149"/>
      <c r="M43" s="149"/>
      <c r="O43" s="163"/>
      <c r="P43" s="163"/>
      <c r="Q43" s="163"/>
      <c r="R43" s="163"/>
      <c r="S43" s="163"/>
    </row>
    <row r="44" spans="1:19" ht="12.75">
      <c r="A44" s="149"/>
      <c r="B44" s="149"/>
      <c r="C44" s="149"/>
      <c r="D44" s="270"/>
      <c r="E44" s="270"/>
      <c r="F44" s="270"/>
      <c r="G44" s="270"/>
      <c r="H44" s="270"/>
      <c r="I44" s="270"/>
      <c r="J44" s="270"/>
      <c r="K44" s="270"/>
      <c r="L44" s="148"/>
      <c r="M44" s="149"/>
      <c r="O44" s="163"/>
      <c r="P44" s="172"/>
      <c r="Q44" s="172"/>
      <c r="R44" s="173"/>
      <c r="S44" s="163"/>
    </row>
    <row r="45" spans="1:19" ht="12.75">
      <c r="A45" s="70" t="s">
        <v>35</v>
      </c>
      <c r="B45" s="71"/>
      <c r="C45" s="122"/>
      <c r="D45" s="178" t="s">
        <v>2</v>
      </c>
      <c r="E45" s="179" t="s">
        <v>37</v>
      </c>
      <c r="F45" s="284"/>
      <c r="G45" s="178" t="s">
        <v>2</v>
      </c>
      <c r="H45" s="179" t="s">
        <v>46</v>
      </c>
      <c r="I45" s="78"/>
      <c r="J45" s="179" t="s">
        <v>47</v>
      </c>
      <c r="K45" s="77" t="s">
        <v>48</v>
      </c>
      <c r="L45" s="30"/>
      <c r="M45" s="195"/>
      <c r="O45" s="163"/>
      <c r="P45" s="174"/>
      <c r="Q45" s="174"/>
      <c r="R45" s="175"/>
      <c r="S45" s="163"/>
    </row>
    <row r="46" spans="1:19" ht="12.75">
      <c r="A46" s="152" t="s">
        <v>36</v>
      </c>
      <c r="B46" s="153"/>
      <c r="C46" s="154"/>
      <c r="D46" s="180">
        <v>1</v>
      </c>
      <c r="E46" s="304" t="str">
        <f>IF(D46&gt;$R$47,,UPPER(VLOOKUP(D46,'F14 elo'!$A$7:$Q$134,2)))</f>
        <v>PASARÉT TK I.</v>
      </c>
      <c r="F46" s="304"/>
      <c r="G46" s="190" t="s">
        <v>3</v>
      </c>
      <c r="H46" s="153"/>
      <c r="I46" s="181"/>
      <c r="J46" s="191"/>
      <c r="K46" s="150" t="s">
        <v>38</v>
      </c>
      <c r="L46" s="196"/>
      <c r="M46" s="182"/>
      <c r="O46" s="163"/>
      <c r="P46" s="175"/>
      <c r="Q46" s="176"/>
      <c r="R46" s="175"/>
      <c r="S46" s="163"/>
    </row>
    <row r="47" spans="1:19" ht="12.75">
      <c r="A47" s="155" t="s">
        <v>45</v>
      </c>
      <c r="B47" s="76"/>
      <c r="C47" s="156"/>
      <c r="D47" s="183">
        <v>2</v>
      </c>
      <c r="E47" s="305" t="str">
        <f>IF(D47&gt;$R$47,,UPPER(VLOOKUP(D47,'F14 elo'!$A$7:$Q$134,2)))</f>
        <v>BEBTO TEAM "A"</v>
      </c>
      <c r="F47" s="305"/>
      <c r="G47" s="192" t="s">
        <v>4</v>
      </c>
      <c r="H47" s="184"/>
      <c r="I47" s="185"/>
      <c r="J47" s="42"/>
      <c r="K47" s="155"/>
      <c r="L47" s="148"/>
      <c r="M47" s="189"/>
      <c r="O47" s="163"/>
      <c r="P47" s="174"/>
      <c r="Q47" s="174"/>
      <c r="R47" s="177">
        <f>MIN(4,'F14 elo'!Q2)</f>
        <v>4</v>
      </c>
      <c r="S47" s="163"/>
    </row>
    <row r="48" spans="1:19" ht="12.75">
      <c r="A48" s="89"/>
      <c r="B48" s="90"/>
      <c r="C48" s="91"/>
      <c r="D48" s="183"/>
      <c r="E48" s="184"/>
      <c r="F48" s="285"/>
      <c r="G48" s="192" t="s">
        <v>5</v>
      </c>
      <c r="H48" s="184"/>
      <c r="I48" s="185"/>
      <c r="J48" s="42"/>
      <c r="K48" s="150" t="s">
        <v>39</v>
      </c>
      <c r="L48" s="196"/>
      <c r="M48" s="182"/>
      <c r="O48" s="163"/>
      <c r="P48" s="175"/>
      <c r="Q48" s="176"/>
      <c r="R48" s="175"/>
      <c r="S48" s="163"/>
    </row>
    <row r="49" spans="1:19" ht="12.75">
      <c r="A49" s="72"/>
      <c r="B49" s="120"/>
      <c r="C49" s="73"/>
      <c r="D49" s="183"/>
      <c r="E49" s="184"/>
      <c r="F49" s="285"/>
      <c r="G49" s="192" t="s">
        <v>6</v>
      </c>
      <c r="H49" s="184"/>
      <c r="I49" s="185"/>
      <c r="J49" s="42"/>
      <c r="K49" s="194"/>
      <c r="L49" s="187"/>
      <c r="M49" s="186"/>
      <c r="O49" s="163"/>
      <c r="P49" s="175"/>
      <c r="Q49" s="176"/>
      <c r="R49" s="175"/>
      <c r="S49" s="163"/>
    </row>
    <row r="50" spans="1:19" ht="12.75">
      <c r="A50" s="80"/>
      <c r="B50" s="92"/>
      <c r="C50" s="121"/>
      <c r="D50" s="183"/>
      <c r="E50" s="184"/>
      <c r="F50" s="285"/>
      <c r="G50" s="192" t="s">
        <v>7</v>
      </c>
      <c r="H50" s="184"/>
      <c r="I50" s="185"/>
      <c r="J50" s="42"/>
      <c r="K50" s="155"/>
      <c r="L50" s="148"/>
      <c r="M50" s="189"/>
      <c r="O50" s="163"/>
      <c r="P50" s="174"/>
      <c r="Q50" s="174"/>
      <c r="R50" s="175"/>
      <c r="S50" s="163"/>
    </row>
    <row r="51" spans="1:19" ht="12.75">
      <c r="A51" s="81"/>
      <c r="B51" s="95"/>
      <c r="C51" s="73"/>
      <c r="D51" s="183"/>
      <c r="E51" s="184"/>
      <c r="F51" s="285"/>
      <c r="G51" s="192" t="s">
        <v>8</v>
      </c>
      <c r="H51" s="184"/>
      <c r="I51" s="185"/>
      <c r="J51" s="42"/>
      <c r="K51" s="150" t="s">
        <v>28</v>
      </c>
      <c r="L51" s="196"/>
      <c r="M51" s="182"/>
      <c r="O51" s="163"/>
      <c r="P51" s="175"/>
      <c r="Q51" s="176"/>
      <c r="R51" s="175"/>
      <c r="S51" s="163"/>
    </row>
    <row r="52" spans="1:19" ht="12.75">
      <c r="A52" s="81"/>
      <c r="B52" s="95"/>
      <c r="C52" s="87"/>
      <c r="D52" s="183"/>
      <c r="E52" s="184"/>
      <c r="F52" s="285"/>
      <c r="G52" s="192" t="s">
        <v>9</v>
      </c>
      <c r="H52" s="184"/>
      <c r="I52" s="185"/>
      <c r="J52" s="42"/>
      <c r="K52" s="194"/>
      <c r="L52" s="187"/>
      <c r="M52" s="186"/>
      <c r="O52" s="163"/>
      <c r="P52" s="175"/>
      <c r="Q52" s="176"/>
      <c r="R52" s="177"/>
      <c r="S52" s="163"/>
    </row>
    <row r="53" spans="1:19" ht="12.75">
      <c r="A53" s="82"/>
      <c r="B53" s="79"/>
      <c r="C53" s="88"/>
      <c r="D53" s="188"/>
      <c r="E53" s="76"/>
      <c r="F53" s="282"/>
      <c r="G53" s="193" t="s">
        <v>10</v>
      </c>
      <c r="H53" s="76"/>
      <c r="I53" s="151"/>
      <c r="J53" s="74"/>
      <c r="K53" s="155" t="str">
        <f>L4</f>
        <v>Droppa Erika</v>
      </c>
      <c r="L53" s="148"/>
      <c r="M53" s="189"/>
      <c r="O53" s="163"/>
      <c r="P53" s="163"/>
      <c r="Q53" s="163"/>
      <c r="R53" s="163"/>
      <c r="S53" s="163"/>
    </row>
    <row r="54" spans="15:19" ht="12.75">
      <c r="O54" s="163"/>
      <c r="P54" s="163"/>
      <c r="Q54" s="163"/>
      <c r="R54" s="163"/>
      <c r="S54" s="163"/>
    </row>
  </sheetData>
  <sheetProtection/>
  <mergeCells count="62">
    <mergeCell ref="F28:G28"/>
    <mergeCell ref="H28:I28"/>
    <mergeCell ref="J24:K24"/>
    <mergeCell ref="J25:K25"/>
    <mergeCell ref="J26:K26"/>
    <mergeCell ref="J27:K27"/>
    <mergeCell ref="J28:K28"/>
    <mergeCell ref="C39:D39"/>
    <mergeCell ref="F39:G39"/>
    <mergeCell ref="C41:D41"/>
    <mergeCell ref="F41:G41"/>
    <mergeCell ref="E46:F46"/>
    <mergeCell ref="E47:F47"/>
    <mergeCell ref="C43:D43"/>
    <mergeCell ref="F43:G43"/>
    <mergeCell ref="B34:C34"/>
    <mergeCell ref="D34:E34"/>
    <mergeCell ref="F34:G34"/>
    <mergeCell ref="H34:I34"/>
    <mergeCell ref="J34:K34"/>
    <mergeCell ref="C37:D37"/>
    <mergeCell ref="F37:G37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J30:K30"/>
    <mergeCell ref="B31:C31"/>
    <mergeCell ref="D31:E31"/>
    <mergeCell ref="F31:G31"/>
    <mergeCell ref="H31:I31"/>
    <mergeCell ref="J31:K31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B25:C25"/>
    <mergeCell ref="D25:E25"/>
    <mergeCell ref="F25:G25"/>
    <mergeCell ref="H25:I25"/>
    <mergeCell ref="B26:C26"/>
    <mergeCell ref="D26:E26"/>
    <mergeCell ref="F26:G26"/>
    <mergeCell ref="H26:I26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1" stopIfTrue="1">
      <formula>$O$1="CU"</formula>
    </cfRule>
  </conditionalFormatting>
  <conditionalFormatting sqref="E7 E9 E11 E13 E15 E17 E19:E21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B11" sqref="B11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11.8515625" style="0" customWidth="1"/>
    <col min="4" max="4" width="11.8515625" style="35" customWidth="1"/>
    <col min="5" max="5" width="10.7109375" style="246" customWidth="1"/>
    <col min="6" max="6" width="6.140625" style="48" hidden="1" customWidth="1"/>
    <col min="7" max="7" width="35.00390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KORO. CSB DÖNTŐ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264" t="str">
        <f>Altalanos!$B$8</f>
        <v>F12</v>
      </c>
      <c r="D2" s="59"/>
      <c r="E2" s="116" t="s">
        <v>29</v>
      </c>
      <c r="F2" s="49"/>
      <c r="G2" s="49"/>
      <c r="H2" s="238"/>
      <c r="I2" s="238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31" t="s">
        <v>42</v>
      </c>
      <c r="B3" s="236"/>
      <c r="C3" s="236"/>
      <c r="D3" s="236"/>
      <c r="E3" s="236"/>
      <c r="F3" s="236"/>
      <c r="G3" s="236"/>
      <c r="H3" s="236"/>
      <c r="I3" s="237"/>
      <c r="J3" s="54"/>
      <c r="K3" s="60"/>
      <c r="L3" s="60"/>
      <c r="M3" s="60"/>
      <c r="N3" s="133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8" t="s">
        <v>25</v>
      </c>
      <c r="I4" s="243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2022.08.26-28</v>
      </c>
      <c r="B5" s="110"/>
      <c r="C5" s="46" t="str">
        <f>Altalanos!$C$10</f>
        <v>Balatonboglár</v>
      </c>
      <c r="D5" s="47" t="str">
        <f>Altalanos!$D$10</f>
        <v>  </v>
      </c>
      <c r="E5" s="47"/>
      <c r="F5" s="47"/>
      <c r="G5" s="47"/>
      <c r="H5" s="130" t="str">
        <f>Altalanos!$E$10</f>
        <v>Droppa Erika</v>
      </c>
      <c r="I5" s="249"/>
      <c r="J5" s="66"/>
      <c r="K5" s="41"/>
      <c r="L5" s="41"/>
      <c r="M5" s="41"/>
      <c r="N5" s="66"/>
      <c r="O5" s="47"/>
      <c r="P5" s="47"/>
      <c r="Q5" s="256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95</v>
      </c>
      <c r="H6" s="239" t="s">
        <v>32</v>
      </c>
      <c r="I6" s="240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122</v>
      </c>
      <c r="C7" s="50"/>
      <c r="D7" s="51"/>
      <c r="E7" s="119"/>
      <c r="F7" s="232"/>
      <c r="G7" s="233"/>
      <c r="H7" s="51"/>
      <c r="I7" s="51"/>
      <c r="J7" s="101"/>
      <c r="K7" s="99"/>
      <c r="L7" s="103"/>
      <c r="M7" s="99"/>
      <c r="N7" s="94"/>
      <c r="O7" s="51">
        <v>15</v>
      </c>
      <c r="P7" s="68"/>
      <c r="Q7" s="52"/>
    </row>
    <row r="8" spans="1:17" s="11" customFormat="1" ht="18.75" customHeight="1">
      <c r="A8" s="104">
        <v>2</v>
      </c>
      <c r="B8" s="50" t="s">
        <v>125</v>
      </c>
      <c r="C8" s="50"/>
      <c r="D8" s="51"/>
      <c r="E8" s="119"/>
      <c r="F8" s="234"/>
      <c r="G8" s="235"/>
      <c r="H8" s="51"/>
      <c r="I8" s="51"/>
      <c r="J8" s="101"/>
      <c r="K8" s="99"/>
      <c r="L8" s="103"/>
      <c r="M8" s="99"/>
      <c r="N8" s="94"/>
      <c r="O8" s="51">
        <v>32</v>
      </c>
      <c r="P8" s="68"/>
      <c r="Q8" s="52"/>
    </row>
    <row r="9" spans="1:17" s="11" customFormat="1" ht="18.75" customHeight="1">
      <c r="A9" s="104">
        <v>3</v>
      </c>
      <c r="B9" s="50" t="s">
        <v>116</v>
      </c>
      <c r="C9" s="50"/>
      <c r="D9" s="51"/>
      <c r="E9" s="119"/>
      <c r="F9" s="234"/>
      <c r="G9" s="235"/>
      <c r="H9" s="51"/>
      <c r="I9" s="51"/>
      <c r="J9" s="101"/>
      <c r="K9" s="99"/>
      <c r="L9" s="103"/>
      <c r="M9" s="99"/>
      <c r="N9" s="94"/>
      <c r="O9" s="51">
        <v>53</v>
      </c>
      <c r="P9" s="245"/>
      <c r="Q9" s="124"/>
    </row>
    <row r="10" spans="1:17" s="11" customFormat="1" ht="18.75" customHeight="1">
      <c r="A10" s="104">
        <v>4</v>
      </c>
      <c r="B10" s="50" t="s">
        <v>126</v>
      </c>
      <c r="C10" s="50"/>
      <c r="D10" s="51"/>
      <c r="E10" s="119"/>
      <c r="F10" s="234"/>
      <c r="G10" s="235"/>
      <c r="H10" s="51"/>
      <c r="I10" s="51"/>
      <c r="J10" s="101"/>
      <c r="K10" s="99"/>
      <c r="L10" s="103"/>
      <c r="M10" s="99"/>
      <c r="N10" s="94"/>
      <c r="O10" s="51">
        <v>57</v>
      </c>
      <c r="P10" s="244"/>
      <c r="Q10" s="241"/>
    </row>
    <row r="11" spans="1:17" s="11" customFormat="1" ht="18.75" customHeight="1">
      <c r="A11" s="104">
        <v>5</v>
      </c>
      <c r="B11" s="50" t="s">
        <v>124</v>
      </c>
      <c r="C11" s="50"/>
      <c r="D11" s="51"/>
      <c r="E11" s="119"/>
      <c r="F11" s="234"/>
      <c r="G11" s="235"/>
      <c r="H11" s="51"/>
      <c r="I11" s="51"/>
      <c r="J11" s="101"/>
      <c r="K11" s="99"/>
      <c r="L11" s="103"/>
      <c r="M11" s="99"/>
      <c r="N11" s="94"/>
      <c r="O11" s="51">
        <v>75</v>
      </c>
      <c r="P11" s="244"/>
      <c r="Q11" s="241"/>
    </row>
    <row r="12" spans="1:17" s="11" customFormat="1" ht="18.75" customHeight="1">
      <c r="A12" s="104">
        <v>6</v>
      </c>
      <c r="B12" s="50" t="s">
        <v>120</v>
      </c>
      <c r="C12" s="50"/>
      <c r="D12" s="51"/>
      <c r="E12" s="119"/>
      <c r="F12" s="234"/>
      <c r="G12" s="235"/>
      <c r="H12" s="51"/>
      <c r="I12" s="51"/>
      <c r="J12" s="101"/>
      <c r="K12" s="99"/>
      <c r="L12" s="103"/>
      <c r="M12" s="99"/>
      <c r="N12" s="94"/>
      <c r="O12" s="261">
        <v>78</v>
      </c>
      <c r="P12" s="244"/>
      <c r="Q12" s="241"/>
    </row>
    <row r="13" spans="1:17" s="11" customFormat="1" ht="18.75" customHeight="1">
      <c r="A13" s="104">
        <v>7</v>
      </c>
      <c r="B13" s="50" t="s">
        <v>123</v>
      </c>
      <c r="C13" s="50"/>
      <c r="D13" s="51"/>
      <c r="E13" s="119"/>
      <c r="F13" s="234"/>
      <c r="G13" s="235"/>
      <c r="H13" s="51"/>
      <c r="I13" s="51"/>
      <c r="J13" s="101"/>
      <c r="K13" s="99"/>
      <c r="L13" s="103"/>
      <c r="M13" s="99"/>
      <c r="N13" s="94"/>
      <c r="O13" s="51">
        <v>119</v>
      </c>
      <c r="P13" s="244"/>
      <c r="Q13" s="241"/>
    </row>
    <row r="14" spans="1:17" s="11" customFormat="1" ht="18.75" customHeight="1">
      <c r="A14" s="104">
        <v>8</v>
      </c>
      <c r="B14" s="50" t="s">
        <v>121</v>
      </c>
      <c r="C14" s="50"/>
      <c r="D14" s="51"/>
      <c r="E14" s="119"/>
      <c r="F14" s="234"/>
      <c r="G14" s="235"/>
      <c r="H14" s="51"/>
      <c r="I14" s="51"/>
      <c r="J14" s="101"/>
      <c r="K14" s="99"/>
      <c r="L14" s="103"/>
      <c r="M14" s="99"/>
      <c r="N14" s="94"/>
      <c r="O14" s="51">
        <v>145</v>
      </c>
      <c r="P14" s="244"/>
      <c r="Q14" s="241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6"/>
      <c r="N15" s="94"/>
      <c r="O15" s="51"/>
      <c r="P15" s="52"/>
      <c r="Q15" s="52"/>
    </row>
    <row r="16" spans="1:17" s="11" customFormat="1" ht="18.75" customHeight="1">
      <c r="A16" s="104">
        <v>10</v>
      </c>
      <c r="B16" s="260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6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6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6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6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6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6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6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6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6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6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6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6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62"/>
      <c r="F28" s="250"/>
      <c r="G28" s="251"/>
      <c r="H28" s="51"/>
      <c r="I28" s="51"/>
      <c r="J28" s="101"/>
      <c r="K28" s="99"/>
      <c r="L28" s="103"/>
      <c r="M28" s="126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63"/>
      <c r="F29" s="67"/>
      <c r="G29" s="67"/>
      <c r="H29" s="51"/>
      <c r="I29" s="51"/>
      <c r="J29" s="101"/>
      <c r="K29" s="99"/>
      <c r="L29" s="103"/>
      <c r="M29" s="126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6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6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47"/>
      <c r="F32" s="67"/>
      <c r="G32" s="67"/>
      <c r="H32" s="51"/>
      <c r="I32" s="51"/>
      <c r="J32" s="101"/>
      <c r="K32" s="99"/>
      <c r="L32" s="103"/>
      <c r="M32" s="126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6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6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6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6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6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42"/>
      <c r="I38" s="129"/>
      <c r="J38" s="101"/>
      <c r="K38" s="99"/>
      <c r="L38" s="103"/>
      <c r="M38" s="126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42"/>
      <c r="I39" s="129"/>
      <c r="J39" s="101"/>
      <c r="K39" s="99"/>
      <c r="L39" s="103"/>
      <c r="M39" s="126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42"/>
      <c r="I40" s="129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6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42"/>
      <c r="I41" s="129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6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42"/>
      <c r="I42" s="129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6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42"/>
      <c r="I43" s="129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6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42"/>
      <c r="I44" s="129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6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42"/>
      <c r="I45" s="129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6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42"/>
      <c r="I46" s="129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6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42"/>
      <c r="I47" s="129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6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42"/>
      <c r="I48" s="129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6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42"/>
      <c r="I49" s="129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6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42"/>
      <c r="I50" s="129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6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42"/>
      <c r="I51" s="129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6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42"/>
      <c r="I52" s="129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6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42"/>
      <c r="I53" s="129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6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42"/>
      <c r="I54" s="129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6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42"/>
      <c r="I55" s="129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6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42"/>
      <c r="I56" s="129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6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42"/>
      <c r="I57" s="129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6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42"/>
      <c r="I58" s="129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6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42"/>
      <c r="I59" s="129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6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42"/>
      <c r="I60" s="129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6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42"/>
      <c r="I61" s="129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6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42"/>
      <c r="I62" s="129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6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42"/>
      <c r="I63" s="129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6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42"/>
      <c r="I64" s="129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6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42"/>
      <c r="I65" s="129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6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42"/>
      <c r="I66" s="129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6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42"/>
      <c r="I67" s="129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6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42"/>
      <c r="I68" s="129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6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42"/>
      <c r="I69" s="129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6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42"/>
      <c r="I70" s="129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6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42"/>
      <c r="I71" s="129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6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42"/>
      <c r="I72" s="129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6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42"/>
      <c r="I73" s="129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6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42"/>
      <c r="I74" s="129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6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42"/>
      <c r="I75" s="129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6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42"/>
      <c r="I76" s="129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6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42"/>
      <c r="I77" s="129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6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42"/>
      <c r="I78" s="129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6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42"/>
      <c r="I79" s="129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6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42"/>
      <c r="I80" s="129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6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42"/>
      <c r="I81" s="129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6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42"/>
      <c r="I82" s="129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6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42"/>
      <c r="I83" s="129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6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42"/>
      <c r="I84" s="129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6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42"/>
      <c r="I85" s="129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6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42"/>
      <c r="I86" s="129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6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42"/>
      <c r="I87" s="129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6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42"/>
      <c r="I88" s="129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6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42"/>
      <c r="I89" s="129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6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42"/>
      <c r="I90" s="129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6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42"/>
      <c r="I91" s="129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6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42"/>
      <c r="I92" s="129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6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42"/>
      <c r="I93" s="129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6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42"/>
      <c r="I94" s="129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6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42"/>
      <c r="I95" s="129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6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42"/>
      <c r="I96" s="129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6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42"/>
      <c r="I97" s="129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6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42"/>
      <c r="I98" s="129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6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42"/>
      <c r="I99" s="129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6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42"/>
      <c r="I100" s="129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6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42"/>
      <c r="I101" s="129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6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42"/>
      <c r="I102" s="129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6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42"/>
      <c r="I103" s="129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6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42"/>
      <c r="I104" s="129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6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42"/>
      <c r="I105" s="129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6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42"/>
      <c r="I106" s="129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6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42"/>
      <c r="I107" s="129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6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42"/>
      <c r="I108" s="129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6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42"/>
      <c r="I109" s="129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6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42"/>
      <c r="I110" s="129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6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42"/>
      <c r="I111" s="129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6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42"/>
      <c r="I112" s="129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6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42"/>
      <c r="I113" s="129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6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42"/>
      <c r="I114" s="129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6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42"/>
      <c r="I115" s="129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6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42"/>
      <c r="I116" s="129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6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42"/>
      <c r="I117" s="129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6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42"/>
      <c r="I118" s="129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6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42"/>
      <c r="I119" s="129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6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42"/>
      <c r="I120" s="129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6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42"/>
      <c r="I121" s="129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6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42"/>
      <c r="I122" s="129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6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42"/>
      <c r="I123" s="129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6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42"/>
      <c r="I124" s="129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6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42"/>
      <c r="I125" s="129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6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42"/>
      <c r="I126" s="129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6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42"/>
      <c r="I127" s="129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6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42"/>
      <c r="I128" s="129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6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42"/>
      <c r="I129" s="129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6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42"/>
      <c r="I130" s="129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6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42"/>
      <c r="I131" s="129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6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42"/>
      <c r="I132" s="129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6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42"/>
      <c r="I133" s="129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6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42"/>
      <c r="I134" s="129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6">
        <f t="shared" si="4"/>
        <v>999</v>
      </c>
      <c r="N134" s="124"/>
      <c r="O134" s="127"/>
      <c r="P134" s="128">
        <f t="shared" si="5"/>
        <v>999</v>
      </c>
      <c r="Q134" s="129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42"/>
      <c r="I135" s="129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6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42"/>
      <c r="I136" s="129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6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42"/>
      <c r="I137" s="129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6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42"/>
      <c r="I138" s="129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6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42"/>
      <c r="I139" s="129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6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42"/>
      <c r="I140" s="129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6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42"/>
      <c r="I141" s="129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6">
        <f t="shared" si="4"/>
        <v>999</v>
      </c>
      <c r="N141" s="124"/>
      <c r="O141" s="127"/>
      <c r="P141" s="128">
        <f t="shared" si="5"/>
        <v>999</v>
      </c>
      <c r="Q141" s="129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42"/>
      <c r="I142" s="129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6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42"/>
      <c r="I143" s="129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6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42"/>
      <c r="I144" s="129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6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42"/>
      <c r="I145" s="129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6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42"/>
      <c r="I146" s="129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6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42"/>
      <c r="I147" s="129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6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42"/>
      <c r="I148" s="129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6">
        <f t="shared" si="4"/>
        <v>999</v>
      </c>
      <c r="N148" s="124"/>
      <c r="O148" s="127"/>
      <c r="P148" s="128">
        <f t="shared" si="5"/>
        <v>999</v>
      </c>
      <c r="Q148" s="129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42"/>
      <c r="I149" s="129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6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42"/>
      <c r="I150" s="129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6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42"/>
      <c r="I151" s="129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6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42"/>
      <c r="I152" s="129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6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42"/>
      <c r="I153" s="129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6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42"/>
      <c r="I154" s="129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6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42"/>
      <c r="I155" s="129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6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42"/>
      <c r="I156" s="129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6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7">
    <tabColor rgb="FFFF0000"/>
  </sheetPr>
  <dimension ref="A1:AK54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266" customWidth="1"/>
    <col min="5" max="5" width="9.28125" style="266" customWidth="1"/>
    <col min="6" max="6" width="7.140625" style="266" customWidth="1"/>
    <col min="7" max="7" width="9.28125" style="266" customWidth="1"/>
    <col min="8" max="8" width="7.140625" style="266" customWidth="1"/>
    <col min="9" max="9" width="9.28125" style="266" customWidth="1"/>
    <col min="10" max="10" width="7.8515625" style="266" customWidth="1"/>
    <col min="11" max="11" width="8.57421875" style="266" customWidth="1"/>
    <col min="12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288" t="str">
        <f>Altalanos!$A$6</f>
        <v>KORO. CSB DÖNTŐ</v>
      </c>
      <c r="B1" s="288"/>
      <c r="C1" s="288"/>
      <c r="D1" s="288"/>
      <c r="E1" s="288"/>
      <c r="F1" s="288"/>
      <c r="G1" s="134"/>
      <c r="H1" s="137" t="s">
        <v>44</v>
      </c>
      <c r="I1" s="135"/>
      <c r="J1" s="136"/>
      <c r="L1" s="138"/>
      <c r="M1" s="159"/>
      <c r="N1" s="161"/>
      <c r="O1" s="161" t="s">
        <v>11</v>
      </c>
      <c r="P1" s="161"/>
      <c r="Q1" s="162"/>
      <c r="R1" s="161"/>
      <c r="S1" s="163"/>
      <c r="AB1" s="225" t="e">
        <f>IF(Y5=1,CONCATENATE(VLOOKUP(Y3,AA16:AH30,2)),CONCATENATE(VLOOKUP(Y3,AA2:AK13,2)))</f>
        <v>#N/A</v>
      </c>
      <c r="AC1" s="225" t="e">
        <f>IF(Y5=1,CONCATENATE(VLOOKUP(Y3,AA16:AK30,3)),CONCATENATE(VLOOKUP(Y3,AA2:AK13,3)))</f>
        <v>#N/A</v>
      </c>
      <c r="AD1" s="225" t="e">
        <f>IF(Y5=1,CONCATENATE(VLOOKUP(Y3,AA16:AK30,4)),CONCATENATE(VLOOKUP(Y3,AA2:AK13,4)))</f>
        <v>#N/A</v>
      </c>
      <c r="AE1" s="225" t="e">
        <f>IF(Y5=1,CONCATENATE(VLOOKUP(Y3,AA16:AK30,5)),CONCATENATE(VLOOKUP(Y3,AA2:AK13,5)))</f>
        <v>#N/A</v>
      </c>
      <c r="AF1" s="225" t="e">
        <f>IF(Y5=1,CONCATENATE(VLOOKUP(Y3,AA16:AK30,6)),CONCATENATE(VLOOKUP(Y3,AA2:AK13,6)))</f>
        <v>#N/A</v>
      </c>
      <c r="AG1" s="225" t="e">
        <f>IF(Y5=1,CONCATENATE(VLOOKUP(Y3,AA16:AK30,7)),CONCATENATE(VLOOKUP(Y3,AA2:AK13,7)))</f>
        <v>#N/A</v>
      </c>
      <c r="AH1" s="225" t="e">
        <f>IF(Y5=1,CONCATENATE(VLOOKUP(Y3,AA16:AK30,8)),CONCATENATE(VLOOKUP(Y3,AA2:AK13,8)))</f>
        <v>#N/A</v>
      </c>
      <c r="AI1" s="225" t="e">
        <f>IF(Y5=1,CONCATENATE(VLOOKUP(Y3,AA16:AK30,9)),CONCATENATE(VLOOKUP(Y3,AA2:AK13,9)))</f>
        <v>#N/A</v>
      </c>
      <c r="AJ1" s="225" t="e">
        <f>IF(Y5=1,CONCATENATE(VLOOKUP(Y3,AA16:AK30,10)),CONCATENATE(VLOOKUP(Y3,AA2:AK13,10)))</f>
        <v>#N/A</v>
      </c>
      <c r="AK1" s="225" t="e">
        <f>IF(Y5=1,CONCATENATE(VLOOKUP(Y3,AA16:AK30,11)),CONCATENATE(VLOOKUP(Y3,AA2:AK13,11)))</f>
        <v>#N/A</v>
      </c>
    </row>
    <row r="2" spans="1:37" ht="12.75">
      <c r="A2" s="139" t="s">
        <v>43</v>
      </c>
      <c r="B2" s="140"/>
      <c r="C2" s="140"/>
      <c r="D2" s="140"/>
      <c r="E2" s="140" t="str">
        <f>Altalanos!$B$8</f>
        <v>F12</v>
      </c>
      <c r="F2" s="140"/>
      <c r="G2" s="141"/>
      <c r="H2" s="142"/>
      <c r="I2" s="142"/>
      <c r="J2" s="143"/>
      <c r="K2" s="138"/>
      <c r="L2" s="138"/>
      <c r="M2" s="160"/>
      <c r="N2" s="164"/>
      <c r="O2" s="165"/>
      <c r="P2" s="164"/>
      <c r="Q2" s="165"/>
      <c r="R2" s="164"/>
      <c r="S2" s="163"/>
      <c r="Y2" s="220"/>
      <c r="Z2" s="219"/>
      <c r="AA2" s="219" t="s">
        <v>53</v>
      </c>
      <c r="AB2" s="223">
        <v>150</v>
      </c>
      <c r="AC2" s="223">
        <v>120</v>
      </c>
      <c r="AD2" s="223">
        <v>100</v>
      </c>
      <c r="AE2" s="223">
        <v>80</v>
      </c>
      <c r="AF2" s="223">
        <v>70</v>
      </c>
      <c r="AG2" s="223">
        <v>60</v>
      </c>
      <c r="AH2" s="223">
        <v>55</v>
      </c>
      <c r="AI2" s="223">
        <v>50</v>
      </c>
      <c r="AJ2" s="223">
        <v>45</v>
      </c>
      <c r="AK2" s="223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208" t="s">
        <v>67</v>
      </c>
      <c r="R3" s="209" t="s">
        <v>73</v>
      </c>
      <c r="S3" s="209" t="s">
        <v>68</v>
      </c>
      <c r="Y3" s="219">
        <f>IF(H4="OB","A",IF(H4="IX","W",H4))</f>
        <v>0</v>
      </c>
      <c r="Z3" s="219"/>
      <c r="AA3" s="219" t="s">
        <v>76</v>
      </c>
      <c r="AB3" s="223">
        <v>120</v>
      </c>
      <c r="AC3" s="223">
        <v>90</v>
      </c>
      <c r="AD3" s="223">
        <v>65</v>
      </c>
      <c r="AE3" s="223">
        <v>55</v>
      </c>
      <c r="AF3" s="223">
        <v>50</v>
      </c>
      <c r="AG3" s="223">
        <v>45</v>
      </c>
      <c r="AH3" s="223">
        <v>40</v>
      </c>
      <c r="AI3" s="223">
        <v>35</v>
      </c>
      <c r="AJ3" s="223">
        <v>25</v>
      </c>
      <c r="AK3" s="223">
        <v>20</v>
      </c>
    </row>
    <row r="4" spans="1:37" ht="13.5" thickBot="1">
      <c r="A4" s="289" t="str">
        <f>Altalanos!$A$10</f>
        <v>2022.08.26-28</v>
      </c>
      <c r="B4" s="289"/>
      <c r="C4" s="289"/>
      <c r="D4" s="267"/>
      <c r="E4" s="144" t="str">
        <f>Altalanos!$C$10</f>
        <v>Balatonboglár</v>
      </c>
      <c r="F4" s="144"/>
      <c r="G4" s="144"/>
      <c r="H4" s="146"/>
      <c r="I4" s="144"/>
      <c r="J4" s="145"/>
      <c r="K4" s="146"/>
      <c r="L4" s="147" t="str">
        <f>Altalanos!$E$10</f>
        <v>Droppa Erika</v>
      </c>
      <c r="M4" s="146"/>
      <c r="N4" s="168"/>
      <c r="O4" s="169"/>
      <c r="P4" s="168"/>
      <c r="Q4" s="210" t="s">
        <v>74</v>
      </c>
      <c r="R4" s="211" t="s">
        <v>69</v>
      </c>
      <c r="S4" s="211" t="s">
        <v>70</v>
      </c>
      <c r="Y4" s="219"/>
      <c r="Z4" s="219"/>
      <c r="AA4" s="219" t="s">
        <v>77</v>
      </c>
      <c r="AB4" s="223">
        <v>90</v>
      </c>
      <c r="AC4" s="223">
        <v>60</v>
      </c>
      <c r="AD4" s="223">
        <v>45</v>
      </c>
      <c r="AE4" s="223">
        <v>34</v>
      </c>
      <c r="AF4" s="223">
        <v>27</v>
      </c>
      <c r="AG4" s="223">
        <v>22</v>
      </c>
      <c r="AH4" s="223">
        <v>18</v>
      </c>
      <c r="AI4" s="223">
        <v>15</v>
      </c>
      <c r="AJ4" s="223">
        <v>12</v>
      </c>
      <c r="AK4" s="223">
        <v>9</v>
      </c>
    </row>
    <row r="5" spans="1:37" ht="12.75">
      <c r="A5" s="30"/>
      <c r="B5" s="30" t="s">
        <v>41</v>
      </c>
      <c r="C5" s="157" t="s">
        <v>51</v>
      </c>
      <c r="D5" s="268" t="s">
        <v>35</v>
      </c>
      <c r="E5" s="268" t="s">
        <v>56</v>
      </c>
      <c r="F5" s="268"/>
      <c r="G5" s="268" t="s">
        <v>23</v>
      </c>
      <c r="H5" s="268"/>
      <c r="I5" s="268" t="s">
        <v>26</v>
      </c>
      <c r="J5" s="268"/>
      <c r="K5" s="269" t="s">
        <v>57</v>
      </c>
      <c r="L5" s="198" t="s">
        <v>58</v>
      </c>
      <c r="M5" s="198" t="s">
        <v>59</v>
      </c>
      <c r="N5" s="163"/>
      <c r="O5" s="163"/>
      <c r="P5" s="163"/>
      <c r="Q5" s="212" t="s">
        <v>75</v>
      </c>
      <c r="R5" s="213" t="s">
        <v>71</v>
      </c>
      <c r="S5" s="213" t="s">
        <v>72</v>
      </c>
      <c r="Y5" s="219">
        <f>IF(OR(Altalanos!$A$8="F1",Altalanos!$A$8="F2",Altalanos!$A$8="N1",Altalanos!$A$8="N2"),1,2)</f>
        <v>2</v>
      </c>
      <c r="Z5" s="219"/>
      <c r="AA5" s="219" t="s">
        <v>78</v>
      </c>
      <c r="AB5" s="223">
        <v>60</v>
      </c>
      <c r="AC5" s="223">
        <v>40</v>
      </c>
      <c r="AD5" s="223">
        <v>30</v>
      </c>
      <c r="AE5" s="223">
        <v>20</v>
      </c>
      <c r="AF5" s="223">
        <v>18</v>
      </c>
      <c r="AG5" s="223">
        <v>15</v>
      </c>
      <c r="AH5" s="223">
        <v>12</v>
      </c>
      <c r="AI5" s="223">
        <v>10</v>
      </c>
      <c r="AJ5" s="223">
        <v>8</v>
      </c>
      <c r="AK5" s="223">
        <v>6</v>
      </c>
    </row>
    <row r="6" spans="1:37" ht="12.75">
      <c r="A6" s="149"/>
      <c r="B6" s="149"/>
      <c r="C6" s="197"/>
      <c r="D6" s="270"/>
      <c r="E6" s="270"/>
      <c r="F6" s="270"/>
      <c r="G6" s="270"/>
      <c r="H6" s="270"/>
      <c r="I6" s="270"/>
      <c r="J6" s="270"/>
      <c r="K6" s="270"/>
      <c r="L6" s="149"/>
      <c r="M6" s="149"/>
      <c r="N6" s="163"/>
      <c r="O6" s="163"/>
      <c r="P6" s="163"/>
      <c r="Q6" s="163"/>
      <c r="R6" s="163"/>
      <c r="S6" s="163"/>
      <c r="Y6" s="219"/>
      <c r="Z6" s="219"/>
      <c r="AA6" s="219" t="s">
        <v>79</v>
      </c>
      <c r="AB6" s="223">
        <v>40</v>
      </c>
      <c r="AC6" s="223">
        <v>25</v>
      </c>
      <c r="AD6" s="223">
        <v>18</v>
      </c>
      <c r="AE6" s="223">
        <v>13</v>
      </c>
      <c r="AF6" s="223">
        <v>10</v>
      </c>
      <c r="AG6" s="223">
        <v>8</v>
      </c>
      <c r="AH6" s="223">
        <v>6</v>
      </c>
      <c r="AI6" s="223">
        <v>5</v>
      </c>
      <c r="AJ6" s="223">
        <v>4</v>
      </c>
      <c r="AK6" s="223">
        <v>3</v>
      </c>
    </row>
    <row r="7" spans="1:37" ht="12.75">
      <c r="A7" s="200" t="s">
        <v>53</v>
      </c>
      <c r="B7" s="214">
        <v>1</v>
      </c>
      <c r="C7" s="158">
        <f>IF($B7="","",VLOOKUP($B7,'F12 elo'!$A$7:$O$22,5))</f>
        <v>0</v>
      </c>
      <c r="D7" s="271">
        <f>IF($B7="","",VLOOKUP($B7,'F12 elo'!$A$7:$O$22,15))</f>
        <v>15</v>
      </c>
      <c r="E7" s="272" t="str">
        <f>UPPER(IF($B7="","",VLOOKUP($B7,'F12 elo'!$A$7:$O$22,2)))</f>
        <v>TENISZ MŰHELY 1,</v>
      </c>
      <c r="F7" s="273"/>
      <c r="G7" s="272">
        <f>IF($B7="","",VLOOKUP($B7,'F12 elo'!$A$7:$O$22,3))</f>
        <v>0</v>
      </c>
      <c r="H7" s="273"/>
      <c r="I7" s="272">
        <f>IF($B7="","",VLOOKUP($B7,'F12 elo'!$A$7:$O$22,4))</f>
        <v>0</v>
      </c>
      <c r="J7" s="270"/>
      <c r="K7" s="287" t="s">
        <v>3</v>
      </c>
      <c r="L7" s="221"/>
      <c r="M7" s="226"/>
      <c r="N7" s="163"/>
      <c r="O7" s="163"/>
      <c r="P7" s="163"/>
      <c r="Q7" s="208" t="s">
        <v>67</v>
      </c>
      <c r="R7" s="257" t="s">
        <v>100</v>
      </c>
      <c r="S7" s="257" t="s">
        <v>101</v>
      </c>
      <c r="Y7" s="219"/>
      <c r="Z7" s="219"/>
      <c r="AA7" s="219" t="s">
        <v>80</v>
      </c>
      <c r="AB7" s="223">
        <v>25</v>
      </c>
      <c r="AC7" s="223">
        <v>15</v>
      </c>
      <c r="AD7" s="223">
        <v>13</v>
      </c>
      <c r="AE7" s="223">
        <v>8</v>
      </c>
      <c r="AF7" s="223">
        <v>6</v>
      </c>
      <c r="AG7" s="223">
        <v>4</v>
      </c>
      <c r="AH7" s="223">
        <v>3</v>
      </c>
      <c r="AI7" s="223">
        <v>2</v>
      </c>
      <c r="AJ7" s="223">
        <v>1</v>
      </c>
      <c r="AK7" s="223">
        <v>0</v>
      </c>
    </row>
    <row r="8" spans="1:37" ht="12.75">
      <c r="A8" s="170"/>
      <c r="B8" s="215"/>
      <c r="C8" s="171"/>
      <c r="D8" s="275"/>
      <c r="E8" s="275"/>
      <c r="F8" s="275"/>
      <c r="G8" s="275"/>
      <c r="H8" s="275"/>
      <c r="I8" s="275"/>
      <c r="J8" s="270"/>
      <c r="K8" s="276"/>
      <c r="L8" s="170"/>
      <c r="M8" s="227"/>
      <c r="N8" s="163"/>
      <c r="O8" s="163"/>
      <c r="P8" s="163"/>
      <c r="Q8" s="210" t="s">
        <v>74</v>
      </c>
      <c r="R8" s="258" t="s">
        <v>99</v>
      </c>
      <c r="S8" s="258" t="s">
        <v>102</v>
      </c>
      <c r="Y8" s="219"/>
      <c r="Z8" s="219"/>
      <c r="AA8" s="219" t="s">
        <v>81</v>
      </c>
      <c r="AB8" s="223">
        <v>15</v>
      </c>
      <c r="AC8" s="223">
        <v>10</v>
      </c>
      <c r="AD8" s="223">
        <v>7</v>
      </c>
      <c r="AE8" s="223">
        <v>5</v>
      </c>
      <c r="AF8" s="223">
        <v>4</v>
      </c>
      <c r="AG8" s="223">
        <v>3</v>
      </c>
      <c r="AH8" s="223">
        <v>2</v>
      </c>
      <c r="AI8" s="223">
        <v>1</v>
      </c>
      <c r="AJ8" s="223">
        <v>0</v>
      </c>
      <c r="AK8" s="223">
        <v>0</v>
      </c>
    </row>
    <row r="9" spans="1:37" ht="12.75">
      <c r="A9" s="170" t="s">
        <v>54</v>
      </c>
      <c r="B9" s="216">
        <v>6</v>
      </c>
      <c r="C9" s="158">
        <f>IF($B9="","",VLOOKUP($B9,'F12 elo'!$A$7:$O$22,5))</f>
        <v>0</v>
      </c>
      <c r="D9" s="271">
        <f>IF($B9="","",VLOOKUP($B9,'F12 elo'!$A$7:$O$22,15))</f>
        <v>78</v>
      </c>
      <c r="E9" s="277" t="str">
        <f>UPPER(IF($B9="","",VLOOKUP($B9,'F12 elo'!$A$7:$O$22,2)))</f>
        <v>MTK-BTC</v>
      </c>
      <c r="F9" s="278"/>
      <c r="G9" s="277">
        <f>IF($B9="","",VLOOKUP($B9,'F12 elo'!$A$7:$O$22,3))</f>
        <v>0</v>
      </c>
      <c r="H9" s="278"/>
      <c r="I9" s="277">
        <f>IF($B9="","",VLOOKUP($B9,'F12 elo'!$A$7:$O$22,4))</f>
        <v>0</v>
      </c>
      <c r="J9" s="270"/>
      <c r="K9" s="287" t="s">
        <v>9</v>
      </c>
      <c r="L9" s="221"/>
      <c r="M9" s="226"/>
      <c r="N9" s="163"/>
      <c r="O9" s="163"/>
      <c r="P9" s="163"/>
      <c r="Q9" s="212" t="s">
        <v>75</v>
      </c>
      <c r="R9" s="259" t="s">
        <v>98</v>
      </c>
      <c r="S9" s="259" t="s">
        <v>103</v>
      </c>
      <c r="Y9" s="219"/>
      <c r="Z9" s="219"/>
      <c r="AA9" s="219" t="s">
        <v>82</v>
      </c>
      <c r="AB9" s="223">
        <v>10</v>
      </c>
      <c r="AC9" s="223">
        <v>6</v>
      </c>
      <c r="AD9" s="223">
        <v>4</v>
      </c>
      <c r="AE9" s="223">
        <v>2</v>
      </c>
      <c r="AF9" s="223">
        <v>1</v>
      </c>
      <c r="AG9" s="223">
        <v>0</v>
      </c>
      <c r="AH9" s="223">
        <v>0</v>
      </c>
      <c r="AI9" s="223">
        <v>0</v>
      </c>
      <c r="AJ9" s="223">
        <v>0</v>
      </c>
      <c r="AK9" s="223">
        <v>0</v>
      </c>
    </row>
    <row r="10" spans="1:37" ht="12.75">
      <c r="A10" s="170"/>
      <c r="B10" s="215"/>
      <c r="C10" s="171"/>
      <c r="D10" s="275"/>
      <c r="E10" s="275"/>
      <c r="F10" s="275"/>
      <c r="G10" s="275"/>
      <c r="H10" s="275"/>
      <c r="I10" s="275"/>
      <c r="J10" s="270"/>
      <c r="K10" s="276"/>
      <c r="L10" s="170"/>
      <c r="M10" s="227"/>
      <c r="N10" s="163"/>
      <c r="O10" s="163"/>
      <c r="P10" s="163"/>
      <c r="Q10" s="163"/>
      <c r="R10" s="163"/>
      <c r="S10" s="163"/>
      <c r="Y10" s="219"/>
      <c r="Z10" s="219"/>
      <c r="AA10" s="219" t="s">
        <v>83</v>
      </c>
      <c r="AB10" s="223">
        <v>6</v>
      </c>
      <c r="AC10" s="223">
        <v>3</v>
      </c>
      <c r="AD10" s="223">
        <v>2</v>
      </c>
      <c r="AE10" s="223">
        <v>1</v>
      </c>
      <c r="AF10" s="223">
        <v>0</v>
      </c>
      <c r="AG10" s="223">
        <v>0</v>
      </c>
      <c r="AH10" s="223">
        <v>0</v>
      </c>
      <c r="AI10" s="223">
        <v>0</v>
      </c>
      <c r="AJ10" s="223">
        <v>0</v>
      </c>
      <c r="AK10" s="223">
        <v>0</v>
      </c>
    </row>
    <row r="11" spans="1:37" ht="12.75">
      <c r="A11" s="170" t="s">
        <v>55</v>
      </c>
      <c r="B11" s="216">
        <v>4</v>
      </c>
      <c r="C11" s="158">
        <f>IF($B11="","",VLOOKUP($B11,'F12 elo'!$A$7:$O$22,5))</f>
        <v>0</v>
      </c>
      <c r="D11" s="271">
        <f>IF($B11="","",VLOOKUP($B11,'F12 elo'!$A$7:$O$22,15))</f>
        <v>57</v>
      </c>
      <c r="E11" s="277" t="str">
        <f>UPPER(IF($B11="","",VLOOKUP($B11,'F12 elo'!$A$7:$O$22,2)))</f>
        <v>FUTURE TT</v>
      </c>
      <c r="F11" s="278"/>
      <c r="G11" s="277">
        <f>IF($B11="","",VLOOKUP($B11,'F12 elo'!$A$7:$O$22,3))</f>
        <v>0</v>
      </c>
      <c r="H11" s="278"/>
      <c r="I11" s="277">
        <f>IF($B11="","",VLOOKUP($B11,'F12 elo'!$A$7:$O$22,4))</f>
        <v>0</v>
      </c>
      <c r="J11" s="270"/>
      <c r="K11" s="287" t="s">
        <v>5</v>
      </c>
      <c r="L11" s="221"/>
      <c r="M11" s="226"/>
      <c r="N11" s="163"/>
      <c r="O11" s="163"/>
      <c r="P11" s="163"/>
      <c r="Q11" s="163"/>
      <c r="R11" s="163"/>
      <c r="S11" s="163"/>
      <c r="Y11" s="219"/>
      <c r="Z11" s="219"/>
      <c r="AA11" s="219" t="s">
        <v>88</v>
      </c>
      <c r="AB11" s="223">
        <v>3</v>
      </c>
      <c r="AC11" s="223">
        <v>2</v>
      </c>
      <c r="AD11" s="223">
        <v>1</v>
      </c>
      <c r="AE11" s="223">
        <v>0</v>
      </c>
      <c r="AF11" s="223">
        <v>0</v>
      </c>
      <c r="AG11" s="223">
        <v>0</v>
      </c>
      <c r="AH11" s="223">
        <v>0</v>
      </c>
      <c r="AI11" s="223">
        <v>0</v>
      </c>
      <c r="AJ11" s="223">
        <v>0</v>
      </c>
      <c r="AK11" s="223">
        <v>0</v>
      </c>
    </row>
    <row r="12" spans="1:37" ht="12.75">
      <c r="A12" s="149"/>
      <c r="B12" s="200"/>
      <c r="C12" s="197"/>
      <c r="D12" s="270"/>
      <c r="E12" s="270"/>
      <c r="F12" s="270"/>
      <c r="G12" s="270"/>
      <c r="H12" s="270"/>
      <c r="I12" s="270"/>
      <c r="J12" s="270"/>
      <c r="K12" s="279"/>
      <c r="L12" s="197"/>
      <c r="M12" s="228"/>
      <c r="Y12" s="219"/>
      <c r="Z12" s="219"/>
      <c r="AA12" s="219" t="s">
        <v>84</v>
      </c>
      <c r="AB12" s="224">
        <v>0</v>
      </c>
      <c r="AC12" s="224">
        <v>0</v>
      </c>
      <c r="AD12" s="224">
        <v>0</v>
      </c>
      <c r="AE12" s="224">
        <v>0</v>
      </c>
      <c r="AF12" s="224">
        <v>0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</row>
    <row r="13" spans="1:37" ht="12.75">
      <c r="A13" s="253" t="s">
        <v>60</v>
      </c>
      <c r="B13" s="255">
        <v>5</v>
      </c>
      <c r="C13" s="158">
        <f>IF($B13="","",VLOOKUP($B13,'F12 elo'!$A$7:$O$22,5))</f>
        <v>0</v>
      </c>
      <c r="D13" s="271">
        <f>IF($B13="","",VLOOKUP($B13,'F12 elo'!$A$7:$O$22,15))</f>
        <v>75</v>
      </c>
      <c r="E13" s="277" t="str">
        <f>UPPER(IF($B13="","",VLOOKUP($B13,'F12 elo'!$A$7:$O$22,2)))</f>
        <v>PANAKOR TK</v>
      </c>
      <c r="F13" s="278"/>
      <c r="G13" s="277">
        <f>IF($B13="","",VLOOKUP($B13,'F12 elo'!$A$7:$O$22,3))</f>
        <v>0</v>
      </c>
      <c r="H13" s="278"/>
      <c r="I13" s="277">
        <f>IF($B13="","",VLOOKUP($B13,'F12 elo'!$A$7:$O$22,4))</f>
        <v>0</v>
      </c>
      <c r="J13" s="270"/>
      <c r="K13" s="287" t="s">
        <v>8</v>
      </c>
      <c r="L13" s="221"/>
      <c r="M13" s="226"/>
      <c r="Y13" s="219"/>
      <c r="Z13" s="219"/>
      <c r="AA13" s="219" t="s">
        <v>85</v>
      </c>
      <c r="AB13" s="224">
        <v>0</v>
      </c>
      <c r="AC13" s="224">
        <v>0</v>
      </c>
      <c r="AD13" s="224">
        <v>0</v>
      </c>
      <c r="AE13" s="224">
        <v>0</v>
      </c>
      <c r="AF13" s="224">
        <v>0</v>
      </c>
      <c r="AG13" s="224">
        <v>0</v>
      </c>
      <c r="AH13" s="224">
        <v>0</v>
      </c>
      <c r="AI13" s="224">
        <v>0</v>
      </c>
      <c r="AJ13" s="224">
        <v>0</v>
      </c>
      <c r="AK13" s="224">
        <v>0</v>
      </c>
    </row>
    <row r="14" spans="1:37" ht="12.75">
      <c r="A14" s="170"/>
      <c r="B14" s="215"/>
      <c r="C14" s="171"/>
      <c r="D14" s="275"/>
      <c r="E14" s="275"/>
      <c r="F14" s="275"/>
      <c r="G14" s="275"/>
      <c r="H14" s="275"/>
      <c r="I14" s="275"/>
      <c r="J14" s="270"/>
      <c r="K14" s="276"/>
      <c r="L14" s="170"/>
      <c r="M14" s="227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</row>
    <row r="15" spans="1:37" ht="12.75">
      <c r="A15" s="200" t="s">
        <v>61</v>
      </c>
      <c r="B15" s="254">
        <v>2</v>
      </c>
      <c r="C15" s="158">
        <f>IF($B15="","",VLOOKUP($B15,'F12 elo'!$A$7:$O$22,5))</f>
        <v>0</v>
      </c>
      <c r="D15" s="280">
        <f>IF($B15="","",VLOOKUP($B15,'F12 elo'!$A$7:$O$22,15))</f>
        <v>32</v>
      </c>
      <c r="E15" s="272" t="str">
        <f>UPPER(IF($B15="","",VLOOKUP($B15,'F12 elo'!$A$7:$O$22,2)))</f>
        <v>VIHARSAROK</v>
      </c>
      <c r="F15" s="273"/>
      <c r="G15" s="272">
        <f>IF($B15="","",VLOOKUP($B15,'F12 elo'!$A$7:$O$22,3))</f>
        <v>0</v>
      </c>
      <c r="H15" s="273"/>
      <c r="I15" s="272">
        <f>IF($B15="","",VLOOKUP($B15,'F12 elo'!$A$7:$O$22,4))</f>
        <v>0</v>
      </c>
      <c r="J15" s="270"/>
      <c r="K15" s="287" t="s">
        <v>4</v>
      </c>
      <c r="L15" s="221"/>
      <c r="M15" s="226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</row>
    <row r="16" spans="1:37" ht="12.75">
      <c r="A16" s="170"/>
      <c r="B16" s="215"/>
      <c r="C16" s="171"/>
      <c r="D16" s="275"/>
      <c r="E16" s="275"/>
      <c r="F16" s="275"/>
      <c r="G16" s="275"/>
      <c r="H16" s="275"/>
      <c r="I16" s="275"/>
      <c r="J16" s="270"/>
      <c r="K16" s="276"/>
      <c r="L16" s="170"/>
      <c r="M16" s="227"/>
      <c r="Y16" s="219"/>
      <c r="Z16" s="219"/>
      <c r="AA16" s="219" t="s">
        <v>53</v>
      </c>
      <c r="AB16" s="219">
        <v>300</v>
      </c>
      <c r="AC16" s="219">
        <v>250</v>
      </c>
      <c r="AD16" s="219">
        <v>220</v>
      </c>
      <c r="AE16" s="219">
        <v>180</v>
      </c>
      <c r="AF16" s="219">
        <v>160</v>
      </c>
      <c r="AG16" s="219">
        <v>150</v>
      </c>
      <c r="AH16" s="219">
        <v>140</v>
      </c>
      <c r="AI16" s="219">
        <v>130</v>
      </c>
      <c r="AJ16" s="219">
        <v>120</v>
      </c>
      <c r="AK16" s="219">
        <v>110</v>
      </c>
    </row>
    <row r="17" spans="1:37" ht="12.75">
      <c r="A17" s="170" t="s">
        <v>62</v>
      </c>
      <c r="B17" s="216">
        <v>3</v>
      </c>
      <c r="C17" s="158">
        <f>IF($B17="","",VLOOKUP($B17,'F12 elo'!$A$7:$O$22,5))</f>
        <v>0</v>
      </c>
      <c r="D17" s="271">
        <f>IF($B17="","",VLOOKUP($B17,'F12 elo'!$A$7:$O$22,15))</f>
        <v>53</v>
      </c>
      <c r="E17" s="277" t="str">
        <f>UPPER(IF($B17="","",VLOOKUP($B17,'F12 elo'!$A$7:$O$22,2)))</f>
        <v>PÉCS VTC</v>
      </c>
      <c r="F17" s="278"/>
      <c r="G17" s="277">
        <f>IF($B17="","",VLOOKUP($B17,'F12 elo'!$A$7:$O$22,3))</f>
        <v>0</v>
      </c>
      <c r="H17" s="278"/>
      <c r="I17" s="277">
        <f>IF($B17="","",VLOOKUP($B17,'F12 elo'!$A$7:$O$22,4))</f>
        <v>0</v>
      </c>
      <c r="J17" s="270"/>
      <c r="K17" s="287" t="s">
        <v>7</v>
      </c>
      <c r="L17" s="221"/>
      <c r="M17" s="226"/>
      <c r="Y17" s="219"/>
      <c r="Z17" s="219"/>
      <c r="AA17" s="219" t="s">
        <v>76</v>
      </c>
      <c r="AB17" s="219">
        <v>250</v>
      </c>
      <c r="AC17" s="219">
        <v>200</v>
      </c>
      <c r="AD17" s="219">
        <v>160</v>
      </c>
      <c r="AE17" s="219">
        <v>140</v>
      </c>
      <c r="AF17" s="219">
        <v>120</v>
      </c>
      <c r="AG17" s="219">
        <v>110</v>
      </c>
      <c r="AH17" s="219">
        <v>100</v>
      </c>
      <c r="AI17" s="219">
        <v>90</v>
      </c>
      <c r="AJ17" s="219">
        <v>80</v>
      </c>
      <c r="AK17" s="219">
        <v>70</v>
      </c>
    </row>
    <row r="18" spans="1:37" ht="12.75">
      <c r="A18" s="170"/>
      <c r="B18" s="215"/>
      <c r="C18" s="171"/>
      <c r="D18" s="275"/>
      <c r="E18" s="275"/>
      <c r="F18" s="275"/>
      <c r="G18" s="275"/>
      <c r="H18" s="275"/>
      <c r="I18" s="275"/>
      <c r="J18" s="270"/>
      <c r="K18" s="276"/>
      <c r="L18" s="170"/>
      <c r="M18" s="227"/>
      <c r="Y18" s="219"/>
      <c r="Z18" s="219"/>
      <c r="AA18" s="219" t="s">
        <v>77</v>
      </c>
      <c r="AB18" s="219">
        <v>200</v>
      </c>
      <c r="AC18" s="219">
        <v>150</v>
      </c>
      <c r="AD18" s="219">
        <v>130</v>
      </c>
      <c r="AE18" s="219">
        <v>110</v>
      </c>
      <c r="AF18" s="219">
        <v>95</v>
      </c>
      <c r="AG18" s="219">
        <v>80</v>
      </c>
      <c r="AH18" s="219">
        <v>70</v>
      </c>
      <c r="AI18" s="219">
        <v>60</v>
      </c>
      <c r="AJ18" s="219">
        <v>55</v>
      </c>
      <c r="AK18" s="219">
        <v>50</v>
      </c>
    </row>
    <row r="19" spans="1:37" ht="12.75">
      <c r="A19" s="253" t="s">
        <v>66</v>
      </c>
      <c r="B19" s="216">
        <v>8</v>
      </c>
      <c r="C19" s="158">
        <f>IF($B19="","",VLOOKUP($B19,'F12 elo'!$A$7:$O$22,5))</f>
        <v>0</v>
      </c>
      <c r="D19" s="271">
        <f>IF($B19="","",VLOOKUP($B19,'F12 elo'!$A$7:$O$22,15))</f>
        <v>145</v>
      </c>
      <c r="E19" s="277" t="str">
        <f>UPPER(IF($B19="","",VLOOKUP($B19,'F12 elo'!$A$7:$O$22,2)))</f>
        <v>ALFA TI</v>
      </c>
      <c r="F19" s="278"/>
      <c r="G19" s="277">
        <f>IF($B19="","",VLOOKUP($B19,'F12 elo'!$A$7:$O$22,3))</f>
        <v>0</v>
      </c>
      <c r="H19" s="278"/>
      <c r="I19" s="277">
        <f>IF($B19="","",VLOOKUP($B19,'F12 elo'!$A$7:$O$22,4))</f>
        <v>0</v>
      </c>
      <c r="J19" s="270"/>
      <c r="K19" s="287" t="s">
        <v>6</v>
      </c>
      <c r="L19" s="221"/>
      <c r="M19" s="226"/>
      <c r="Y19" s="219"/>
      <c r="Z19" s="219"/>
      <c r="AA19" s="219" t="s">
        <v>78</v>
      </c>
      <c r="AB19" s="219">
        <v>150</v>
      </c>
      <c r="AC19" s="219">
        <v>120</v>
      </c>
      <c r="AD19" s="219">
        <v>100</v>
      </c>
      <c r="AE19" s="219">
        <v>80</v>
      </c>
      <c r="AF19" s="219">
        <v>70</v>
      </c>
      <c r="AG19" s="219">
        <v>60</v>
      </c>
      <c r="AH19" s="219">
        <v>55</v>
      </c>
      <c r="AI19" s="219">
        <v>50</v>
      </c>
      <c r="AJ19" s="219">
        <v>45</v>
      </c>
      <c r="AK19" s="219">
        <v>40</v>
      </c>
    </row>
    <row r="20" spans="1:37" ht="12.75">
      <c r="A20" s="170"/>
      <c r="B20" s="215"/>
      <c r="C20" s="171"/>
      <c r="D20" s="275"/>
      <c r="E20" s="275"/>
      <c r="F20" s="275"/>
      <c r="G20" s="275"/>
      <c r="H20" s="275"/>
      <c r="I20" s="275"/>
      <c r="J20" s="270"/>
      <c r="K20" s="276"/>
      <c r="L20" s="170"/>
      <c r="M20" s="227"/>
      <c r="Y20" s="219"/>
      <c r="Z20" s="219"/>
      <c r="AA20" s="219" t="s">
        <v>77</v>
      </c>
      <c r="AB20" s="219">
        <v>200</v>
      </c>
      <c r="AC20" s="219">
        <v>150</v>
      </c>
      <c r="AD20" s="219">
        <v>130</v>
      </c>
      <c r="AE20" s="219">
        <v>110</v>
      </c>
      <c r="AF20" s="219">
        <v>95</v>
      </c>
      <c r="AG20" s="219">
        <v>80</v>
      </c>
      <c r="AH20" s="219">
        <v>70</v>
      </c>
      <c r="AI20" s="219">
        <v>60</v>
      </c>
      <c r="AJ20" s="219">
        <v>55</v>
      </c>
      <c r="AK20" s="219">
        <v>50</v>
      </c>
    </row>
    <row r="21" spans="1:37" ht="12.75">
      <c r="A21" s="253" t="s">
        <v>96</v>
      </c>
      <c r="B21" s="216">
        <v>7</v>
      </c>
      <c r="C21" s="158">
        <f>IF($B21="","",VLOOKUP($B21,'F12 elo'!$A$7:$O$22,5))</f>
        <v>0</v>
      </c>
      <c r="D21" s="271">
        <f>IF($B21="","",VLOOKUP($B21,'F12 elo'!$A$7:$O$22,15))</f>
        <v>119</v>
      </c>
      <c r="E21" s="277" t="str">
        <f>UPPER(IF($B21="","",VLOOKUP($B21,'F12 elo'!$A$7:$O$22,2)))</f>
        <v>TENISZ MŰHELY 2,</v>
      </c>
      <c r="F21" s="278"/>
      <c r="G21" s="277">
        <f>IF($B21="","",VLOOKUP($B21,'F12 elo'!$A$7:$O$22,3))</f>
        <v>0</v>
      </c>
      <c r="H21" s="278"/>
      <c r="I21" s="277">
        <f>IF($B21="","",VLOOKUP($B21,'F12 elo'!$A$7:$O$22,4))</f>
        <v>0</v>
      </c>
      <c r="J21" s="270"/>
      <c r="K21" s="287" t="s">
        <v>10</v>
      </c>
      <c r="L21" s="221"/>
      <c r="M21" s="226"/>
      <c r="Y21" s="219"/>
      <c r="Z21" s="219"/>
      <c r="AA21" s="219" t="s">
        <v>78</v>
      </c>
      <c r="AB21" s="219">
        <v>150</v>
      </c>
      <c r="AC21" s="219">
        <v>120</v>
      </c>
      <c r="AD21" s="219">
        <v>100</v>
      </c>
      <c r="AE21" s="219">
        <v>80</v>
      </c>
      <c r="AF21" s="219">
        <v>70</v>
      </c>
      <c r="AG21" s="219">
        <v>60</v>
      </c>
      <c r="AH21" s="219">
        <v>55</v>
      </c>
      <c r="AI21" s="219">
        <v>50</v>
      </c>
      <c r="AJ21" s="219">
        <v>45</v>
      </c>
      <c r="AK21" s="219">
        <v>40</v>
      </c>
    </row>
    <row r="22" spans="1:37" ht="12.75">
      <c r="A22" s="149"/>
      <c r="B22" s="149"/>
      <c r="C22" s="149"/>
      <c r="D22" s="270"/>
      <c r="E22" s="270"/>
      <c r="F22" s="270"/>
      <c r="G22" s="270"/>
      <c r="H22" s="270"/>
      <c r="I22" s="270"/>
      <c r="J22" s="270"/>
      <c r="K22" s="270"/>
      <c r="L22" s="149"/>
      <c r="M22" s="149"/>
      <c r="Y22" s="219"/>
      <c r="Z22" s="219"/>
      <c r="AA22" s="219" t="s">
        <v>79</v>
      </c>
      <c r="AB22" s="219">
        <v>120</v>
      </c>
      <c r="AC22" s="219">
        <v>90</v>
      </c>
      <c r="AD22" s="219">
        <v>65</v>
      </c>
      <c r="AE22" s="219">
        <v>55</v>
      </c>
      <c r="AF22" s="219">
        <v>50</v>
      </c>
      <c r="AG22" s="219">
        <v>45</v>
      </c>
      <c r="AH22" s="219">
        <v>40</v>
      </c>
      <c r="AI22" s="219">
        <v>35</v>
      </c>
      <c r="AJ22" s="219">
        <v>25</v>
      </c>
      <c r="AK22" s="219">
        <v>20</v>
      </c>
    </row>
    <row r="23" spans="1:37" ht="12.75">
      <c r="A23" s="149"/>
      <c r="B23" s="149"/>
      <c r="C23" s="149"/>
      <c r="D23" s="270"/>
      <c r="E23" s="270"/>
      <c r="F23" s="270"/>
      <c r="G23" s="270"/>
      <c r="H23" s="270"/>
      <c r="I23" s="270"/>
      <c r="J23" s="270"/>
      <c r="K23" s="270"/>
      <c r="L23" s="149"/>
      <c r="M23" s="149"/>
      <c r="Y23" s="219"/>
      <c r="Z23" s="219"/>
      <c r="AA23" s="219" t="s">
        <v>80</v>
      </c>
      <c r="AB23" s="219">
        <v>90</v>
      </c>
      <c r="AC23" s="219">
        <v>60</v>
      </c>
      <c r="AD23" s="219">
        <v>45</v>
      </c>
      <c r="AE23" s="219">
        <v>34</v>
      </c>
      <c r="AF23" s="219">
        <v>27</v>
      </c>
      <c r="AG23" s="219">
        <v>22</v>
      </c>
      <c r="AH23" s="219">
        <v>18</v>
      </c>
      <c r="AI23" s="219">
        <v>15</v>
      </c>
      <c r="AJ23" s="219">
        <v>12</v>
      </c>
      <c r="AK23" s="219">
        <v>9</v>
      </c>
    </row>
    <row r="24" spans="1:37" ht="18.75" customHeight="1">
      <c r="A24" s="149"/>
      <c r="B24" s="290"/>
      <c r="C24" s="290"/>
      <c r="D24" s="291" t="str">
        <f>E7</f>
        <v>TENISZ MŰHELY 1,</v>
      </c>
      <c r="E24" s="291"/>
      <c r="F24" s="291" t="str">
        <f>E9</f>
        <v>MTK-BTC</v>
      </c>
      <c r="G24" s="291"/>
      <c r="H24" s="291" t="str">
        <f>E11</f>
        <v>FUTURE TT</v>
      </c>
      <c r="I24" s="291"/>
      <c r="J24" s="291" t="str">
        <f>E13</f>
        <v>PANAKOR TK</v>
      </c>
      <c r="K24" s="291"/>
      <c r="L24" s="149"/>
      <c r="M24" s="201" t="s">
        <v>57</v>
      </c>
      <c r="Y24" s="219"/>
      <c r="Z24" s="219"/>
      <c r="AA24" s="219" t="s">
        <v>81</v>
      </c>
      <c r="AB24" s="219">
        <v>60</v>
      </c>
      <c r="AC24" s="219">
        <v>40</v>
      </c>
      <c r="AD24" s="219">
        <v>30</v>
      </c>
      <c r="AE24" s="219">
        <v>20</v>
      </c>
      <c r="AF24" s="219">
        <v>18</v>
      </c>
      <c r="AG24" s="219">
        <v>15</v>
      </c>
      <c r="AH24" s="219">
        <v>12</v>
      </c>
      <c r="AI24" s="219">
        <v>10</v>
      </c>
      <c r="AJ24" s="219">
        <v>8</v>
      </c>
      <c r="AK24" s="219">
        <v>6</v>
      </c>
    </row>
    <row r="25" spans="1:37" ht="18.75" customHeight="1">
      <c r="A25" s="199" t="s">
        <v>53</v>
      </c>
      <c r="B25" s="292" t="str">
        <f>E7</f>
        <v>TENISZ MŰHELY 1,</v>
      </c>
      <c r="C25" s="292"/>
      <c r="D25" s="293"/>
      <c r="E25" s="293"/>
      <c r="F25" s="294" t="s">
        <v>132</v>
      </c>
      <c r="G25" s="295"/>
      <c r="H25" s="294" t="s">
        <v>132</v>
      </c>
      <c r="I25" s="295"/>
      <c r="J25" s="300" t="s">
        <v>132</v>
      </c>
      <c r="K25" s="291"/>
      <c r="L25" s="149"/>
      <c r="M25" s="203">
        <v>1</v>
      </c>
      <c r="Y25" s="219"/>
      <c r="Z25" s="219"/>
      <c r="AA25" s="219" t="s">
        <v>82</v>
      </c>
      <c r="AB25" s="219">
        <v>40</v>
      </c>
      <c r="AC25" s="219">
        <v>25</v>
      </c>
      <c r="AD25" s="219">
        <v>18</v>
      </c>
      <c r="AE25" s="219">
        <v>13</v>
      </c>
      <c r="AF25" s="219">
        <v>8</v>
      </c>
      <c r="AG25" s="219">
        <v>7</v>
      </c>
      <c r="AH25" s="219">
        <v>6</v>
      </c>
      <c r="AI25" s="219">
        <v>5</v>
      </c>
      <c r="AJ25" s="219">
        <v>4</v>
      </c>
      <c r="AK25" s="219">
        <v>3</v>
      </c>
    </row>
    <row r="26" spans="1:37" ht="18.75" customHeight="1">
      <c r="A26" s="199" t="s">
        <v>54</v>
      </c>
      <c r="B26" s="292" t="str">
        <f>E9</f>
        <v>MTK-BTC</v>
      </c>
      <c r="C26" s="292"/>
      <c r="D26" s="294" t="s">
        <v>135</v>
      </c>
      <c r="E26" s="295"/>
      <c r="F26" s="293"/>
      <c r="G26" s="293"/>
      <c r="H26" s="294" t="s">
        <v>140</v>
      </c>
      <c r="I26" s="295"/>
      <c r="J26" s="294" t="s">
        <v>134</v>
      </c>
      <c r="K26" s="295"/>
      <c r="L26" s="149"/>
      <c r="M26" s="203">
        <v>4</v>
      </c>
      <c r="Y26" s="219"/>
      <c r="Z26" s="219"/>
      <c r="AA26" s="219" t="s">
        <v>83</v>
      </c>
      <c r="AB26" s="219">
        <v>25</v>
      </c>
      <c r="AC26" s="219">
        <v>15</v>
      </c>
      <c r="AD26" s="219">
        <v>13</v>
      </c>
      <c r="AE26" s="219">
        <v>7</v>
      </c>
      <c r="AF26" s="219">
        <v>6</v>
      </c>
      <c r="AG26" s="219">
        <v>5</v>
      </c>
      <c r="AH26" s="219">
        <v>4</v>
      </c>
      <c r="AI26" s="219">
        <v>3</v>
      </c>
      <c r="AJ26" s="219">
        <v>2</v>
      </c>
      <c r="AK26" s="219">
        <v>1</v>
      </c>
    </row>
    <row r="27" spans="1:37" ht="18.75" customHeight="1">
      <c r="A27" s="199" t="s">
        <v>55</v>
      </c>
      <c r="B27" s="292" t="str">
        <f>E11</f>
        <v>FUTURE TT</v>
      </c>
      <c r="C27" s="292"/>
      <c r="D27" s="294" t="s">
        <v>135</v>
      </c>
      <c r="E27" s="295"/>
      <c r="F27" s="294" t="s">
        <v>141</v>
      </c>
      <c r="G27" s="295"/>
      <c r="H27" s="293"/>
      <c r="I27" s="293"/>
      <c r="J27" s="294" t="s">
        <v>145</v>
      </c>
      <c r="K27" s="295"/>
      <c r="L27" s="149"/>
      <c r="M27" s="203">
        <v>2</v>
      </c>
      <c r="Y27" s="219"/>
      <c r="Z27" s="219"/>
      <c r="AA27" s="219" t="s">
        <v>88</v>
      </c>
      <c r="AB27" s="219">
        <v>15</v>
      </c>
      <c r="AC27" s="219">
        <v>10</v>
      </c>
      <c r="AD27" s="219">
        <v>8</v>
      </c>
      <c r="AE27" s="219">
        <v>4</v>
      </c>
      <c r="AF27" s="219">
        <v>3</v>
      </c>
      <c r="AG27" s="219">
        <v>2</v>
      </c>
      <c r="AH27" s="219">
        <v>1</v>
      </c>
      <c r="AI27" s="219">
        <v>0</v>
      </c>
      <c r="AJ27" s="219">
        <v>0</v>
      </c>
      <c r="AK27" s="219">
        <v>0</v>
      </c>
    </row>
    <row r="28" spans="1:37" ht="18.75" customHeight="1">
      <c r="A28" s="252" t="s">
        <v>60</v>
      </c>
      <c r="B28" s="292" t="str">
        <f>E13</f>
        <v>PANAKOR TK</v>
      </c>
      <c r="C28" s="292"/>
      <c r="D28" s="294" t="s">
        <v>135</v>
      </c>
      <c r="E28" s="295"/>
      <c r="F28" s="294" t="s">
        <v>136</v>
      </c>
      <c r="G28" s="295"/>
      <c r="H28" s="300" t="s">
        <v>146</v>
      </c>
      <c r="I28" s="291"/>
      <c r="J28" s="293"/>
      <c r="K28" s="293"/>
      <c r="L28" s="149"/>
      <c r="M28" s="203">
        <v>3</v>
      </c>
      <c r="Y28" s="219"/>
      <c r="Z28" s="219"/>
      <c r="AA28" s="219" t="s">
        <v>88</v>
      </c>
      <c r="AB28" s="219">
        <v>15</v>
      </c>
      <c r="AC28" s="219">
        <v>10</v>
      </c>
      <c r="AD28" s="219">
        <v>8</v>
      </c>
      <c r="AE28" s="219">
        <v>4</v>
      </c>
      <c r="AF28" s="219">
        <v>3</v>
      </c>
      <c r="AG28" s="219">
        <v>2</v>
      </c>
      <c r="AH28" s="219">
        <v>1</v>
      </c>
      <c r="AI28" s="219">
        <v>0</v>
      </c>
      <c r="AJ28" s="219">
        <v>0</v>
      </c>
      <c r="AK28" s="219">
        <v>0</v>
      </c>
    </row>
    <row r="29" spans="1:37" ht="12.75">
      <c r="A29" s="149"/>
      <c r="B29" s="149"/>
      <c r="C29" s="149"/>
      <c r="D29" s="270"/>
      <c r="E29" s="270"/>
      <c r="F29" s="270"/>
      <c r="G29" s="270"/>
      <c r="H29" s="270"/>
      <c r="I29" s="270"/>
      <c r="J29" s="270"/>
      <c r="K29" s="270"/>
      <c r="L29" s="149"/>
      <c r="M29" s="204"/>
      <c r="Y29" s="219"/>
      <c r="Z29" s="219"/>
      <c r="AA29" s="219" t="s">
        <v>84</v>
      </c>
      <c r="AB29" s="219">
        <v>10</v>
      </c>
      <c r="AC29" s="219">
        <v>6</v>
      </c>
      <c r="AD29" s="219">
        <v>4</v>
      </c>
      <c r="AE29" s="219">
        <v>2</v>
      </c>
      <c r="AF29" s="219">
        <v>1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</row>
    <row r="30" spans="1:37" ht="18.75" customHeight="1">
      <c r="A30" s="149"/>
      <c r="B30" s="290"/>
      <c r="C30" s="290"/>
      <c r="D30" s="291" t="str">
        <f>E15</f>
        <v>VIHARSAROK</v>
      </c>
      <c r="E30" s="291"/>
      <c r="F30" s="291" t="str">
        <f>E17</f>
        <v>PÉCS VTC</v>
      </c>
      <c r="G30" s="291"/>
      <c r="H30" s="296" t="str">
        <f>E19</f>
        <v>ALFA TI</v>
      </c>
      <c r="I30" s="297"/>
      <c r="J30" s="291" t="str">
        <f>E21</f>
        <v>TENISZ MŰHELY 2,</v>
      </c>
      <c r="K30" s="291"/>
      <c r="L30" s="149"/>
      <c r="M30" s="204"/>
      <c r="Y30" s="219"/>
      <c r="Z30" s="219"/>
      <c r="AA30" s="219" t="s">
        <v>85</v>
      </c>
      <c r="AB30" s="219">
        <v>3</v>
      </c>
      <c r="AC30" s="219">
        <v>2</v>
      </c>
      <c r="AD30" s="219">
        <v>1</v>
      </c>
      <c r="AE30" s="219">
        <v>0</v>
      </c>
      <c r="AF30" s="219">
        <v>0</v>
      </c>
      <c r="AG30" s="219">
        <v>0</v>
      </c>
      <c r="AH30" s="219">
        <v>0</v>
      </c>
      <c r="AI30" s="219">
        <v>0</v>
      </c>
      <c r="AJ30" s="219">
        <v>0</v>
      </c>
      <c r="AK30" s="219">
        <v>0</v>
      </c>
    </row>
    <row r="31" spans="1:13" ht="18.75" customHeight="1">
      <c r="A31" s="252" t="s">
        <v>61</v>
      </c>
      <c r="B31" s="298" t="str">
        <f>E15</f>
        <v>VIHARSAROK</v>
      </c>
      <c r="C31" s="299"/>
      <c r="D31" s="293"/>
      <c r="E31" s="293"/>
      <c r="F31" s="294" t="s">
        <v>144</v>
      </c>
      <c r="G31" s="295"/>
      <c r="H31" s="294" t="s">
        <v>132</v>
      </c>
      <c r="I31" s="295"/>
      <c r="J31" s="300" t="s">
        <v>132</v>
      </c>
      <c r="K31" s="291"/>
      <c r="L31" s="149"/>
      <c r="M31" s="203">
        <v>1</v>
      </c>
    </row>
    <row r="32" spans="1:13" ht="18.75" customHeight="1">
      <c r="A32" s="252" t="s">
        <v>62</v>
      </c>
      <c r="B32" s="292" t="str">
        <f>E17</f>
        <v>PÉCS VTC</v>
      </c>
      <c r="C32" s="292"/>
      <c r="D32" s="294" t="s">
        <v>143</v>
      </c>
      <c r="E32" s="295"/>
      <c r="F32" s="293"/>
      <c r="G32" s="293"/>
      <c r="H32" s="294" t="s">
        <v>134</v>
      </c>
      <c r="I32" s="295"/>
      <c r="J32" s="294" t="s">
        <v>136</v>
      </c>
      <c r="K32" s="295"/>
      <c r="L32" s="149"/>
      <c r="M32" s="203">
        <v>3</v>
      </c>
    </row>
    <row r="33" spans="1:13" ht="18.75" customHeight="1">
      <c r="A33" s="252" t="s">
        <v>66</v>
      </c>
      <c r="B33" s="292" t="str">
        <f>E19</f>
        <v>ALFA TI</v>
      </c>
      <c r="C33" s="292"/>
      <c r="D33" s="294" t="s">
        <v>135</v>
      </c>
      <c r="E33" s="295"/>
      <c r="F33" s="294" t="s">
        <v>136</v>
      </c>
      <c r="G33" s="295"/>
      <c r="H33" s="293"/>
      <c r="I33" s="293"/>
      <c r="J33" s="294" t="s">
        <v>136</v>
      </c>
      <c r="K33" s="295"/>
      <c r="L33" s="149"/>
      <c r="M33" s="203">
        <v>2</v>
      </c>
    </row>
    <row r="34" spans="1:13" ht="18.75" customHeight="1">
      <c r="A34" s="252" t="s">
        <v>96</v>
      </c>
      <c r="B34" s="292" t="str">
        <f>E21</f>
        <v>TENISZ MŰHELY 2,</v>
      </c>
      <c r="C34" s="292"/>
      <c r="D34" s="294" t="s">
        <v>135</v>
      </c>
      <c r="E34" s="295"/>
      <c r="F34" s="294" t="s">
        <v>134</v>
      </c>
      <c r="G34" s="295"/>
      <c r="H34" s="300" t="s">
        <v>134</v>
      </c>
      <c r="I34" s="291"/>
      <c r="J34" s="293"/>
      <c r="K34" s="293"/>
      <c r="L34" s="149"/>
      <c r="M34" s="203">
        <v>4</v>
      </c>
    </row>
    <row r="35" spans="1:13" ht="18.75" customHeight="1">
      <c r="A35" s="205"/>
      <c r="B35" s="206"/>
      <c r="C35" s="206"/>
      <c r="D35" s="281"/>
      <c r="E35" s="281"/>
      <c r="F35" s="281"/>
      <c r="G35" s="281"/>
      <c r="H35" s="281"/>
      <c r="I35" s="281"/>
      <c r="J35" s="270"/>
      <c r="K35" s="270"/>
      <c r="L35" s="149"/>
      <c r="M35" s="207"/>
    </row>
    <row r="36" spans="1:13" ht="13.5" thickBot="1">
      <c r="A36" s="149"/>
      <c r="B36" s="149"/>
      <c r="C36" s="149"/>
      <c r="D36" s="270"/>
      <c r="E36" s="270"/>
      <c r="F36" s="270"/>
      <c r="G36" s="270"/>
      <c r="H36" s="270"/>
      <c r="I36" s="270"/>
      <c r="J36" s="270"/>
      <c r="K36" s="270"/>
      <c r="L36" s="149"/>
      <c r="M36" s="149"/>
    </row>
    <row r="37" spans="1:13" ht="13.5" thickBot="1">
      <c r="A37" s="149" t="s">
        <v>49</v>
      </c>
      <c r="B37" s="149"/>
      <c r="C37" s="309" t="str">
        <f>IF(M25=1,B25,IF(M26=1,B26,IF(M27=1,B27,IF(M28=1,B28,""))))</f>
        <v>TENISZ MŰHELY 1,</v>
      </c>
      <c r="D37" s="310"/>
      <c r="E37" s="276" t="s">
        <v>64</v>
      </c>
      <c r="F37" s="303" t="str">
        <f>IF(M31=1,B31,IF(M32=1,B32,IF(M33=1,B33,IF(M34=1,B34,""))))</f>
        <v>VIHARSAROK</v>
      </c>
      <c r="G37" s="303"/>
      <c r="H37" s="270"/>
      <c r="I37" s="286" t="s">
        <v>142</v>
      </c>
      <c r="J37" s="270"/>
      <c r="K37" s="270"/>
      <c r="L37" s="149"/>
      <c r="M37" s="149"/>
    </row>
    <row r="38" spans="1:13" ht="13.5" thickBot="1">
      <c r="A38" s="149"/>
      <c r="B38" s="149"/>
      <c r="C38" s="149"/>
      <c r="D38" s="270"/>
      <c r="E38" s="270"/>
      <c r="F38" s="276"/>
      <c r="G38" s="276"/>
      <c r="H38" s="270"/>
      <c r="I38" s="270"/>
      <c r="J38" s="270"/>
      <c r="K38" s="270"/>
      <c r="L38" s="149"/>
      <c r="M38" s="149"/>
    </row>
    <row r="39" spans="1:13" ht="13.5" thickBot="1">
      <c r="A39" s="149" t="s">
        <v>63</v>
      </c>
      <c r="B39" s="149"/>
      <c r="C39" s="309" t="str">
        <f>IF(M25=2,B25,IF(M26=2,B26,IF(M27=2,B27,IF(M28=2,B28,""))))</f>
        <v>FUTURE TT</v>
      </c>
      <c r="D39" s="310"/>
      <c r="E39" s="276" t="s">
        <v>64</v>
      </c>
      <c r="F39" s="303" t="str">
        <f>IF(M31=2,B31,IF(M32=2,B32,IF(M33=2,B33,IF(M34=2,B34,""))))</f>
        <v>ALFA TI</v>
      </c>
      <c r="G39" s="303"/>
      <c r="H39" s="270"/>
      <c r="I39" s="286" t="s">
        <v>145</v>
      </c>
      <c r="J39" s="270"/>
      <c r="K39" s="270"/>
      <c r="L39" s="149"/>
      <c r="M39" s="149"/>
    </row>
    <row r="40" spans="1:13" ht="12.75">
      <c r="A40" s="149"/>
      <c r="B40" s="149"/>
      <c r="C40" s="202"/>
      <c r="D40" s="283"/>
      <c r="E40" s="276"/>
      <c r="F40" s="283"/>
      <c r="G40" s="283"/>
      <c r="H40" s="270"/>
      <c r="I40" s="270"/>
      <c r="J40" s="270"/>
      <c r="K40" s="270"/>
      <c r="L40" s="149"/>
      <c r="M40" s="149"/>
    </row>
    <row r="41" spans="1:13" ht="12.75">
      <c r="A41" s="149" t="s">
        <v>65</v>
      </c>
      <c r="B41" s="149"/>
      <c r="C41" s="306" t="str">
        <f>IF(M25=3,B25,IF(M26=3,B26,IF(M27=3,B27,IF(M28=3,B28,""))))</f>
        <v>PANAKOR TK</v>
      </c>
      <c r="D41" s="306"/>
      <c r="E41" s="276" t="s">
        <v>64</v>
      </c>
      <c r="F41" s="312" t="str">
        <f>IF(M31=3,B31,IF(M32=3,B32,IF(M33=3,B33,IF(M34=3,B34,""))))</f>
        <v>PÉCS VTC</v>
      </c>
      <c r="G41" s="312"/>
      <c r="H41" s="270"/>
      <c r="I41" s="286" t="s">
        <v>147</v>
      </c>
      <c r="J41" s="270"/>
      <c r="K41" s="270"/>
      <c r="L41" s="149"/>
      <c r="M41" s="149"/>
    </row>
    <row r="42" spans="1:13" ht="13.5" thickBot="1">
      <c r="A42" s="149"/>
      <c r="B42" s="149"/>
      <c r="C42" s="149"/>
      <c r="D42" s="270"/>
      <c r="E42" s="270"/>
      <c r="F42" s="270"/>
      <c r="G42" s="270"/>
      <c r="H42" s="270"/>
      <c r="I42" s="270"/>
      <c r="J42" s="270"/>
      <c r="K42" s="270"/>
      <c r="L42" s="149"/>
      <c r="M42" s="149"/>
    </row>
    <row r="43" spans="1:19" ht="13.5" thickBot="1">
      <c r="A43" s="171" t="s">
        <v>97</v>
      </c>
      <c r="B43" s="149"/>
      <c r="C43" s="309" t="str">
        <f>IF(M25=4,B25,IF(M26=4,B26,IF(M27=4,B27,IF(M28=4,B28,))))</f>
        <v>MTK-BTC</v>
      </c>
      <c r="D43" s="310"/>
      <c r="E43" s="276" t="s">
        <v>64</v>
      </c>
      <c r="F43" s="311" t="s">
        <v>156</v>
      </c>
      <c r="G43" s="303"/>
      <c r="H43" s="270"/>
      <c r="I43" s="286" t="s">
        <v>132</v>
      </c>
      <c r="J43" s="270"/>
      <c r="K43" s="270"/>
      <c r="L43" s="149"/>
      <c r="M43" s="149"/>
      <c r="O43" s="163"/>
      <c r="P43" s="163"/>
      <c r="Q43" s="163"/>
      <c r="R43" s="163"/>
      <c r="S43" s="163"/>
    </row>
    <row r="44" spans="1:19" ht="12.75">
      <c r="A44" s="149"/>
      <c r="B44" s="149"/>
      <c r="C44" s="149"/>
      <c r="D44" s="270"/>
      <c r="E44" s="270"/>
      <c r="F44" s="270"/>
      <c r="G44" s="270"/>
      <c r="H44" s="270"/>
      <c r="I44" s="270"/>
      <c r="J44" s="270"/>
      <c r="K44" s="270"/>
      <c r="L44" s="148"/>
      <c r="M44" s="149"/>
      <c r="O44" s="163"/>
      <c r="P44" s="172"/>
      <c r="Q44" s="172"/>
      <c r="R44" s="173"/>
      <c r="S44" s="163"/>
    </row>
    <row r="45" spans="1:19" ht="12.75">
      <c r="A45" s="70" t="s">
        <v>35</v>
      </c>
      <c r="B45" s="71"/>
      <c r="C45" s="122"/>
      <c r="D45" s="178" t="s">
        <v>2</v>
      </c>
      <c r="E45" s="179" t="s">
        <v>37</v>
      </c>
      <c r="F45" s="284"/>
      <c r="G45" s="178" t="s">
        <v>2</v>
      </c>
      <c r="H45" s="179" t="s">
        <v>46</v>
      </c>
      <c r="I45" s="78"/>
      <c r="J45" s="179" t="s">
        <v>47</v>
      </c>
      <c r="K45" s="77" t="s">
        <v>48</v>
      </c>
      <c r="L45" s="30"/>
      <c r="M45" s="195"/>
      <c r="O45" s="163"/>
      <c r="P45" s="174"/>
      <c r="Q45" s="174"/>
      <c r="R45" s="175"/>
      <c r="S45" s="163"/>
    </row>
    <row r="46" spans="1:19" ht="12.75">
      <c r="A46" s="152" t="s">
        <v>36</v>
      </c>
      <c r="B46" s="153"/>
      <c r="C46" s="154"/>
      <c r="D46" s="180">
        <v>1</v>
      </c>
      <c r="E46" s="304" t="str">
        <f>IF(D46&gt;$R$47,,UPPER(VLOOKUP(D46,'F12 elo'!$A$7:$Q$134,2)))</f>
        <v>TENISZ MŰHELY 1,</v>
      </c>
      <c r="F46" s="304"/>
      <c r="G46" s="190" t="s">
        <v>3</v>
      </c>
      <c r="H46" s="153"/>
      <c r="I46" s="181"/>
      <c r="J46" s="191"/>
      <c r="K46" s="150" t="s">
        <v>38</v>
      </c>
      <c r="L46" s="196"/>
      <c r="M46" s="182"/>
      <c r="O46" s="163"/>
      <c r="P46" s="175"/>
      <c r="Q46" s="176"/>
      <c r="R46" s="175"/>
      <c r="S46" s="163"/>
    </row>
    <row r="47" spans="1:19" ht="12.75">
      <c r="A47" s="155" t="s">
        <v>45</v>
      </c>
      <c r="B47" s="76"/>
      <c r="C47" s="156"/>
      <c r="D47" s="183">
        <v>2</v>
      </c>
      <c r="E47" s="305" t="str">
        <f>IF(D47&gt;$R$47,,UPPER(VLOOKUP(D47,'F12 elo'!$A$7:$Q$134,2)))</f>
        <v>VIHARSAROK</v>
      </c>
      <c r="F47" s="305"/>
      <c r="G47" s="192" t="s">
        <v>4</v>
      </c>
      <c r="H47" s="184"/>
      <c r="I47" s="185"/>
      <c r="J47" s="42"/>
      <c r="K47" s="155"/>
      <c r="L47" s="148"/>
      <c r="M47" s="189"/>
      <c r="O47" s="163"/>
      <c r="P47" s="174"/>
      <c r="Q47" s="174"/>
      <c r="R47" s="177">
        <f>MIN(4,'F12 elo'!Q2)</f>
        <v>4</v>
      </c>
      <c r="S47" s="163"/>
    </row>
    <row r="48" spans="1:19" ht="12.75">
      <c r="A48" s="89"/>
      <c r="B48" s="90"/>
      <c r="C48" s="91"/>
      <c r="D48" s="183"/>
      <c r="E48" s="184"/>
      <c r="F48" s="285"/>
      <c r="G48" s="192" t="s">
        <v>5</v>
      </c>
      <c r="H48" s="184"/>
      <c r="I48" s="185"/>
      <c r="J48" s="42"/>
      <c r="K48" s="150" t="s">
        <v>39</v>
      </c>
      <c r="L48" s="196"/>
      <c r="M48" s="182"/>
      <c r="O48" s="163"/>
      <c r="P48" s="175"/>
      <c r="Q48" s="176"/>
      <c r="R48" s="175"/>
      <c r="S48" s="163"/>
    </row>
    <row r="49" spans="1:19" ht="12.75">
      <c r="A49" s="72"/>
      <c r="B49" s="120"/>
      <c r="C49" s="73"/>
      <c r="D49" s="183"/>
      <c r="E49" s="184"/>
      <c r="F49" s="285"/>
      <c r="G49" s="192" t="s">
        <v>6</v>
      </c>
      <c r="H49" s="184"/>
      <c r="I49" s="185"/>
      <c r="J49" s="42"/>
      <c r="K49" s="194"/>
      <c r="L49" s="187"/>
      <c r="M49" s="186"/>
      <c r="O49" s="163"/>
      <c r="P49" s="175"/>
      <c r="Q49" s="176"/>
      <c r="R49" s="175"/>
      <c r="S49" s="163"/>
    </row>
    <row r="50" spans="1:19" ht="12.75">
      <c r="A50" s="80"/>
      <c r="B50" s="92"/>
      <c r="C50" s="121"/>
      <c r="D50" s="183"/>
      <c r="E50" s="184"/>
      <c r="F50" s="285"/>
      <c r="G50" s="192" t="s">
        <v>7</v>
      </c>
      <c r="H50" s="184"/>
      <c r="I50" s="185"/>
      <c r="J50" s="42"/>
      <c r="K50" s="155"/>
      <c r="L50" s="148"/>
      <c r="M50" s="189"/>
      <c r="O50" s="163"/>
      <c r="P50" s="174"/>
      <c r="Q50" s="174"/>
      <c r="R50" s="175"/>
      <c r="S50" s="163"/>
    </row>
    <row r="51" spans="1:19" ht="12.75">
      <c r="A51" s="81"/>
      <c r="B51" s="95"/>
      <c r="C51" s="73"/>
      <c r="D51" s="183"/>
      <c r="E51" s="184"/>
      <c r="F51" s="285"/>
      <c r="G51" s="192" t="s">
        <v>8</v>
      </c>
      <c r="H51" s="184"/>
      <c r="I51" s="185"/>
      <c r="J51" s="42"/>
      <c r="K51" s="150" t="s">
        <v>28</v>
      </c>
      <c r="L51" s="196"/>
      <c r="M51" s="182"/>
      <c r="O51" s="163"/>
      <c r="P51" s="175"/>
      <c r="Q51" s="176"/>
      <c r="R51" s="175"/>
      <c r="S51" s="163"/>
    </row>
    <row r="52" spans="1:19" ht="12.75">
      <c r="A52" s="81"/>
      <c r="B52" s="95"/>
      <c r="C52" s="87"/>
      <c r="D52" s="183"/>
      <c r="E52" s="184"/>
      <c r="F52" s="285"/>
      <c r="G52" s="192" t="s">
        <v>9</v>
      </c>
      <c r="H52" s="184"/>
      <c r="I52" s="185"/>
      <c r="J52" s="42"/>
      <c r="K52" s="194"/>
      <c r="L52" s="187"/>
      <c r="M52" s="186"/>
      <c r="O52" s="163"/>
      <c r="P52" s="175"/>
      <c r="Q52" s="176"/>
      <c r="R52" s="177"/>
      <c r="S52" s="163"/>
    </row>
    <row r="53" spans="1:19" ht="12.75">
      <c r="A53" s="82"/>
      <c r="B53" s="79"/>
      <c r="C53" s="88"/>
      <c r="D53" s="188"/>
      <c r="E53" s="76"/>
      <c r="F53" s="282"/>
      <c r="G53" s="193" t="s">
        <v>10</v>
      </c>
      <c r="H53" s="76"/>
      <c r="I53" s="151"/>
      <c r="J53" s="74"/>
      <c r="K53" s="155" t="str">
        <f>L4</f>
        <v>Droppa Erika</v>
      </c>
      <c r="L53" s="148"/>
      <c r="M53" s="189"/>
      <c r="O53" s="163"/>
      <c r="P53" s="163"/>
      <c r="Q53" s="163"/>
      <c r="R53" s="163"/>
      <c r="S53" s="163"/>
    </row>
    <row r="54" spans="15:19" ht="12.75">
      <c r="O54" s="163"/>
      <c r="P54" s="163"/>
      <c r="Q54" s="163"/>
      <c r="R54" s="163"/>
      <c r="S54" s="163"/>
    </row>
  </sheetData>
  <sheetProtection/>
  <mergeCells count="62">
    <mergeCell ref="A1:F1"/>
    <mergeCell ref="A4:C4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</mergeCells>
  <conditionalFormatting sqref="R52 R47">
    <cfRule type="expression" priority="2" dxfId="1" stopIfTrue="1">
      <formula>$O$1="CU"</formula>
    </cfRule>
  </conditionalFormatting>
  <conditionalFormatting sqref="E7 E9 E11 E13 E15 E17 E19:E21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B11" sqref="B11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5" customWidth="1"/>
    <col min="5" max="5" width="12.140625" style="246" customWidth="1"/>
    <col min="6" max="6" width="6.140625" style="48" hidden="1" customWidth="1"/>
    <col min="7" max="7" width="29.8515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KORO. CSB DÖNTŐ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264" t="str">
        <f>Altalanos!$C$8</f>
        <v>L14</v>
      </c>
      <c r="D2" s="59"/>
      <c r="E2" s="116" t="s">
        <v>29</v>
      </c>
      <c r="F2" s="49"/>
      <c r="G2" s="49"/>
      <c r="H2" s="238"/>
      <c r="I2" s="238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31" t="s">
        <v>42</v>
      </c>
      <c r="B3" s="236"/>
      <c r="C3" s="236"/>
      <c r="D3" s="236"/>
      <c r="E3" s="236"/>
      <c r="F3" s="236"/>
      <c r="G3" s="236"/>
      <c r="H3" s="236"/>
      <c r="I3" s="237"/>
      <c r="J3" s="54"/>
      <c r="K3" s="60"/>
      <c r="L3" s="60"/>
      <c r="M3" s="60"/>
      <c r="N3" s="133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8" t="s">
        <v>25</v>
      </c>
      <c r="I4" s="243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2022.08.26-28</v>
      </c>
      <c r="B5" s="110"/>
      <c r="C5" s="46" t="str">
        <f>Altalanos!$C$10</f>
        <v>Balatonboglár</v>
      </c>
      <c r="D5" s="47" t="str">
        <f>Altalanos!$D$10</f>
        <v>  </v>
      </c>
      <c r="E5" s="47"/>
      <c r="F5" s="47"/>
      <c r="G5" s="47"/>
      <c r="H5" s="130" t="str">
        <f>Altalanos!$E$10</f>
        <v>Droppa Erika</v>
      </c>
      <c r="I5" s="249"/>
      <c r="J5" s="66"/>
      <c r="K5" s="41"/>
      <c r="L5" s="41"/>
      <c r="M5" s="41"/>
      <c r="N5" s="66"/>
      <c r="O5" s="47"/>
      <c r="P5" s="47"/>
      <c r="Q5" s="256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95</v>
      </c>
      <c r="H6" s="239" t="s">
        <v>32</v>
      </c>
      <c r="I6" s="240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112</v>
      </c>
      <c r="C7" s="50"/>
      <c r="D7" s="51"/>
      <c r="E7" s="119"/>
      <c r="F7" s="232"/>
      <c r="G7" s="233"/>
      <c r="H7" s="51"/>
      <c r="I7" s="51"/>
      <c r="J7" s="101"/>
      <c r="K7" s="99"/>
      <c r="L7" s="103"/>
      <c r="M7" s="99"/>
      <c r="N7" s="94"/>
      <c r="O7" s="261">
        <v>22</v>
      </c>
      <c r="P7" s="68"/>
      <c r="Q7" s="52"/>
    </row>
    <row r="8" spans="1:17" s="11" customFormat="1" ht="18.75" customHeight="1">
      <c r="A8" s="104">
        <v>2</v>
      </c>
      <c r="B8" s="50" t="s">
        <v>121</v>
      </c>
      <c r="C8" s="50"/>
      <c r="D8" s="51"/>
      <c r="E8" s="119"/>
      <c r="F8" s="234"/>
      <c r="G8" s="235"/>
      <c r="H8" s="51"/>
      <c r="I8" s="51"/>
      <c r="J8" s="101"/>
      <c r="K8" s="99"/>
      <c r="L8" s="103"/>
      <c r="M8" s="99"/>
      <c r="N8" s="94"/>
      <c r="O8" s="51">
        <v>24</v>
      </c>
      <c r="P8" s="68"/>
      <c r="Q8" s="52"/>
    </row>
    <row r="9" spans="1:17" s="11" customFormat="1" ht="18.75" customHeight="1">
      <c r="A9" s="104">
        <v>3</v>
      </c>
      <c r="B9" s="50" t="s">
        <v>113</v>
      </c>
      <c r="C9" s="50"/>
      <c r="D9" s="51"/>
      <c r="E9" s="119"/>
      <c r="F9" s="234"/>
      <c r="G9" s="235"/>
      <c r="H9" s="51"/>
      <c r="I9" s="51"/>
      <c r="J9" s="101"/>
      <c r="K9" s="99"/>
      <c r="L9" s="103"/>
      <c r="M9" s="99"/>
      <c r="N9" s="94"/>
      <c r="O9" s="51">
        <v>33</v>
      </c>
      <c r="P9" s="245"/>
      <c r="Q9" s="124"/>
    </row>
    <row r="10" spans="1:17" s="11" customFormat="1" ht="18.75" customHeight="1">
      <c r="A10" s="104">
        <v>4</v>
      </c>
      <c r="B10" s="50" t="s">
        <v>128</v>
      </c>
      <c r="C10" s="50"/>
      <c r="D10" s="51"/>
      <c r="E10" s="119"/>
      <c r="F10" s="234"/>
      <c r="G10" s="235"/>
      <c r="H10" s="51"/>
      <c r="I10" s="51"/>
      <c r="J10" s="101"/>
      <c r="K10" s="99"/>
      <c r="L10" s="103"/>
      <c r="M10" s="99"/>
      <c r="N10" s="94"/>
      <c r="O10" s="51">
        <v>76</v>
      </c>
      <c r="P10" s="244"/>
      <c r="Q10" s="241"/>
    </row>
    <row r="11" spans="1:17" s="11" customFormat="1" ht="18.75" customHeight="1">
      <c r="A11" s="104">
        <v>5</v>
      </c>
      <c r="B11" s="50" t="s">
        <v>119</v>
      </c>
      <c r="C11" s="50"/>
      <c r="D11" s="51"/>
      <c r="E11" s="119"/>
      <c r="F11" s="234"/>
      <c r="G11" s="235"/>
      <c r="H11" s="51"/>
      <c r="I11" s="51"/>
      <c r="J11" s="101"/>
      <c r="K11" s="99"/>
      <c r="L11" s="103"/>
      <c r="M11" s="99"/>
      <c r="N11" s="94"/>
      <c r="O11" s="51">
        <v>86</v>
      </c>
      <c r="P11" s="244"/>
      <c r="Q11" s="241"/>
    </row>
    <row r="12" spans="1:17" s="11" customFormat="1" ht="18.75" customHeight="1">
      <c r="A12" s="104">
        <v>6</v>
      </c>
      <c r="B12" s="50" t="s">
        <v>126</v>
      </c>
      <c r="C12" s="50"/>
      <c r="D12" s="51"/>
      <c r="E12" s="119"/>
      <c r="F12" s="234"/>
      <c r="G12" s="235"/>
      <c r="H12" s="51"/>
      <c r="I12" s="51"/>
      <c r="J12" s="101"/>
      <c r="K12" s="99"/>
      <c r="L12" s="103"/>
      <c r="M12" s="99"/>
      <c r="N12" s="94"/>
      <c r="O12" s="51">
        <v>101</v>
      </c>
      <c r="P12" s="244"/>
      <c r="Q12" s="241"/>
    </row>
    <row r="13" spans="1:17" s="11" customFormat="1" ht="18.75" customHeight="1">
      <c r="A13" s="104">
        <v>7</v>
      </c>
      <c r="B13" s="50" t="s">
        <v>127</v>
      </c>
      <c r="C13" s="50"/>
      <c r="D13" s="51"/>
      <c r="E13" s="119"/>
      <c r="F13" s="234"/>
      <c r="G13" s="235"/>
      <c r="H13" s="51"/>
      <c r="I13" s="51"/>
      <c r="J13" s="101"/>
      <c r="K13" s="99"/>
      <c r="L13" s="103"/>
      <c r="M13" s="99"/>
      <c r="N13" s="94"/>
      <c r="O13" s="51">
        <v>108</v>
      </c>
      <c r="P13" s="244"/>
      <c r="Q13" s="241"/>
    </row>
    <row r="14" spans="1:17" s="11" customFormat="1" ht="18.75" customHeight="1">
      <c r="A14" s="104">
        <v>8</v>
      </c>
      <c r="B14" s="50"/>
      <c r="C14" s="50"/>
      <c r="D14" s="51"/>
      <c r="E14" s="119"/>
      <c r="F14" s="234"/>
      <c r="G14" s="235"/>
      <c r="H14" s="51"/>
      <c r="I14" s="51"/>
      <c r="J14" s="101"/>
      <c r="K14" s="99"/>
      <c r="L14" s="103"/>
      <c r="M14" s="99"/>
      <c r="N14" s="94"/>
      <c r="O14" s="51"/>
      <c r="P14" s="244"/>
      <c r="Q14" s="241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6"/>
      <c r="N15" s="94"/>
      <c r="O15" s="51"/>
      <c r="P15" s="52"/>
      <c r="Q15" s="52"/>
    </row>
    <row r="16" spans="1:17" s="11" customFormat="1" ht="18.75" customHeight="1">
      <c r="A16" s="104">
        <v>10</v>
      </c>
      <c r="B16" s="260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6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6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6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6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6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6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6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6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6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6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6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6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62"/>
      <c r="F28" s="250"/>
      <c r="G28" s="251"/>
      <c r="H28" s="51"/>
      <c r="I28" s="51"/>
      <c r="J28" s="101"/>
      <c r="K28" s="99"/>
      <c r="L28" s="103"/>
      <c r="M28" s="126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63"/>
      <c r="F29" s="67"/>
      <c r="G29" s="67"/>
      <c r="H29" s="51"/>
      <c r="I29" s="51"/>
      <c r="J29" s="101"/>
      <c r="K29" s="99"/>
      <c r="L29" s="103"/>
      <c r="M29" s="126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6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6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47"/>
      <c r="F32" s="67"/>
      <c r="G32" s="67"/>
      <c r="H32" s="51"/>
      <c r="I32" s="51"/>
      <c r="J32" s="101"/>
      <c r="K32" s="99"/>
      <c r="L32" s="103"/>
      <c r="M32" s="126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6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6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6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6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6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42"/>
      <c r="I38" s="129"/>
      <c r="J38" s="101"/>
      <c r="K38" s="99"/>
      <c r="L38" s="103"/>
      <c r="M38" s="126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42"/>
      <c r="I39" s="129"/>
      <c r="J39" s="101"/>
      <c r="K39" s="99"/>
      <c r="L39" s="103"/>
      <c r="M39" s="126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42"/>
      <c r="I40" s="129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6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42"/>
      <c r="I41" s="129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6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42"/>
      <c r="I42" s="129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6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42"/>
      <c r="I43" s="129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6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42"/>
      <c r="I44" s="129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6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42"/>
      <c r="I45" s="129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6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42"/>
      <c r="I46" s="129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6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42"/>
      <c r="I47" s="129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6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42"/>
      <c r="I48" s="129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6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42"/>
      <c r="I49" s="129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6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42"/>
      <c r="I50" s="129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6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42"/>
      <c r="I51" s="129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6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42"/>
      <c r="I52" s="129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6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42"/>
      <c r="I53" s="129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6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42"/>
      <c r="I54" s="129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6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42"/>
      <c r="I55" s="129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6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42"/>
      <c r="I56" s="129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6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42"/>
      <c r="I57" s="129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6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42"/>
      <c r="I58" s="129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6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42"/>
      <c r="I59" s="129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6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42"/>
      <c r="I60" s="129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6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42"/>
      <c r="I61" s="129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6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42"/>
      <c r="I62" s="129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6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42"/>
      <c r="I63" s="129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6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42"/>
      <c r="I64" s="129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6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42"/>
      <c r="I65" s="129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6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42"/>
      <c r="I66" s="129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6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42"/>
      <c r="I67" s="129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6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42"/>
      <c r="I68" s="129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6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42"/>
      <c r="I69" s="129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6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42"/>
      <c r="I70" s="129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6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42"/>
      <c r="I71" s="129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6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42"/>
      <c r="I72" s="129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6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42"/>
      <c r="I73" s="129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6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42"/>
      <c r="I74" s="129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6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42"/>
      <c r="I75" s="129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6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42"/>
      <c r="I76" s="129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6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42"/>
      <c r="I77" s="129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6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42"/>
      <c r="I78" s="129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6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42"/>
      <c r="I79" s="129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6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42"/>
      <c r="I80" s="129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6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42"/>
      <c r="I81" s="129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6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42"/>
      <c r="I82" s="129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6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42"/>
      <c r="I83" s="129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6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42"/>
      <c r="I84" s="129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6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42"/>
      <c r="I85" s="129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6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42"/>
      <c r="I86" s="129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6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42"/>
      <c r="I87" s="129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6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42"/>
      <c r="I88" s="129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6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42"/>
      <c r="I89" s="129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6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42"/>
      <c r="I90" s="129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6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42"/>
      <c r="I91" s="129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6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42"/>
      <c r="I92" s="129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6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42"/>
      <c r="I93" s="129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6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42"/>
      <c r="I94" s="129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6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42"/>
      <c r="I95" s="129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6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42"/>
      <c r="I96" s="129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6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42"/>
      <c r="I97" s="129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6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42"/>
      <c r="I98" s="129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6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42"/>
      <c r="I99" s="129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6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42"/>
      <c r="I100" s="129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6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42"/>
      <c r="I101" s="129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6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42"/>
      <c r="I102" s="129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6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42"/>
      <c r="I103" s="129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6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42"/>
      <c r="I104" s="129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6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42"/>
      <c r="I105" s="129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6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42"/>
      <c r="I106" s="129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6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42"/>
      <c r="I107" s="129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6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42"/>
      <c r="I108" s="129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6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42"/>
      <c r="I109" s="129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6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42"/>
      <c r="I110" s="129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6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42"/>
      <c r="I111" s="129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6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42"/>
      <c r="I112" s="129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6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42"/>
      <c r="I113" s="129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6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42"/>
      <c r="I114" s="129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6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42"/>
      <c r="I115" s="129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6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42"/>
      <c r="I116" s="129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6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42"/>
      <c r="I117" s="129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6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42"/>
      <c r="I118" s="129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6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42"/>
      <c r="I119" s="129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6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42"/>
      <c r="I120" s="129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6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42"/>
      <c r="I121" s="129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6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42"/>
      <c r="I122" s="129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6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42"/>
      <c r="I123" s="129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6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42"/>
      <c r="I124" s="129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6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42"/>
      <c r="I125" s="129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6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42"/>
      <c r="I126" s="129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6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42"/>
      <c r="I127" s="129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6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42"/>
      <c r="I128" s="129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6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42"/>
      <c r="I129" s="129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6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42"/>
      <c r="I130" s="129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6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42"/>
      <c r="I131" s="129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6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42"/>
      <c r="I132" s="129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6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42"/>
      <c r="I133" s="129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6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42"/>
      <c r="I134" s="129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6">
        <f t="shared" si="4"/>
        <v>999</v>
      </c>
      <c r="N134" s="124"/>
      <c r="O134" s="127"/>
      <c r="P134" s="128">
        <f t="shared" si="5"/>
        <v>999</v>
      </c>
      <c r="Q134" s="129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42"/>
      <c r="I135" s="129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6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42"/>
      <c r="I136" s="129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6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42"/>
      <c r="I137" s="129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6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42"/>
      <c r="I138" s="129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6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42"/>
      <c r="I139" s="129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6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42"/>
      <c r="I140" s="129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6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42"/>
      <c r="I141" s="129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6">
        <f t="shared" si="4"/>
        <v>999</v>
      </c>
      <c r="N141" s="124"/>
      <c r="O141" s="127"/>
      <c r="P141" s="128">
        <f t="shared" si="5"/>
        <v>999</v>
      </c>
      <c r="Q141" s="129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42"/>
      <c r="I142" s="129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6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42"/>
      <c r="I143" s="129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6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42"/>
      <c r="I144" s="129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6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42"/>
      <c r="I145" s="129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6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42"/>
      <c r="I146" s="129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6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42"/>
      <c r="I147" s="129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6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42"/>
      <c r="I148" s="129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6">
        <f t="shared" si="4"/>
        <v>999</v>
      </c>
      <c r="N148" s="124"/>
      <c r="O148" s="127"/>
      <c r="P148" s="128">
        <f t="shared" si="5"/>
        <v>999</v>
      </c>
      <c r="Q148" s="129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42"/>
      <c r="I149" s="129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6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42"/>
      <c r="I150" s="129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6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42"/>
      <c r="I151" s="129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6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42"/>
      <c r="I152" s="129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6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42"/>
      <c r="I153" s="129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6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42"/>
      <c r="I154" s="129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6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42"/>
      <c r="I155" s="129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6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42"/>
      <c r="I156" s="129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6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8">
    <tabColor rgb="FFFF0000"/>
  </sheetPr>
  <dimension ref="A1:AK54"/>
  <sheetViews>
    <sheetView tabSelected="1" zoomScalePageLayoutView="0" workbookViewId="0" topLeftCell="A22">
      <selection activeCell="Q42" sqref="Q42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266" customWidth="1"/>
    <col min="5" max="5" width="9.28125" style="266" customWidth="1"/>
    <col min="6" max="6" width="7.140625" style="266" customWidth="1"/>
    <col min="7" max="7" width="9.28125" style="266" customWidth="1"/>
    <col min="8" max="8" width="7.140625" style="266" customWidth="1"/>
    <col min="9" max="9" width="9.28125" style="266" customWidth="1"/>
    <col min="10" max="10" width="7.8515625" style="266" customWidth="1"/>
    <col min="11" max="11" width="8.57421875" style="266" customWidth="1"/>
    <col min="12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288" t="str">
        <f>Altalanos!$A$6</f>
        <v>KORO. CSB DÖNTŐ</v>
      </c>
      <c r="B1" s="288"/>
      <c r="C1" s="288"/>
      <c r="D1" s="288"/>
      <c r="E1" s="288"/>
      <c r="F1" s="288"/>
      <c r="G1" s="134"/>
      <c r="H1" s="137" t="s">
        <v>44</v>
      </c>
      <c r="I1" s="135"/>
      <c r="J1" s="136"/>
      <c r="L1" s="138"/>
      <c r="M1" s="159"/>
      <c r="N1" s="161"/>
      <c r="O1" s="161" t="s">
        <v>11</v>
      </c>
      <c r="P1" s="161"/>
      <c r="Q1" s="162"/>
      <c r="R1" s="161"/>
      <c r="S1" s="163"/>
      <c r="AB1" s="225" t="e">
        <f>IF(Y5=1,CONCATENATE(VLOOKUP(Y3,AA16:AH30,2)),CONCATENATE(VLOOKUP(Y3,AA2:AK13,2)))</f>
        <v>#N/A</v>
      </c>
      <c r="AC1" s="225" t="e">
        <f>IF(Y5=1,CONCATENATE(VLOOKUP(Y3,AA16:AK30,3)),CONCATENATE(VLOOKUP(Y3,AA2:AK13,3)))</f>
        <v>#N/A</v>
      </c>
      <c r="AD1" s="225" t="e">
        <f>IF(Y5=1,CONCATENATE(VLOOKUP(Y3,AA16:AK30,4)),CONCATENATE(VLOOKUP(Y3,AA2:AK13,4)))</f>
        <v>#N/A</v>
      </c>
      <c r="AE1" s="225" t="e">
        <f>IF(Y5=1,CONCATENATE(VLOOKUP(Y3,AA16:AK30,5)),CONCATENATE(VLOOKUP(Y3,AA2:AK13,5)))</f>
        <v>#N/A</v>
      </c>
      <c r="AF1" s="225" t="e">
        <f>IF(Y5=1,CONCATENATE(VLOOKUP(Y3,AA16:AK30,6)),CONCATENATE(VLOOKUP(Y3,AA2:AK13,6)))</f>
        <v>#N/A</v>
      </c>
      <c r="AG1" s="225" t="e">
        <f>IF(Y5=1,CONCATENATE(VLOOKUP(Y3,AA16:AK30,7)),CONCATENATE(VLOOKUP(Y3,AA2:AK13,7)))</f>
        <v>#N/A</v>
      </c>
      <c r="AH1" s="225" t="e">
        <f>IF(Y5=1,CONCATENATE(VLOOKUP(Y3,AA16:AK30,8)),CONCATENATE(VLOOKUP(Y3,AA2:AK13,8)))</f>
        <v>#N/A</v>
      </c>
      <c r="AI1" s="225" t="e">
        <f>IF(Y5=1,CONCATENATE(VLOOKUP(Y3,AA16:AK30,9)),CONCATENATE(VLOOKUP(Y3,AA2:AK13,9)))</f>
        <v>#N/A</v>
      </c>
      <c r="AJ1" s="225" t="e">
        <f>IF(Y5=1,CONCATENATE(VLOOKUP(Y3,AA16:AK30,10)),CONCATENATE(VLOOKUP(Y3,AA2:AK13,10)))</f>
        <v>#N/A</v>
      </c>
      <c r="AK1" s="225" t="e">
        <f>IF(Y5=1,CONCATENATE(VLOOKUP(Y3,AA16:AK30,11)),CONCATENATE(VLOOKUP(Y3,AA2:AK13,11)))</f>
        <v>#N/A</v>
      </c>
    </row>
    <row r="2" spans="1:37" ht="12.75">
      <c r="A2" s="139" t="s">
        <v>43</v>
      </c>
      <c r="B2" s="140"/>
      <c r="C2" s="140"/>
      <c r="D2" s="140"/>
      <c r="E2" s="140" t="str">
        <f>Altalanos!$C$8</f>
        <v>L14</v>
      </c>
      <c r="F2" s="140"/>
      <c r="G2" s="141"/>
      <c r="H2" s="142"/>
      <c r="I2" s="142"/>
      <c r="J2" s="143"/>
      <c r="K2" s="138"/>
      <c r="L2" s="138"/>
      <c r="M2" s="160"/>
      <c r="N2" s="164"/>
      <c r="O2" s="165"/>
      <c r="P2" s="164"/>
      <c r="Q2" s="165"/>
      <c r="R2" s="164"/>
      <c r="S2" s="163"/>
      <c r="Y2" s="220"/>
      <c r="Z2" s="219"/>
      <c r="AA2" s="219" t="s">
        <v>53</v>
      </c>
      <c r="AB2" s="223">
        <v>150</v>
      </c>
      <c r="AC2" s="223">
        <v>120</v>
      </c>
      <c r="AD2" s="223">
        <v>100</v>
      </c>
      <c r="AE2" s="223">
        <v>80</v>
      </c>
      <c r="AF2" s="223">
        <v>70</v>
      </c>
      <c r="AG2" s="223">
        <v>60</v>
      </c>
      <c r="AH2" s="223">
        <v>55</v>
      </c>
      <c r="AI2" s="223">
        <v>50</v>
      </c>
      <c r="AJ2" s="223">
        <v>45</v>
      </c>
      <c r="AK2" s="223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208" t="s">
        <v>67</v>
      </c>
      <c r="R3" s="209" t="s">
        <v>73</v>
      </c>
      <c r="S3" s="209" t="s">
        <v>68</v>
      </c>
      <c r="Y3" s="219">
        <f>IF(H4="OB","A",IF(H4="IX","W",H4))</f>
        <v>0</v>
      </c>
      <c r="Z3" s="219"/>
      <c r="AA3" s="219" t="s">
        <v>76</v>
      </c>
      <c r="AB3" s="223">
        <v>120</v>
      </c>
      <c r="AC3" s="223">
        <v>90</v>
      </c>
      <c r="AD3" s="223">
        <v>65</v>
      </c>
      <c r="AE3" s="223">
        <v>55</v>
      </c>
      <c r="AF3" s="223">
        <v>50</v>
      </c>
      <c r="AG3" s="223">
        <v>45</v>
      </c>
      <c r="AH3" s="223">
        <v>40</v>
      </c>
      <c r="AI3" s="223">
        <v>35</v>
      </c>
      <c r="AJ3" s="223">
        <v>25</v>
      </c>
      <c r="AK3" s="223">
        <v>20</v>
      </c>
    </row>
    <row r="4" spans="1:37" ht="13.5" thickBot="1">
      <c r="A4" s="289" t="str">
        <f>Altalanos!$A$10</f>
        <v>2022.08.26-28</v>
      </c>
      <c r="B4" s="289"/>
      <c r="C4" s="289"/>
      <c r="D4" s="267"/>
      <c r="E4" s="144" t="str">
        <f>Altalanos!$C$10</f>
        <v>Balatonboglár</v>
      </c>
      <c r="F4" s="144"/>
      <c r="G4" s="144"/>
      <c r="H4" s="146"/>
      <c r="I4" s="144"/>
      <c r="J4" s="145"/>
      <c r="K4" s="146"/>
      <c r="L4" s="147" t="str">
        <f>Altalanos!$E$10</f>
        <v>Droppa Erika</v>
      </c>
      <c r="M4" s="146"/>
      <c r="N4" s="168"/>
      <c r="O4" s="169"/>
      <c r="P4" s="168"/>
      <c r="Q4" s="210" t="s">
        <v>74</v>
      </c>
      <c r="R4" s="211" t="s">
        <v>69</v>
      </c>
      <c r="S4" s="211" t="s">
        <v>70</v>
      </c>
      <c r="Y4" s="219"/>
      <c r="Z4" s="219"/>
      <c r="AA4" s="219" t="s">
        <v>77</v>
      </c>
      <c r="AB4" s="223">
        <v>90</v>
      </c>
      <c r="AC4" s="223">
        <v>60</v>
      </c>
      <c r="AD4" s="223">
        <v>45</v>
      </c>
      <c r="AE4" s="223">
        <v>34</v>
      </c>
      <c r="AF4" s="223">
        <v>27</v>
      </c>
      <c r="AG4" s="223">
        <v>22</v>
      </c>
      <c r="AH4" s="223">
        <v>18</v>
      </c>
      <c r="AI4" s="223">
        <v>15</v>
      </c>
      <c r="AJ4" s="223">
        <v>12</v>
      </c>
      <c r="AK4" s="223">
        <v>9</v>
      </c>
    </row>
    <row r="5" spans="1:37" ht="12.75">
      <c r="A5" s="30"/>
      <c r="B5" s="30" t="s">
        <v>41</v>
      </c>
      <c r="C5" s="157" t="s">
        <v>51</v>
      </c>
      <c r="D5" s="268" t="s">
        <v>35</v>
      </c>
      <c r="E5" s="268" t="s">
        <v>56</v>
      </c>
      <c r="F5" s="268"/>
      <c r="G5" s="268" t="s">
        <v>23</v>
      </c>
      <c r="H5" s="268"/>
      <c r="I5" s="268" t="s">
        <v>26</v>
      </c>
      <c r="J5" s="268"/>
      <c r="K5" s="269" t="s">
        <v>57</v>
      </c>
      <c r="L5" s="198" t="s">
        <v>58</v>
      </c>
      <c r="M5" s="198" t="s">
        <v>59</v>
      </c>
      <c r="N5" s="163"/>
      <c r="O5" s="163"/>
      <c r="P5" s="163"/>
      <c r="Q5" s="212" t="s">
        <v>75</v>
      </c>
      <c r="R5" s="213" t="s">
        <v>71</v>
      </c>
      <c r="S5" s="213" t="s">
        <v>72</v>
      </c>
      <c r="Y5" s="219">
        <f>IF(OR(Altalanos!$A$8="F1",Altalanos!$A$8="F2",Altalanos!$A$8="N1",Altalanos!$A$8="N2"),1,2)</f>
        <v>2</v>
      </c>
      <c r="Z5" s="219"/>
      <c r="AA5" s="219" t="s">
        <v>78</v>
      </c>
      <c r="AB5" s="223">
        <v>60</v>
      </c>
      <c r="AC5" s="223">
        <v>40</v>
      </c>
      <c r="AD5" s="223">
        <v>30</v>
      </c>
      <c r="AE5" s="223">
        <v>20</v>
      </c>
      <c r="AF5" s="223">
        <v>18</v>
      </c>
      <c r="AG5" s="223">
        <v>15</v>
      </c>
      <c r="AH5" s="223">
        <v>12</v>
      </c>
      <c r="AI5" s="223">
        <v>10</v>
      </c>
      <c r="AJ5" s="223">
        <v>8</v>
      </c>
      <c r="AK5" s="223">
        <v>6</v>
      </c>
    </row>
    <row r="6" spans="1:37" ht="12.75">
      <c r="A6" s="149"/>
      <c r="B6" s="149"/>
      <c r="C6" s="197"/>
      <c r="D6" s="270"/>
      <c r="E6" s="270"/>
      <c r="F6" s="270"/>
      <c r="G6" s="270"/>
      <c r="H6" s="270"/>
      <c r="I6" s="270"/>
      <c r="J6" s="270"/>
      <c r="K6" s="270"/>
      <c r="L6" s="149"/>
      <c r="M6" s="149"/>
      <c r="N6" s="163"/>
      <c r="O6" s="163"/>
      <c r="P6" s="163"/>
      <c r="Q6" s="163"/>
      <c r="R6" s="163"/>
      <c r="S6" s="163"/>
      <c r="Y6" s="219"/>
      <c r="Z6" s="219"/>
      <c r="AA6" s="219" t="s">
        <v>79</v>
      </c>
      <c r="AB6" s="223">
        <v>40</v>
      </c>
      <c r="AC6" s="223">
        <v>25</v>
      </c>
      <c r="AD6" s="223">
        <v>18</v>
      </c>
      <c r="AE6" s="223">
        <v>13</v>
      </c>
      <c r="AF6" s="223">
        <v>10</v>
      </c>
      <c r="AG6" s="223">
        <v>8</v>
      </c>
      <c r="AH6" s="223">
        <v>6</v>
      </c>
      <c r="AI6" s="223">
        <v>5</v>
      </c>
      <c r="AJ6" s="223">
        <v>4</v>
      </c>
      <c r="AK6" s="223">
        <v>3</v>
      </c>
    </row>
    <row r="7" spans="1:37" ht="12.75">
      <c r="A7" s="200" t="s">
        <v>53</v>
      </c>
      <c r="B7" s="214">
        <v>1</v>
      </c>
      <c r="C7" s="158">
        <f>IF($B7="","",VLOOKUP($B7,'L14 elo'!$A$7:$O$22,5))</f>
        <v>0</v>
      </c>
      <c r="D7" s="271">
        <f>IF($B7="","",VLOOKUP($B7,'L14 elo'!$A$7:$O$22,15))</f>
        <v>22</v>
      </c>
      <c r="E7" s="272" t="str">
        <f>UPPER(IF($B7="","",VLOOKUP($B7,'L14 elo'!$A$7:$O$22,2)))</f>
        <v>VASAS SC</v>
      </c>
      <c r="F7" s="273"/>
      <c r="G7" s="272">
        <f>IF($B7="","",VLOOKUP($B7,'L14 elo'!$A$7:$O$22,3))</f>
        <v>0</v>
      </c>
      <c r="H7" s="273"/>
      <c r="I7" s="272">
        <f>IF($B7="","",VLOOKUP($B7,'L14 elo'!$A$7:$O$22,4))</f>
        <v>0</v>
      </c>
      <c r="J7" s="270"/>
      <c r="K7" s="274"/>
      <c r="L7" s="221">
        <f>IF(K7="","",CONCATENATE(VLOOKUP($Y$3,$AB$1:$AK$1,K7)," pont"))</f>
      </c>
      <c r="M7" s="226"/>
      <c r="N7" s="163"/>
      <c r="O7" s="163"/>
      <c r="P7" s="163"/>
      <c r="Q7" s="208" t="s">
        <v>67</v>
      </c>
      <c r="R7" s="257" t="s">
        <v>100</v>
      </c>
      <c r="S7" s="257" t="s">
        <v>101</v>
      </c>
      <c r="Y7" s="219"/>
      <c r="Z7" s="219"/>
      <c r="AA7" s="219" t="s">
        <v>80</v>
      </c>
      <c r="AB7" s="223">
        <v>25</v>
      </c>
      <c r="AC7" s="223">
        <v>15</v>
      </c>
      <c r="AD7" s="223">
        <v>13</v>
      </c>
      <c r="AE7" s="223">
        <v>8</v>
      </c>
      <c r="AF7" s="223">
        <v>6</v>
      </c>
      <c r="AG7" s="223">
        <v>4</v>
      </c>
      <c r="AH7" s="223">
        <v>3</v>
      </c>
      <c r="AI7" s="223">
        <v>2</v>
      </c>
      <c r="AJ7" s="223">
        <v>1</v>
      </c>
      <c r="AK7" s="223">
        <v>0</v>
      </c>
    </row>
    <row r="8" spans="1:37" ht="12.75">
      <c r="A8" s="170"/>
      <c r="B8" s="215"/>
      <c r="C8" s="171"/>
      <c r="D8" s="275"/>
      <c r="E8" s="275"/>
      <c r="F8" s="275"/>
      <c r="G8" s="275"/>
      <c r="H8" s="275"/>
      <c r="I8" s="275"/>
      <c r="J8" s="270"/>
      <c r="K8" s="276"/>
      <c r="L8" s="170"/>
      <c r="M8" s="227"/>
      <c r="N8" s="163"/>
      <c r="O8" s="163"/>
      <c r="P8" s="163"/>
      <c r="Q8" s="210" t="s">
        <v>74</v>
      </c>
      <c r="R8" s="258" t="s">
        <v>99</v>
      </c>
      <c r="S8" s="258" t="s">
        <v>102</v>
      </c>
      <c r="Y8" s="219"/>
      <c r="Z8" s="219"/>
      <c r="AA8" s="219" t="s">
        <v>81</v>
      </c>
      <c r="AB8" s="223">
        <v>15</v>
      </c>
      <c r="AC8" s="223">
        <v>10</v>
      </c>
      <c r="AD8" s="223">
        <v>7</v>
      </c>
      <c r="AE8" s="223">
        <v>5</v>
      </c>
      <c r="AF8" s="223">
        <v>4</v>
      </c>
      <c r="AG8" s="223">
        <v>3</v>
      </c>
      <c r="AH8" s="223">
        <v>2</v>
      </c>
      <c r="AI8" s="223">
        <v>1</v>
      </c>
      <c r="AJ8" s="223">
        <v>0</v>
      </c>
      <c r="AK8" s="223">
        <v>0</v>
      </c>
    </row>
    <row r="9" spans="1:37" ht="12.75">
      <c r="A9" s="170" t="s">
        <v>54</v>
      </c>
      <c r="B9" s="216">
        <v>5</v>
      </c>
      <c r="C9" s="158">
        <f>IF($B9="","",VLOOKUP($B9,'L14 elo'!$A$7:$O$22,5))</f>
        <v>0</v>
      </c>
      <c r="D9" s="271">
        <f>IF($B9="","",VLOOKUP($B9,'L14 elo'!$A$7:$O$22,15))</f>
        <v>86</v>
      </c>
      <c r="E9" s="277" t="str">
        <f>UPPER(IF($B9="","",VLOOKUP($B9,'L14 elo'!$A$7:$O$22,2)))</f>
        <v>BEBTO TEAM "B"</v>
      </c>
      <c r="F9" s="278"/>
      <c r="G9" s="277">
        <f>IF($B9="","",VLOOKUP($B9,'L14 elo'!$A$7:$O$22,3))</f>
        <v>0</v>
      </c>
      <c r="H9" s="278"/>
      <c r="I9" s="277">
        <f>IF($B9="","",VLOOKUP($B9,'L14 elo'!$A$7:$O$22,4))</f>
        <v>0</v>
      </c>
      <c r="J9" s="270"/>
      <c r="K9" s="274"/>
      <c r="L9" s="221">
        <f>IF(K9="","",CONCATENATE(VLOOKUP($Y$3,$AB$1:$AK$1,K9)," pont"))</f>
      </c>
      <c r="M9" s="226"/>
      <c r="N9" s="163"/>
      <c r="O9" s="163"/>
      <c r="P9" s="163"/>
      <c r="Q9" s="212" t="s">
        <v>75</v>
      </c>
      <c r="R9" s="259" t="s">
        <v>98</v>
      </c>
      <c r="S9" s="259" t="s">
        <v>103</v>
      </c>
      <c r="Y9" s="219"/>
      <c r="Z9" s="219"/>
      <c r="AA9" s="219" t="s">
        <v>82</v>
      </c>
      <c r="AB9" s="223">
        <v>10</v>
      </c>
      <c r="AC9" s="223">
        <v>6</v>
      </c>
      <c r="AD9" s="223">
        <v>4</v>
      </c>
      <c r="AE9" s="223">
        <v>2</v>
      </c>
      <c r="AF9" s="223">
        <v>1</v>
      </c>
      <c r="AG9" s="223">
        <v>0</v>
      </c>
      <c r="AH9" s="223">
        <v>0</v>
      </c>
      <c r="AI9" s="223">
        <v>0</v>
      </c>
      <c r="AJ9" s="223">
        <v>0</v>
      </c>
      <c r="AK9" s="223">
        <v>0</v>
      </c>
    </row>
    <row r="10" spans="1:37" ht="12.75">
      <c r="A10" s="170"/>
      <c r="B10" s="215"/>
      <c r="C10" s="171"/>
      <c r="D10" s="275"/>
      <c r="E10" s="275"/>
      <c r="F10" s="275"/>
      <c r="G10" s="275"/>
      <c r="H10" s="275"/>
      <c r="I10" s="275"/>
      <c r="J10" s="270"/>
      <c r="K10" s="276"/>
      <c r="L10" s="170"/>
      <c r="M10" s="227"/>
      <c r="N10" s="163"/>
      <c r="O10" s="163"/>
      <c r="P10" s="163"/>
      <c r="Q10" s="163"/>
      <c r="R10" s="163"/>
      <c r="S10" s="163"/>
      <c r="Y10" s="219"/>
      <c r="Z10" s="219"/>
      <c r="AA10" s="219" t="s">
        <v>83</v>
      </c>
      <c r="AB10" s="223">
        <v>6</v>
      </c>
      <c r="AC10" s="223">
        <v>3</v>
      </c>
      <c r="AD10" s="223">
        <v>2</v>
      </c>
      <c r="AE10" s="223">
        <v>1</v>
      </c>
      <c r="AF10" s="223">
        <v>0</v>
      </c>
      <c r="AG10" s="223">
        <v>0</v>
      </c>
      <c r="AH10" s="223">
        <v>0</v>
      </c>
      <c r="AI10" s="223">
        <v>0</v>
      </c>
      <c r="AJ10" s="223">
        <v>0</v>
      </c>
      <c r="AK10" s="223">
        <v>0</v>
      </c>
    </row>
    <row r="11" spans="1:37" ht="12.75">
      <c r="A11" s="170" t="s">
        <v>55</v>
      </c>
      <c r="B11" s="216">
        <v>7</v>
      </c>
      <c r="C11" s="158">
        <f>IF($B11="","",VLOOKUP($B11,'L14 elo'!$A$7:$O$22,5))</f>
        <v>0</v>
      </c>
      <c r="D11" s="271">
        <f>IF($B11="","",VLOOKUP($B11,'L14 elo'!$A$7:$O$22,15))</f>
        <v>108</v>
      </c>
      <c r="E11" s="277" t="str">
        <f>UPPER(IF($B11="","",VLOOKUP($B11,'L14 elo'!$A$7:$O$22,2)))</f>
        <v>TENISZ MŰHELY</v>
      </c>
      <c r="F11" s="278"/>
      <c r="G11" s="277">
        <f>IF($B11="","",VLOOKUP($B11,'L14 elo'!$A$7:$O$22,3))</f>
        <v>0</v>
      </c>
      <c r="H11" s="278"/>
      <c r="I11" s="277">
        <f>IF($B11="","",VLOOKUP($B11,'L14 elo'!$A$7:$O$22,4))</f>
        <v>0</v>
      </c>
      <c r="J11" s="270"/>
      <c r="K11" s="274"/>
      <c r="L11" s="221">
        <f>IF(K11="","",CONCATENATE(VLOOKUP($Y$3,$AB$1:$AK$1,K11)," pont"))</f>
      </c>
      <c r="M11" s="226"/>
      <c r="N11" s="163"/>
      <c r="O11" s="163"/>
      <c r="P11" s="163"/>
      <c r="Q11" s="163"/>
      <c r="R11" s="163"/>
      <c r="S11" s="163"/>
      <c r="Y11" s="219"/>
      <c r="Z11" s="219"/>
      <c r="AA11" s="219" t="s">
        <v>88</v>
      </c>
      <c r="AB11" s="223">
        <v>3</v>
      </c>
      <c r="AC11" s="223">
        <v>2</v>
      </c>
      <c r="AD11" s="223">
        <v>1</v>
      </c>
      <c r="AE11" s="223">
        <v>0</v>
      </c>
      <c r="AF11" s="223">
        <v>0</v>
      </c>
      <c r="AG11" s="223">
        <v>0</v>
      </c>
      <c r="AH11" s="223">
        <v>0</v>
      </c>
      <c r="AI11" s="223">
        <v>0</v>
      </c>
      <c r="AJ11" s="223">
        <v>0</v>
      </c>
      <c r="AK11" s="223">
        <v>0</v>
      </c>
    </row>
    <row r="12" spans="1:37" ht="12.75">
      <c r="A12" s="149"/>
      <c r="B12" s="200"/>
      <c r="C12" s="197"/>
      <c r="D12" s="270"/>
      <c r="E12" s="270"/>
      <c r="F12" s="270"/>
      <c r="G12" s="270"/>
      <c r="H12" s="270"/>
      <c r="I12" s="270"/>
      <c r="J12" s="270"/>
      <c r="K12" s="279"/>
      <c r="L12" s="197"/>
      <c r="M12" s="228"/>
      <c r="Y12" s="219"/>
      <c r="Z12" s="219"/>
      <c r="AA12" s="219" t="s">
        <v>84</v>
      </c>
      <c r="AB12" s="224">
        <v>0</v>
      </c>
      <c r="AC12" s="224">
        <v>0</v>
      </c>
      <c r="AD12" s="224">
        <v>0</v>
      </c>
      <c r="AE12" s="224">
        <v>0</v>
      </c>
      <c r="AF12" s="224">
        <v>0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</row>
    <row r="13" spans="1:37" ht="12.75">
      <c r="A13" s="253" t="s">
        <v>60</v>
      </c>
      <c r="B13" s="255"/>
      <c r="C13" s="158">
        <f>IF($B13="","",VLOOKUP($B13,'L14 elo'!$A$7:$O$22,5))</f>
      </c>
      <c r="D13" s="271">
        <f>IF($B13="","",VLOOKUP($B13,'L14 elo'!$A$7:$O$22,15))</f>
      </c>
      <c r="E13" s="277">
        <f>UPPER(IF($B13="","",VLOOKUP($B13,'L14 elo'!$A$7:$O$22,2)))</f>
      </c>
      <c r="F13" s="278"/>
      <c r="G13" s="277">
        <f>IF($B13="","",VLOOKUP($B13,'L14 elo'!$A$7:$O$22,3))</f>
      </c>
      <c r="H13" s="278"/>
      <c r="I13" s="277">
        <f>IF($B13="","",VLOOKUP($B13,'L14 elo'!$A$7:$O$22,4))</f>
      </c>
      <c r="J13" s="270"/>
      <c r="K13" s="274"/>
      <c r="L13" s="221">
        <f>IF(K13="","",CONCATENATE(VLOOKUP($Y$3,$AB$1:$AK$1,K13)," pont"))</f>
      </c>
      <c r="M13" s="226"/>
      <c r="Y13" s="219"/>
      <c r="Z13" s="219"/>
      <c r="AA13" s="219" t="s">
        <v>85</v>
      </c>
      <c r="AB13" s="224">
        <v>0</v>
      </c>
      <c r="AC13" s="224">
        <v>0</v>
      </c>
      <c r="AD13" s="224">
        <v>0</v>
      </c>
      <c r="AE13" s="224">
        <v>0</v>
      </c>
      <c r="AF13" s="224">
        <v>0</v>
      </c>
      <c r="AG13" s="224">
        <v>0</v>
      </c>
      <c r="AH13" s="224">
        <v>0</v>
      </c>
      <c r="AI13" s="224">
        <v>0</v>
      </c>
      <c r="AJ13" s="224">
        <v>0</v>
      </c>
      <c r="AK13" s="224">
        <v>0</v>
      </c>
    </row>
    <row r="14" spans="1:37" ht="12.75">
      <c r="A14" s="170"/>
      <c r="B14" s="215"/>
      <c r="C14" s="171"/>
      <c r="D14" s="275"/>
      <c r="E14" s="275"/>
      <c r="F14" s="275"/>
      <c r="G14" s="275"/>
      <c r="H14" s="275"/>
      <c r="I14" s="275"/>
      <c r="J14" s="270"/>
      <c r="K14" s="276"/>
      <c r="L14" s="170"/>
      <c r="M14" s="227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</row>
    <row r="15" spans="1:37" ht="12.75">
      <c r="A15" s="200" t="s">
        <v>61</v>
      </c>
      <c r="B15" s="254">
        <v>2</v>
      </c>
      <c r="C15" s="158">
        <f>IF($B15="","",VLOOKUP($B15,'L14 elo'!$A$7:$O$22,5))</f>
        <v>0</v>
      </c>
      <c r="D15" s="280">
        <f>IF($B15="","",VLOOKUP($B15,'L14 elo'!$A$7:$O$22,15))</f>
        <v>24</v>
      </c>
      <c r="E15" s="272" t="str">
        <f>UPPER(IF($B15="","",VLOOKUP($B15,'L14 elo'!$A$7:$O$22,2)))</f>
        <v>ALFA TI</v>
      </c>
      <c r="F15" s="273"/>
      <c r="G15" s="272">
        <f>IF($B15="","",VLOOKUP($B15,'L14 elo'!$A$7:$O$22,3))</f>
        <v>0</v>
      </c>
      <c r="H15" s="273"/>
      <c r="I15" s="272">
        <f>IF($B15="","",VLOOKUP($B15,'L14 elo'!$A$7:$O$22,4))</f>
        <v>0</v>
      </c>
      <c r="J15" s="270"/>
      <c r="K15" s="274"/>
      <c r="L15" s="221">
        <f>IF(K15="","",CONCATENATE(VLOOKUP($Y$3,$AB$1:$AK$1,K15)," pont"))</f>
      </c>
      <c r="M15" s="226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</row>
    <row r="16" spans="1:37" ht="12.75">
      <c r="A16" s="170"/>
      <c r="B16" s="215"/>
      <c r="C16" s="171"/>
      <c r="D16" s="275"/>
      <c r="E16" s="275"/>
      <c r="F16" s="275"/>
      <c r="G16" s="275"/>
      <c r="H16" s="275"/>
      <c r="I16" s="275"/>
      <c r="J16" s="270"/>
      <c r="K16" s="276"/>
      <c r="L16" s="170"/>
      <c r="M16" s="227"/>
      <c r="Y16" s="219"/>
      <c r="Z16" s="219"/>
      <c r="AA16" s="219" t="s">
        <v>53</v>
      </c>
      <c r="AB16" s="219">
        <v>300</v>
      </c>
      <c r="AC16" s="219">
        <v>250</v>
      </c>
      <c r="AD16" s="219">
        <v>220</v>
      </c>
      <c r="AE16" s="219">
        <v>180</v>
      </c>
      <c r="AF16" s="219">
        <v>160</v>
      </c>
      <c r="AG16" s="219">
        <v>150</v>
      </c>
      <c r="AH16" s="219">
        <v>140</v>
      </c>
      <c r="AI16" s="219">
        <v>130</v>
      </c>
      <c r="AJ16" s="219">
        <v>120</v>
      </c>
      <c r="AK16" s="219">
        <v>110</v>
      </c>
    </row>
    <row r="17" spans="1:37" ht="12.75">
      <c r="A17" s="170" t="s">
        <v>62</v>
      </c>
      <c r="B17" s="216">
        <v>3</v>
      </c>
      <c r="C17" s="158">
        <f>IF($B17="","",VLOOKUP($B17,'L14 elo'!$A$7:$O$22,5))</f>
        <v>0</v>
      </c>
      <c r="D17" s="271">
        <f>IF($B17="","",VLOOKUP($B17,'L14 elo'!$A$7:$O$22,15))</f>
        <v>33</v>
      </c>
      <c r="E17" s="277" t="str">
        <f>UPPER(IF($B17="","",VLOOKUP($B17,'L14 elo'!$A$7:$O$22,2)))</f>
        <v>BEBTO TEAM "A"</v>
      </c>
      <c r="F17" s="278"/>
      <c r="G17" s="277">
        <f>IF($B17="","",VLOOKUP($B17,'L14 elo'!$A$7:$O$22,3))</f>
        <v>0</v>
      </c>
      <c r="H17" s="278"/>
      <c r="I17" s="277">
        <f>IF($B17="","",VLOOKUP($B17,'L14 elo'!$A$7:$O$22,4))</f>
        <v>0</v>
      </c>
      <c r="J17" s="270"/>
      <c r="K17" s="274"/>
      <c r="L17" s="221">
        <f>IF(K17="","",CONCATENATE(VLOOKUP($Y$3,$AB$1:$AK$1,K17)," pont"))</f>
      </c>
      <c r="M17" s="226"/>
      <c r="Y17" s="219"/>
      <c r="Z17" s="219"/>
      <c r="AA17" s="219" t="s">
        <v>76</v>
      </c>
      <c r="AB17" s="219">
        <v>250</v>
      </c>
      <c r="AC17" s="219">
        <v>200</v>
      </c>
      <c r="AD17" s="219">
        <v>160</v>
      </c>
      <c r="AE17" s="219">
        <v>140</v>
      </c>
      <c r="AF17" s="219">
        <v>120</v>
      </c>
      <c r="AG17" s="219">
        <v>110</v>
      </c>
      <c r="AH17" s="219">
        <v>100</v>
      </c>
      <c r="AI17" s="219">
        <v>90</v>
      </c>
      <c r="AJ17" s="219">
        <v>80</v>
      </c>
      <c r="AK17" s="219">
        <v>70</v>
      </c>
    </row>
    <row r="18" spans="1:37" ht="12.75">
      <c r="A18" s="170"/>
      <c r="B18" s="215"/>
      <c r="C18" s="171"/>
      <c r="D18" s="275"/>
      <c r="E18" s="275"/>
      <c r="F18" s="275"/>
      <c r="G18" s="275"/>
      <c r="H18" s="275"/>
      <c r="I18" s="275"/>
      <c r="J18" s="270"/>
      <c r="K18" s="276"/>
      <c r="L18" s="170"/>
      <c r="M18" s="227"/>
      <c r="Y18" s="219"/>
      <c r="Z18" s="219"/>
      <c r="AA18" s="219" t="s">
        <v>77</v>
      </c>
      <c r="AB18" s="219">
        <v>200</v>
      </c>
      <c r="AC18" s="219">
        <v>150</v>
      </c>
      <c r="AD18" s="219">
        <v>130</v>
      </c>
      <c r="AE18" s="219">
        <v>110</v>
      </c>
      <c r="AF18" s="219">
        <v>95</v>
      </c>
      <c r="AG18" s="219">
        <v>80</v>
      </c>
      <c r="AH18" s="219">
        <v>70</v>
      </c>
      <c r="AI18" s="219">
        <v>60</v>
      </c>
      <c r="AJ18" s="219">
        <v>55</v>
      </c>
      <c r="AK18" s="219">
        <v>50</v>
      </c>
    </row>
    <row r="19" spans="1:37" ht="12.75">
      <c r="A19" s="253" t="s">
        <v>66</v>
      </c>
      <c r="B19" s="216">
        <v>4</v>
      </c>
      <c r="C19" s="158">
        <f>IF($B19="","",VLOOKUP($B19,'L14 elo'!$A$7:$O$22,5))</f>
        <v>0</v>
      </c>
      <c r="D19" s="271">
        <f>IF($B19="","",VLOOKUP($B19,'L14 elo'!$A$7:$O$22,15))</f>
        <v>76</v>
      </c>
      <c r="E19" s="277" t="str">
        <f>UPPER(IF($B19="","",VLOOKUP($B19,'L14 elo'!$A$7:$O$22,2)))</f>
        <v>SVSE-GYSEV</v>
      </c>
      <c r="F19" s="278"/>
      <c r="G19" s="277">
        <f>IF($B19="","",VLOOKUP($B19,'L14 elo'!$A$7:$O$22,3))</f>
        <v>0</v>
      </c>
      <c r="H19" s="278"/>
      <c r="I19" s="277">
        <f>IF($B19="","",VLOOKUP($B19,'L14 elo'!$A$7:$O$22,4))</f>
        <v>0</v>
      </c>
      <c r="J19" s="270"/>
      <c r="K19" s="274"/>
      <c r="L19" s="221">
        <f>IF(K19="","",CONCATENATE(VLOOKUP($Y$3,$AB$1:$AK$1,K19)," pont"))</f>
      </c>
      <c r="M19" s="226"/>
      <c r="Y19" s="219"/>
      <c r="Z19" s="219"/>
      <c r="AA19" s="219" t="s">
        <v>78</v>
      </c>
      <c r="AB19" s="219">
        <v>150</v>
      </c>
      <c r="AC19" s="219">
        <v>120</v>
      </c>
      <c r="AD19" s="219">
        <v>100</v>
      </c>
      <c r="AE19" s="219">
        <v>80</v>
      </c>
      <c r="AF19" s="219">
        <v>70</v>
      </c>
      <c r="AG19" s="219">
        <v>60</v>
      </c>
      <c r="AH19" s="219">
        <v>55</v>
      </c>
      <c r="AI19" s="219">
        <v>50</v>
      </c>
      <c r="AJ19" s="219">
        <v>45</v>
      </c>
      <c r="AK19" s="219">
        <v>40</v>
      </c>
    </row>
    <row r="20" spans="1:37" ht="12.75">
      <c r="A20" s="170"/>
      <c r="B20" s="215"/>
      <c r="C20" s="171"/>
      <c r="D20" s="275"/>
      <c r="E20" s="275"/>
      <c r="F20" s="275"/>
      <c r="G20" s="275"/>
      <c r="H20" s="275"/>
      <c r="I20" s="275"/>
      <c r="J20" s="270"/>
      <c r="K20" s="276"/>
      <c r="L20" s="170"/>
      <c r="M20" s="227"/>
      <c r="Y20" s="219"/>
      <c r="Z20" s="219"/>
      <c r="AA20" s="219" t="s">
        <v>77</v>
      </c>
      <c r="AB20" s="219">
        <v>200</v>
      </c>
      <c r="AC20" s="219">
        <v>150</v>
      </c>
      <c r="AD20" s="219">
        <v>130</v>
      </c>
      <c r="AE20" s="219">
        <v>110</v>
      </c>
      <c r="AF20" s="219">
        <v>95</v>
      </c>
      <c r="AG20" s="219">
        <v>80</v>
      </c>
      <c r="AH20" s="219">
        <v>70</v>
      </c>
      <c r="AI20" s="219">
        <v>60</v>
      </c>
      <c r="AJ20" s="219">
        <v>55</v>
      </c>
      <c r="AK20" s="219">
        <v>50</v>
      </c>
    </row>
    <row r="21" spans="1:37" ht="12.75">
      <c r="A21" s="253" t="s">
        <v>96</v>
      </c>
      <c r="B21" s="216">
        <v>6</v>
      </c>
      <c r="C21" s="158">
        <f>IF($B21="","",VLOOKUP($B21,'L14 elo'!$A$7:$O$22,5))</f>
        <v>0</v>
      </c>
      <c r="D21" s="271">
        <f>IF($B21="","",VLOOKUP($B21,'L14 elo'!$A$7:$O$22,15))</f>
        <v>101</v>
      </c>
      <c r="E21" s="277" t="str">
        <f>UPPER(IF($B21="","",VLOOKUP($B21,'L14 elo'!$A$7:$O$22,2)))</f>
        <v>FUTURE TT</v>
      </c>
      <c r="F21" s="278"/>
      <c r="G21" s="277">
        <f>IF($B21="","",VLOOKUP($B21,'L14 elo'!$A$7:$O$22,3))</f>
        <v>0</v>
      </c>
      <c r="H21" s="278"/>
      <c r="I21" s="277">
        <f>IF($B21="","",VLOOKUP($B21,'L14 elo'!$A$7:$O$22,4))</f>
        <v>0</v>
      </c>
      <c r="J21" s="270"/>
      <c r="K21" s="274"/>
      <c r="L21" s="221">
        <f>IF(K21="","",CONCATENATE(VLOOKUP($Y$3,$AB$1:$AK$1,K21)," pont"))</f>
      </c>
      <c r="M21" s="226"/>
      <c r="Y21" s="219"/>
      <c r="Z21" s="219"/>
      <c r="AA21" s="219" t="s">
        <v>78</v>
      </c>
      <c r="AB21" s="219">
        <v>150</v>
      </c>
      <c r="AC21" s="219">
        <v>120</v>
      </c>
      <c r="AD21" s="219">
        <v>100</v>
      </c>
      <c r="AE21" s="219">
        <v>80</v>
      </c>
      <c r="AF21" s="219">
        <v>70</v>
      </c>
      <c r="AG21" s="219">
        <v>60</v>
      </c>
      <c r="AH21" s="219">
        <v>55</v>
      </c>
      <c r="AI21" s="219">
        <v>50</v>
      </c>
      <c r="AJ21" s="219">
        <v>45</v>
      </c>
      <c r="AK21" s="219">
        <v>40</v>
      </c>
    </row>
    <row r="22" spans="1:37" ht="12.75">
      <c r="A22" s="149"/>
      <c r="B22" s="149"/>
      <c r="C22" s="149"/>
      <c r="D22" s="270"/>
      <c r="E22" s="270"/>
      <c r="F22" s="270"/>
      <c r="G22" s="270"/>
      <c r="H22" s="270"/>
      <c r="I22" s="270"/>
      <c r="J22" s="270"/>
      <c r="K22" s="270"/>
      <c r="L22" s="149"/>
      <c r="M22" s="149"/>
      <c r="Y22" s="219"/>
      <c r="Z22" s="219"/>
      <c r="AA22" s="219" t="s">
        <v>79</v>
      </c>
      <c r="AB22" s="219">
        <v>120</v>
      </c>
      <c r="AC22" s="219">
        <v>90</v>
      </c>
      <c r="AD22" s="219">
        <v>65</v>
      </c>
      <c r="AE22" s="219">
        <v>55</v>
      </c>
      <c r="AF22" s="219">
        <v>50</v>
      </c>
      <c r="AG22" s="219">
        <v>45</v>
      </c>
      <c r="AH22" s="219">
        <v>40</v>
      </c>
      <c r="AI22" s="219">
        <v>35</v>
      </c>
      <c r="AJ22" s="219">
        <v>25</v>
      </c>
      <c r="AK22" s="219">
        <v>20</v>
      </c>
    </row>
    <row r="23" spans="1:37" ht="12.75">
      <c r="A23" s="149"/>
      <c r="B23" s="149"/>
      <c r="C23" s="149"/>
      <c r="D23" s="270"/>
      <c r="E23" s="270"/>
      <c r="F23" s="270"/>
      <c r="G23" s="270"/>
      <c r="H23" s="270"/>
      <c r="I23" s="270"/>
      <c r="J23" s="270"/>
      <c r="K23" s="270"/>
      <c r="L23" s="149"/>
      <c r="M23" s="149"/>
      <c r="Y23" s="219"/>
      <c r="Z23" s="219"/>
      <c r="AA23" s="219" t="s">
        <v>80</v>
      </c>
      <c r="AB23" s="219">
        <v>90</v>
      </c>
      <c r="AC23" s="219">
        <v>60</v>
      </c>
      <c r="AD23" s="219">
        <v>45</v>
      </c>
      <c r="AE23" s="219">
        <v>34</v>
      </c>
      <c r="AF23" s="219">
        <v>27</v>
      </c>
      <c r="AG23" s="219">
        <v>22</v>
      </c>
      <c r="AH23" s="219">
        <v>18</v>
      </c>
      <c r="AI23" s="219">
        <v>15</v>
      </c>
      <c r="AJ23" s="219">
        <v>12</v>
      </c>
      <c r="AK23" s="219">
        <v>9</v>
      </c>
    </row>
    <row r="24" spans="1:37" ht="18.75" customHeight="1">
      <c r="A24" s="149"/>
      <c r="B24" s="290"/>
      <c r="C24" s="290"/>
      <c r="D24" s="291" t="str">
        <f>E7</f>
        <v>VASAS SC</v>
      </c>
      <c r="E24" s="291"/>
      <c r="F24" s="291" t="str">
        <f>E9</f>
        <v>BEBTO TEAM "B"</v>
      </c>
      <c r="G24" s="291"/>
      <c r="H24" s="291" t="str">
        <f>E11</f>
        <v>TENISZ MŰHELY</v>
      </c>
      <c r="I24" s="291"/>
      <c r="J24" s="291">
        <f>E13</f>
      </c>
      <c r="K24" s="291"/>
      <c r="L24" s="149"/>
      <c r="M24" s="201" t="s">
        <v>57</v>
      </c>
      <c r="Y24" s="219"/>
      <c r="Z24" s="219"/>
      <c r="AA24" s="219" t="s">
        <v>81</v>
      </c>
      <c r="AB24" s="219">
        <v>60</v>
      </c>
      <c r="AC24" s="219">
        <v>40</v>
      </c>
      <c r="AD24" s="219">
        <v>30</v>
      </c>
      <c r="AE24" s="219">
        <v>20</v>
      </c>
      <c r="AF24" s="219">
        <v>18</v>
      </c>
      <c r="AG24" s="219">
        <v>15</v>
      </c>
      <c r="AH24" s="219">
        <v>12</v>
      </c>
      <c r="AI24" s="219">
        <v>10</v>
      </c>
      <c r="AJ24" s="219">
        <v>8</v>
      </c>
      <c r="AK24" s="219">
        <v>6</v>
      </c>
    </row>
    <row r="25" spans="1:37" ht="18.75" customHeight="1">
      <c r="A25" s="199" t="s">
        <v>53</v>
      </c>
      <c r="B25" s="292" t="str">
        <f>E7</f>
        <v>VASAS SC</v>
      </c>
      <c r="C25" s="292"/>
      <c r="D25" s="293"/>
      <c r="E25" s="293"/>
      <c r="F25" s="294" t="s">
        <v>147</v>
      </c>
      <c r="G25" s="295"/>
      <c r="H25" s="294" t="s">
        <v>132</v>
      </c>
      <c r="I25" s="295"/>
      <c r="J25" s="291"/>
      <c r="K25" s="291"/>
      <c r="L25" s="149"/>
      <c r="M25" s="203">
        <v>1</v>
      </c>
      <c r="Y25" s="219"/>
      <c r="Z25" s="219"/>
      <c r="AA25" s="219" t="s">
        <v>82</v>
      </c>
      <c r="AB25" s="219">
        <v>40</v>
      </c>
      <c r="AC25" s="219">
        <v>25</v>
      </c>
      <c r="AD25" s="219">
        <v>18</v>
      </c>
      <c r="AE25" s="219">
        <v>13</v>
      </c>
      <c r="AF25" s="219">
        <v>8</v>
      </c>
      <c r="AG25" s="219">
        <v>7</v>
      </c>
      <c r="AH25" s="219">
        <v>6</v>
      </c>
      <c r="AI25" s="219">
        <v>5</v>
      </c>
      <c r="AJ25" s="219">
        <v>4</v>
      </c>
      <c r="AK25" s="219">
        <v>3</v>
      </c>
    </row>
    <row r="26" spans="1:37" ht="18.75" customHeight="1">
      <c r="A26" s="199" t="s">
        <v>54</v>
      </c>
      <c r="B26" s="292" t="str">
        <f>E9</f>
        <v>BEBTO TEAM "B"</v>
      </c>
      <c r="C26" s="292"/>
      <c r="D26" s="294" t="s">
        <v>150</v>
      </c>
      <c r="E26" s="295"/>
      <c r="F26" s="293"/>
      <c r="G26" s="293"/>
      <c r="H26" s="294" t="s">
        <v>150</v>
      </c>
      <c r="I26" s="295"/>
      <c r="J26" s="295"/>
      <c r="K26" s="295"/>
      <c r="L26" s="149"/>
      <c r="M26" s="203">
        <v>3</v>
      </c>
      <c r="Y26" s="219"/>
      <c r="Z26" s="219"/>
      <c r="AA26" s="219" t="s">
        <v>83</v>
      </c>
      <c r="AB26" s="219">
        <v>25</v>
      </c>
      <c r="AC26" s="219">
        <v>15</v>
      </c>
      <c r="AD26" s="219">
        <v>13</v>
      </c>
      <c r="AE26" s="219">
        <v>7</v>
      </c>
      <c r="AF26" s="219">
        <v>6</v>
      </c>
      <c r="AG26" s="219">
        <v>5</v>
      </c>
      <c r="AH26" s="219">
        <v>4</v>
      </c>
      <c r="AI26" s="219">
        <v>3</v>
      </c>
      <c r="AJ26" s="219">
        <v>2</v>
      </c>
      <c r="AK26" s="219">
        <v>1</v>
      </c>
    </row>
    <row r="27" spans="1:37" ht="18.75" customHeight="1">
      <c r="A27" s="199" t="s">
        <v>55</v>
      </c>
      <c r="B27" s="292" t="str">
        <f>E11</f>
        <v>TENISZ MŰHELY</v>
      </c>
      <c r="C27" s="292"/>
      <c r="D27" s="294" t="s">
        <v>135</v>
      </c>
      <c r="E27" s="295"/>
      <c r="F27" s="294" t="s">
        <v>147</v>
      </c>
      <c r="G27" s="295"/>
      <c r="H27" s="293"/>
      <c r="I27" s="293"/>
      <c r="J27" s="295"/>
      <c r="K27" s="295"/>
      <c r="L27" s="149"/>
      <c r="M27" s="203">
        <v>2</v>
      </c>
      <c r="Y27" s="219"/>
      <c r="Z27" s="219"/>
      <c r="AA27" s="219" t="s">
        <v>88</v>
      </c>
      <c r="AB27" s="219">
        <v>15</v>
      </c>
      <c r="AC27" s="219">
        <v>10</v>
      </c>
      <c r="AD27" s="219">
        <v>8</v>
      </c>
      <c r="AE27" s="219">
        <v>4</v>
      </c>
      <c r="AF27" s="219">
        <v>3</v>
      </c>
      <c r="AG27" s="219">
        <v>2</v>
      </c>
      <c r="AH27" s="219">
        <v>1</v>
      </c>
      <c r="AI27" s="219">
        <v>0</v>
      </c>
      <c r="AJ27" s="219">
        <v>0</v>
      </c>
      <c r="AK27" s="219">
        <v>0</v>
      </c>
    </row>
    <row r="28" spans="1:37" ht="18.75" customHeight="1">
      <c r="A28" s="252" t="s">
        <v>60</v>
      </c>
      <c r="B28" s="292">
        <f>E13</f>
      </c>
      <c r="C28" s="292"/>
      <c r="D28" s="295"/>
      <c r="E28" s="295"/>
      <c r="F28" s="295"/>
      <c r="G28" s="295"/>
      <c r="H28" s="291"/>
      <c r="I28" s="291"/>
      <c r="J28" s="293"/>
      <c r="K28" s="293"/>
      <c r="L28" s="149"/>
      <c r="M28" s="203"/>
      <c r="Y28" s="219"/>
      <c r="Z28" s="219"/>
      <c r="AA28" s="219" t="s">
        <v>88</v>
      </c>
      <c r="AB28" s="219">
        <v>15</v>
      </c>
      <c r="AC28" s="219">
        <v>10</v>
      </c>
      <c r="AD28" s="219">
        <v>8</v>
      </c>
      <c r="AE28" s="219">
        <v>4</v>
      </c>
      <c r="AF28" s="219">
        <v>3</v>
      </c>
      <c r="AG28" s="219">
        <v>2</v>
      </c>
      <c r="AH28" s="219">
        <v>1</v>
      </c>
      <c r="AI28" s="219">
        <v>0</v>
      </c>
      <c r="AJ28" s="219">
        <v>0</v>
      </c>
      <c r="AK28" s="219">
        <v>0</v>
      </c>
    </row>
    <row r="29" spans="1:37" ht="12.75">
      <c r="A29" s="149"/>
      <c r="B29" s="149"/>
      <c r="C29" s="149"/>
      <c r="D29" s="270"/>
      <c r="E29" s="270"/>
      <c r="F29" s="270"/>
      <c r="G29" s="270"/>
      <c r="H29" s="270"/>
      <c r="I29" s="270"/>
      <c r="J29" s="270"/>
      <c r="K29" s="270"/>
      <c r="L29" s="149"/>
      <c r="M29" s="204"/>
      <c r="Y29" s="219"/>
      <c r="Z29" s="219"/>
      <c r="AA29" s="219" t="s">
        <v>84</v>
      </c>
      <c r="AB29" s="219">
        <v>10</v>
      </c>
      <c r="AC29" s="219">
        <v>6</v>
      </c>
      <c r="AD29" s="219">
        <v>4</v>
      </c>
      <c r="AE29" s="219">
        <v>2</v>
      </c>
      <c r="AF29" s="219">
        <v>1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</row>
    <row r="30" spans="1:37" ht="18.75" customHeight="1">
      <c r="A30" s="149"/>
      <c r="B30" s="290"/>
      <c r="C30" s="290"/>
      <c r="D30" s="291" t="str">
        <f>E15</f>
        <v>ALFA TI</v>
      </c>
      <c r="E30" s="291"/>
      <c r="F30" s="291" t="str">
        <f>E17</f>
        <v>BEBTO TEAM "A"</v>
      </c>
      <c r="G30" s="291"/>
      <c r="H30" s="296" t="str">
        <f>E19</f>
        <v>SVSE-GYSEV</v>
      </c>
      <c r="I30" s="297"/>
      <c r="J30" s="291" t="str">
        <f>E21</f>
        <v>FUTURE TT</v>
      </c>
      <c r="K30" s="291"/>
      <c r="L30" s="149"/>
      <c r="M30" s="204"/>
      <c r="Y30" s="219"/>
      <c r="Z30" s="219"/>
      <c r="AA30" s="219" t="s">
        <v>85</v>
      </c>
      <c r="AB30" s="219">
        <v>3</v>
      </c>
      <c r="AC30" s="219">
        <v>2</v>
      </c>
      <c r="AD30" s="219">
        <v>1</v>
      </c>
      <c r="AE30" s="219">
        <v>0</v>
      </c>
      <c r="AF30" s="219">
        <v>0</v>
      </c>
      <c r="AG30" s="219">
        <v>0</v>
      </c>
      <c r="AH30" s="219">
        <v>0</v>
      </c>
      <c r="AI30" s="219">
        <v>0</v>
      </c>
      <c r="AJ30" s="219">
        <v>0</v>
      </c>
      <c r="AK30" s="219">
        <v>0</v>
      </c>
    </row>
    <row r="31" spans="1:13" ht="18.75" customHeight="1">
      <c r="A31" s="252" t="s">
        <v>61</v>
      </c>
      <c r="B31" s="298" t="str">
        <f>E15</f>
        <v>ALFA TI</v>
      </c>
      <c r="C31" s="299"/>
      <c r="D31" s="293"/>
      <c r="E31" s="293"/>
      <c r="F31" s="294" t="s">
        <v>145</v>
      </c>
      <c r="G31" s="295"/>
      <c r="H31" s="294" t="s">
        <v>145</v>
      </c>
      <c r="I31" s="295"/>
      <c r="J31" s="300" t="s">
        <v>145</v>
      </c>
      <c r="K31" s="291"/>
      <c r="L31" s="149"/>
      <c r="M31" s="203">
        <v>1</v>
      </c>
    </row>
    <row r="32" spans="1:13" ht="18.75" customHeight="1">
      <c r="A32" s="252" t="s">
        <v>62</v>
      </c>
      <c r="B32" s="292" t="str">
        <f>E17</f>
        <v>BEBTO TEAM "A"</v>
      </c>
      <c r="C32" s="292"/>
      <c r="D32" s="294" t="s">
        <v>146</v>
      </c>
      <c r="E32" s="295"/>
      <c r="F32" s="293"/>
      <c r="G32" s="293"/>
      <c r="H32" s="294" t="s">
        <v>151</v>
      </c>
      <c r="I32" s="295"/>
      <c r="J32" s="294" t="s">
        <v>153</v>
      </c>
      <c r="K32" s="295"/>
      <c r="L32" s="149"/>
      <c r="M32" s="203">
        <v>2</v>
      </c>
    </row>
    <row r="33" spans="1:13" ht="18.75" customHeight="1">
      <c r="A33" s="252" t="s">
        <v>66</v>
      </c>
      <c r="B33" s="292" t="str">
        <f>E19</f>
        <v>SVSE-GYSEV</v>
      </c>
      <c r="C33" s="292"/>
      <c r="D33" s="294" t="s">
        <v>146</v>
      </c>
      <c r="E33" s="295"/>
      <c r="F33" s="294" t="s">
        <v>152</v>
      </c>
      <c r="G33" s="295"/>
      <c r="H33" s="293"/>
      <c r="I33" s="293"/>
      <c r="J33" s="295"/>
      <c r="K33" s="295"/>
      <c r="L33" s="149"/>
      <c r="M33" s="203">
        <v>3</v>
      </c>
    </row>
    <row r="34" spans="1:13" ht="18.75" customHeight="1">
      <c r="A34" s="252" t="s">
        <v>96</v>
      </c>
      <c r="B34" s="292" t="str">
        <f>E21</f>
        <v>FUTURE TT</v>
      </c>
      <c r="C34" s="292"/>
      <c r="D34" s="294" t="s">
        <v>146</v>
      </c>
      <c r="E34" s="295"/>
      <c r="F34" s="294" t="s">
        <v>154</v>
      </c>
      <c r="G34" s="295"/>
      <c r="H34" s="291"/>
      <c r="I34" s="291"/>
      <c r="J34" s="293"/>
      <c r="K34" s="293"/>
      <c r="L34" s="149"/>
      <c r="M34" s="203">
        <v>4</v>
      </c>
    </row>
    <row r="35" spans="1:13" ht="18.75" customHeight="1">
      <c r="A35" s="205"/>
      <c r="B35" s="206"/>
      <c r="C35" s="206"/>
      <c r="D35" s="281"/>
      <c r="E35" s="281"/>
      <c r="F35" s="281"/>
      <c r="G35" s="281"/>
      <c r="H35" s="281"/>
      <c r="I35" s="281"/>
      <c r="J35" s="270"/>
      <c r="K35" s="270"/>
      <c r="L35" s="149"/>
      <c r="M35" s="207"/>
    </row>
    <row r="36" spans="1:13" ht="13.5" thickBot="1">
      <c r="A36" s="149"/>
      <c r="B36" s="149"/>
      <c r="C36" s="149"/>
      <c r="D36" s="270"/>
      <c r="E36" s="270"/>
      <c r="F36" s="270"/>
      <c r="G36" s="270"/>
      <c r="H36" s="270"/>
      <c r="I36" s="270"/>
      <c r="J36" s="270"/>
      <c r="K36" s="270"/>
      <c r="L36" s="149"/>
      <c r="M36" s="149"/>
    </row>
    <row r="37" spans="1:13" ht="13.5" thickBot="1">
      <c r="A37" s="149" t="s">
        <v>49</v>
      </c>
      <c r="B37" s="149"/>
      <c r="C37" s="309" t="str">
        <f>IF(M25=1,B25,IF(M26=1,B26,IF(M27=1,B27,IF(M28=1,B28,""))))</f>
        <v>VASAS SC</v>
      </c>
      <c r="D37" s="310"/>
      <c r="E37" s="276" t="s">
        <v>64</v>
      </c>
      <c r="F37" s="303" t="str">
        <f>IF(M31=1,B31,IF(M32=1,B32,IF(M33=1,B33,IF(M34=1,B34,""))))</f>
        <v>ALFA TI</v>
      </c>
      <c r="G37" s="303"/>
      <c r="H37" s="270"/>
      <c r="I37" s="286" t="s">
        <v>136</v>
      </c>
      <c r="J37" s="270"/>
      <c r="K37" s="270"/>
      <c r="L37" s="149"/>
      <c r="M37" s="149"/>
    </row>
    <row r="38" spans="1:13" ht="13.5" thickBot="1">
      <c r="A38" s="149"/>
      <c r="B38" s="149"/>
      <c r="C38" s="149"/>
      <c r="D38" s="270"/>
      <c r="E38" s="270"/>
      <c r="F38" s="276"/>
      <c r="G38" s="276"/>
      <c r="H38" s="270"/>
      <c r="I38" s="270"/>
      <c r="J38" s="270"/>
      <c r="K38" s="270"/>
      <c r="L38" s="149"/>
      <c r="M38" s="149"/>
    </row>
    <row r="39" spans="1:13" ht="13.5" thickBot="1">
      <c r="A39" s="149" t="s">
        <v>63</v>
      </c>
      <c r="B39" s="149"/>
      <c r="C39" s="306" t="str">
        <f>IF(M25=2,B25,IF(M26=2,B26,IF(M27=2,B27,IF(M28=2,B28,""))))</f>
        <v>TENISZ MŰHELY</v>
      </c>
      <c r="D39" s="306"/>
      <c r="E39" s="276" t="s">
        <v>64</v>
      </c>
      <c r="F39" s="307" t="str">
        <f>IF(M31=2,B31,IF(M32=2,B32,IF(M33=2,B33,IF(M34=2,B34,""))))</f>
        <v>BEBTO TEAM "A"</v>
      </c>
      <c r="G39" s="308"/>
      <c r="H39" s="270"/>
      <c r="I39" s="286" t="s">
        <v>160</v>
      </c>
      <c r="J39" s="270"/>
      <c r="K39" s="270"/>
      <c r="L39" s="149"/>
      <c r="M39" s="149"/>
    </row>
    <row r="40" spans="1:13" ht="13.5" thickBot="1">
      <c r="A40" s="149"/>
      <c r="B40" s="149"/>
      <c r="C40" s="202"/>
      <c r="D40" s="283"/>
      <c r="E40" s="276"/>
      <c r="F40" s="283"/>
      <c r="G40" s="283"/>
      <c r="H40" s="270"/>
      <c r="I40" s="270"/>
      <c r="J40" s="270"/>
      <c r="K40" s="270"/>
      <c r="L40" s="149"/>
      <c r="M40" s="149"/>
    </row>
    <row r="41" spans="1:13" ht="13.5" thickBot="1">
      <c r="A41" s="149" t="s">
        <v>65</v>
      </c>
      <c r="B41" s="149"/>
      <c r="C41" s="306" t="str">
        <f>IF(M25=3,B25,IF(M26=3,B26,IF(M27=3,B27,IF(M28=3,B28,""))))</f>
        <v>BEBTO TEAM "B"</v>
      </c>
      <c r="D41" s="306"/>
      <c r="E41" s="276" t="s">
        <v>64</v>
      </c>
      <c r="F41" s="307" t="str">
        <f>IF(M31=3,B31,IF(M32=3,B32,IF(M33=3,B33,IF(M34=3,B34,""))))</f>
        <v>SVSE-GYSEV</v>
      </c>
      <c r="G41" s="308"/>
      <c r="H41" s="270"/>
      <c r="I41" s="286" t="s">
        <v>147</v>
      </c>
      <c r="J41" s="270"/>
      <c r="K41" s="270"/>
      <c r="L41" s="149"/>
      <c r="M41" s="149"/>
    </row>
    <row r="42" spans="1:13" ht="12.75">
      <c r="A42" s="149"/>
      <c r="B42" s="149"/>
      <c r="C42" s="149"/>
      <c r="D42" s="270"/>
      <c r="E42" s="270"/>
      <c r="F42" s="270"/>
      <c r="G42" s="270"/>
      <c r="H42" s="270"/>
      <c r="I42" s="270"/>
      <c r="J42" s="270"/>
      <c r="K42" s="270"/>
      <c r="L42" s="149"/>
      <c r="M42" s="149"/>
    </row>
    <row r="43" spans="1:19" ht="12.75">
      <c r="A43" s="171" t="s">
        <v>97</v>
      </c>
      <c r="B43" s="149"/>
      <c r="C43" s="306">
        <f>IF(M25=4,B25,IF(M26=4,B26,IF(M27=4,B27,IF(M28=4,B28,))))</f>
        <v>0</v>
      </c>
      <c r="D43" s="306"/>
      <c r="E43" s="276" t="s">
        <v>64</v>
      </c>
      <c r="F43" s="303" t="str">
        <f>IF(M31=3,B31,IF(M32=3,B32,IF(M33=4,B33,IF(M34=4,B34,""))))</f>
        <v>FUTURE TT</v>
      </c>
      <c r="G43" s="303"/>
      <c r="H43" s="270"/>
      <c r="I43" s="282"/>
      <c r="J43" s="270"/>
      <c r="K43" s="270"/>
      <c r="L43" s="149"/>
      <c r="M43" s="149"/>
      <c r="O43" s="163"/>
      <c r="P43" s="163"/>
      <c r="Q43" s="163"/>
      <c r="R43" s="163"/>
      <c r="S43" s="163"/>
    </row>
    <row r="44" spans="1:19" ht="12.75">
      <c r="A44" s="149"/>
      <c r="B44" s="149"/>
      <c r="C44" s="149"/>
      <c r="D44" s="270"/>
      <c r="E44" s="270"/>
      <c r="F44" s="270"/>
      <c r="G44" s="270"/>
      <c r="H44" s="270"/>
      <c r="I44" s="270"/>
      <c r="J44" s="270"/>
      <c r="K44" s="270"/>
      <c r="L44" s="148"/>
      <c r="M44" s="149"/>
      <c r="O44" s="163"/>
      <c r="P44" s="172"/>
      <c r="Q44" s="172"/>
      <c r="R44" s="173"/>
      <c r="S44" s="163"/>
    </row>
    <row r="45" spans="1:19" ht="12.75">
      <c r="A45" s="70" t="s">
        <v>35</v>
      </c>
      <c r="B45" s="71"/>
      <c r="C45" s="122"/>
      <c r="D45" s="178" t="s">
        <v>2</v>
      </c>
      <c r="E45" s="179" t="s">
        <v>37</v>
      </c>
      <c r="F45" s="284"/>
      <c r="G45" s="178" t="s">
        <v>2</v>
      </c>
      <c r="H45" s="179" t="s">
        <v>46</v>
      </c>
      <c r="I45" s="78"/>
      <c r="J45" s="179" t="s">
        <v>47</v>
      </c>
      <c r="K45" s="77" t="s">
        <v>48</v>
      </c>
      <c r="L45" s="30"/>
      <c r="M45" s="195"/>
      <c r="O45" s="163"/>
      <c r="P45" s="174"/>
      <c r="Q45" s="174"/>
      <c r="R45" s="175"/>
      <c r="S45" s="163"/>
    </row>
    <row r="46" spans="1:19" ht="12.75">
      <c r="A46" s="152" t="s">
        <v>36</v>
      </c>
      <c r="B46" s="153"/>
      <c r="C46" s="154"/>
      <c r="D46" s="180">
        <v>1</v>
      </c>
      <c r="E46" s="304" t="str">
        <f>IF(D46&gt;$R$47,,UPPER(VLOOKUP(D46,'L14 elo'!$A$7:$Q$134,2)))</f>
        <v>VASAS SC</v>
      </c>
      <c r="F46" s="304"/>
      <c r="G46" s="190" t="s">
        <v>3</v>
      </c>
      <c r="H46" s="153"/>
      <c r="I46" s="181"/>
      <c r="J46" s="191"/>
      <c r="K46" s="150" t="s">
        <v>38</v>
      </c>
      <c r="L46" s="196"/>
      <c r="M46" s="182"/>
      <c r="O46" s="163"/>
      <c r="P46" s="175"/>
      <c r="Q46" s="176"/>
      <c r="R46" s="175"/>
      <c r="S46" s="163"/>
    </row>
    <row r="47" spans="1:19" ht="12.75">
      <c r="A47" s="155" t="s">
        <v>45</v>
      </c>
      <c r="B47" s="76"/>
      <c r="C47" s="156"/>
      <c r="D47" s="183">
        <v>2</v>
      </c>
      <c r="E47" s="305" t="str">
        <f>IF(D47&gt;$R$47,,UPPER(VLOOKUP(D47,'L14 elo'!$A$7:$Q$134,2)))</f>
        <v>ALFA TI</v>
      </c>
      <c r="F47" s="305"/>
      <c r="G47" s="192" t="s">
        <v>4</v>
      </c>
      <c r="H47" s="184"/>
      <c r="I47" s="185"/>
      <c r="J47" s="42"/>
      <c r="K47" s="155"/>
      <c r="L47" s="148"/>
      <c r="M47" s="189"/>
      <c r="O47" s="163"/>
      <c r="P47" s="174"/>
      <c r="Q47" s="174"/>
      <c r="R47" s="177">
        <f>MIN(4,'L14 elo'!Q2)</f>
        <v>4</v>
      </c>
      <c r="S47" s="163"/>
    </row>
    <row r="48" spans="1:19" ht="12.75">
      <c r="A48" s="89"/>
      <c r="B48" s="90"/>
      <c r="C48" s="91"/>
      <c r="D48" s="183"/>
      <c r="E48" s="184"/>
      <c r="F48" s="285"/>
      <c r="G48" s="192" t="s">
        <v>5</v>
      </c>
      <c r="H48" s="184"/>
      <c r="I48" s="185"/>
      <c r="J48" s="42"/>
      <c r="K48" s="150" t="s">
        <v>39</v>
      </c>
      <c r="L48" s="196"/>
      <c r="M48" s="182"/>
      <c r="O48" s="163"/>
      <c r="P48" s="175"/>
      <c r="Q48" s="176"/>
      <c r="R48" s="175"/>
      <c r="S48" s="163"/>
    </row>
    <row r="49" spans="1:19" ht="12.75">
      <c r="A49" s="72"/>
      <c r="B49" s="120"/>
      <c r="C49" s="73"/>
      <c r="D49" s="183"/>
      <c r="E49" s="184"/>
      <c r="F49" s="285"/>
      <c r="G49" s="192" t="s">
        <v>6</v>
      </c>
      <c r="H49" s="184"/>
      <c r="I49" s="185"/>
      <c r="J49" s="42"/>
      <c r="K49" s="194"/>
      <c r="L49" s="187"/>
      <c r="M49" s="186"/>
      <c r="O49" s="163"/>
      <c r="P49" s="175"/>
      <c r="Q49" s="176"/>
      <c r="R49" s="175"/>
      <c r="S49" s="163"/>
    </row>
    <row r="50" spans="1:19" ht="12.75">
      <c r="A50" s="80"/>
      <c r="B50" s="92"/>
      <c r="C50" s="121"/>
      <c r="D50" s="183"/>
      <c r="E50" s="184"/>
      <c r="F50" s="285"/>
      <c r="G50" s="192" t="s">
        <v>7</v>
      </c>
      <c r="H50" s="184"/>
      <c r="I50" s="185"/>
      <c r="J50" s="42"/>
      <c r="K50" s="155"/>
      <c r="L50" s="148"/>
      <c r="M50" s="189"/>
      <c r="O50" s="163"/>
      <c r="P50" s="174"/>
      <c r="Q50" s="174"/>
      <c r="R50" s="175"/>
      <c r="S50" s="163"/>
    </row>
    <row r="51" spans="1:19" ht="12.75">
      <c r="A51" s="81"/>
      <c r="B51" s="95"/>
      <c r="C51" s="73"/>
      <c r="D51" s="183"/>
      <c r="E51" s="184"/>
      <c r="F51" s="285"/>
      <c r="G51" s="192" t="s">
        <v>8</v>
      </c>
      <c r="H51" s="184"/>
      <c r="I51" s="185"/>
      <c r="J51" s="42"/>
      <c r="K51" s="150" t="s">
        <v>28</v>
      </c>
      <c r="L51" s="196"/>
      <c r="M51" s="182"/>
      <c r="O51" s="163"/>
      <c r="P51" s="175"/>
      <c r="Q51" s="176"/>
      <c r="R51" s="175"/>
      <c r="S51" s="163"/>
    </row>
    <row r="52" spans="1:19" ht="12.75">
      <c r="A52" s="81"/>
      <c r="B52" s="95"/>
      <c r="C52" s="87"/>
      <c r="D52" s="183"/>
      <c r="E52" s="184"/>
      <c r="F52" s="285"/>
      <c r="G52" s="192" t="s">
        <v>9</v>
      </c>
      <c r="H52" s="184"/>
      <c r="I52" s="185"/>
      <c r="J52" s="42"/>
      <c r="K52" s="194"/>
      <c r="L52" s="187"/>
      <c r="M52" s="186"/>
      <c r="O52" s="163"/>
      <c r="P52" s="175"/>
      <c r="Q52" s="176"/>
      <c r="R52" s="177"/>
      <c r="S52" s="163"/>
    </row>
    <row r="53" spans="1:19" ht="12.75">
      <c r="A53" s="82"/>
      <c r="B53" s="79"/>
      <c r="C53" s="88"/>
      <c r="D53" s="188"/>
      <c r="E53" s="76"/>
      <c r="F53" s="282"/>
      <c r="G53" s="193" t="s">
        <v>10</v>
      </c>
      <c r="H53" s="76"/>
      <c r="I53" s="151"/>
      <c r="J53" s="74"/>
      <c r="K53" s="155" t="str">
        <f>L4</f>
        <v>Droppa Erika</v>
      </c>
      <c r="L53" s="148"/>
      <c r="M53" s="189"/>
      <c r="O53" s="163"/>
      <c r="P53" s="163"/>
      <c r="Q53" s="163"/>
      <c r="R53" s="163"/>
      <c r="S53" s="163"/>
    </row>
    <row r="54" spans="15:19" ht="12.75">
      <c r="O54" s="163"/>
      <c r="P54" s="163"/>
      <c r="Q54" s="163"/>
      <c r="R54" s="163"/>
      <c r="S54" s="163"/>
    </row>
  </sheetData>
  <sheetProtection/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1" stopIfTrue="1">
      <formula>$O$1="CU"</formula>
    </cfRule>
  </conditionalFormatting>
  <conditionalFormatting sqref="E7 E9 E11 E13 E15 E17 E19:E21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V34" sqref="V34"/>
      <selection pane="bottomLeft" activeCell="G18" sqref="G18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5" customWidth="1"/>
    <col min="5" max="5" width="12.140625" style="246" customWidth="1"/>
    <col min="6" max="6" width="6.140625" style="48" hidden="1" customWidth="1"/>
    <col min="7" max="7" width="31.4218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KORO. CSB DÖNTŐ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264" t="str">
        <f>Altalanos!$D$8</f>
        <v>L12</v>
      </c>
      <c r="D2" s="59"/>
      <c r="E2" s="116" t="s">
        <v>29</v>
      </c>
      <c r="F2" s="49"/>
      <c r="G2" s="49"/>
      <c r="H2" s="238"/>
      <c r="I2" s="238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31" t="s">
        <v>42</v>
      </c>
      <c r="B3" s="236"/>
      <c r="C3" s="236"/>
      <c r="D3" s="236"/>
      <c r="E3" s="236"/>
      <c r="F3" s="236"/>
      <c r="G3" s="236"/>
      <c r="H3" s="236"/>
      <c r="I3" s="237"/>
      <c r="J3" s="54"/>
      <c r="K3" s="60"/>
      <c r="L3" s="60"/>
      <c r="M3" s="60"/>
      <c r="N3" s="133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8" t="s">
        <v>25</v>
      </c>
      <c r="I4" s="243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2022.08.26-28</v>
      </c>
      <c r="B5" s="110"/>
      <c r="C5" s="46" t="str">
        <f>Altalanos!$C$10</f>
        <v>Balatonboglár</v>
      </c>
      <c r="D5" s="47" t="str">
        <f>Altalanos!$D$10</f>
        <v>  </v>
      </c>
      <c r="E5" s="47"/>
      <c r="F5" s="47"/>
      <c r="G5" s="47"/>
      <c r="H5" s="130" t="str">
        <f>Altalanos!$E$10</f>
        <v>Droppa Erika</v>
      </c>
      <c r="I5" s="249"/>
      <c r="J5" s="66"/>
      <c r="K5" s="41"/>
      <c r="L5" s="41"/>
      <c r="M5" s="41"/>
      <c r="N5" s="66"/>
      <c r="O5" s="47"/>
      <c r="P5" s="47"/>
      <c r="Q5" s="256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95</v>
      </c>
      <c r="H6" s="239" t="s">
        <v>32</v>
      </c>
      <c r="I6" s="240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128</v>
      </c>
      <c r="C7" s="50"/>
      <c r="D7" s="51"/>
      <c r="E7" s="119"/>
      <c r="F7" s="232"/>
      <c r="G7" s="233"/>
      <c r="H7" s="51"/>
      <c r="I7" s="51"/>
      <c r="J7" s="101"/>
      <c r="K7" s="99"/>
      <c r="L7" s="103"/>
      <c r="M7" s="99"/>
      <c r="N7" s="94"/>
      <c r="O7" s="51">
        <v>15</v>
      </c>
      <c r="P7" s="68"/>
      <c r="Q7" s="52"/>
    </row>
    <row r="8" spans="1:17" s="11" customFormat="1" ht="18.75" customHeight="1">
      <c r="A8" s="104">
        <v>2</v>
      </c>
      <c r="B8" s="50" t="s">
        <v>127</v>
      </c>
      <c r="C8" s="50"/>
      <c r="D8" s="51"/>
      <c r="E8" s="119"/>
      <c r="F8" s="234"/>
      <c r="G8" s="235"/>
      <c r="H8" s="51"/>
      <c r="I8" s="51"/>
      <c r="J8" s="101"/>
      <c r="K8" s="99"/>
      <c r="L8" s="103"/>
      <c r="M8" s="99"/>
      <c r="N8" s="94"/>
      <c r="O8" s="51">
        <v>25</v>
      </c>
      <c r="P8" s="68"/>
      <c r="Q8" s="52"/>
    </row>
    <row r="9" spans="1:17" s="11" customFormat="1" ht="18.75" customHeight="1">
      <c r="A9" s="104">
        <v>3</v>
      </c>
      <c r="B9" s="50" t="s">
        <v>118</v>
      </c>
      <c r="C9" s="50"/>
      <c r="D9" s="51"/>
      <c r="E9" s="119"/>
      <c r="F9" s="234"/>
      <c r="G9" s="235"/>
      <c r="H9" s="51"/>
      <c r="I9" s="51"/>
      <c r="J9" s="101"/>
      <c r="K9" s="99"/>
      <c r="L9" s="103"/>
      <c r="M9" s="99"/>
      <c r="N9" s="94"/>
      <c r="O9" s="51">
        <v>40</v>
      </c>
      <c r="P9" s="245"/>
      <c r="Q9" s="124"/>
    </row>
    <row r="10" spans="1:17" s="11" customFormat="1" ht="18.75" customHeight="1">
      <c r="A10" s="104">
        <v>4</v>
      </c>
      <c r="B10" s="50" t="s">
        <v>130</v>
      </c>
      <c r="C10" s="50"/>
      <c r="D10" s="51"/>
      <c r="E10" s="119"/>
      <c r="F10" s="234"/>
      <c r="G10" s="235"/>
      <c r="H10" s="51"/>
      <c r="I10" s="51"/>
      <c r="J10" s="101"/>
      <c r="K10" s="99"/>
      <c r="L10" s="103"/>
      <c r="M10" s="99"/>
      <c r="N10" s="94"/>
      <c r="O10" s="51">
        <v>76</v>
      </c>
      <c r="P10" s="244"/>
      <c r="Q10" s="241"/>
    </row>
    <row r="11" spans="1:17" s="11" customFormat="1" ht="18.75" customHeight="1">
      <c r="A11" s="104">
        <v>5</v>
      </c>
      <c r="B11" s="50" t="s">
        <v>120</v>
      </c>
      <c r="C11" s="50"/>
      <c r="D11" s="51"/>
      <c r="E11" s="119"/>
      <c r="F11" s="234"/>
      <c r="G11" s="235"/>
      <c r="H11" s="51"/>
      <c r="I11" s="51"/>
      <c r="J11" s="101"/>
      <c r="K11" s="99"/>
      <c r="L11" s="103"/>
      <c r="M11" s="99"/>
      <c r="N11" s="94"/>
      <c r="O11" s="261">
        <v>77</v>
      </c>
      <c r="P11" s="244"/>
      <c r="Q11" s="241"/>
    </row>
    <row r="12" spans="1:17" s="11" customFormat="1" ht="18.75" customHeight="1">
      <c r="A12" s="104">
        <v>6</v>
      </c>
      <c r="B12" s="50" t="s">
        <v>131</v>
      </c>
      <c r="C12" s="50"/>
      <c r="D12" s="51"/>
      <c r="E12" s="119"/>
      <c r="F12" s="234"/>
      <c r="G12" s="235"/>
      <c r="H12" s="51"/>
      <c r="I12" s="51"/>
      <c r="J12" s="101"/>
      <c r="K12" s="99"/>
      <c r="L12" s="103"/>
      <c r="M12" s="99"/>
      <c r="N12" s="94"/>
      <c r="O12" s="51">
        <v>127</v>
      </c>
      <c r="P12" s="244"/>
      <c r="Q12" s="241"/>
    </row>
    <row r="13" spans="1:17" s="11" customFormat="1" ht="18.75" customHeight="1">
      <c r="A13" s="104">
        <v>7</v>
      </c>
      <c r="B13" s="50" t="s">
        <v>129</v>
      </c>
      <c r="C13" s="50"/>
      <c r="D13" s="51"/>
      <c r="E13" s="119"/>
      <c r="F13" s="234"/>
      <c r="G13" s="235"/>
      <c r="H13" s="51"/>
      <c r="I13" s="51"/>
      <c r="J13" s="101"/>
      <c r="K13" s="99"/>
      <c r="L13" s="103"/>
      <c r="M13" s="99"/>
      <c r="N13" s="94"/>
      <c r="O13" s="51">
        <v>149</v>
      </c>
      <c r="P13" s="244"/>
      <c r="Q13" s="241"/>
    </row>
    <row r="14" spans="1:17" s="11" customFormat="1" ht="18.75" customHeight="1">
      <c r="A14" s="104">
        <v>8</v>
      </c>
      <c r="B14" s="50" t="s">
        <v>116</v>
      </c>
      <c r="C14" s="50"/>
      <c r="D14" s="51"/>
      <c r="E14" s="119"/>
      <c r="F14" s="234"/>
      <c r="G14" s="235"/>
      <c r="H14" s="51"/>
      <c r="I14" s="51"/>
      <c r="J14" s="101"/>
      <c r="K14" s="99"/>
      <c r="L14" s="103"/>
      <c r="M14" s="99"/>
      <c r="N14" s="94"/>
      <c r="O14" s="51">
        <v>152</v>
      </c>
      <c r="P14" s="244"/>
      <c r="Q14" s="241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6"/>
      <c r="N15" s="94"/>
      <c r="O15" s="51"/>
      <c r="P15" s="52"/>
      <c r="Q15" s="52"/>
    </row>
    <row r="16" spans="1:17" s="11" customFormat="1" ht="18.75" customHeight="1">
      <c r="A16" s="104">
        <v>10</v>
      </c>
      <c r="B16" s="260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6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6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6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6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6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6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6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6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6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6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6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6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62"/>
      <c r="F28" s="250"/>
      <c r="G28" s="251"/>
      <c r="H28" s="51"/>
      <c r="I28" s="51"/>
      <c r="J28" s="101"/>
      <c r="K28" s="99"/>
      <c r="L28" s="103"/>
      <c r="M28" s="126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63"/>
      <c r="F29" s="67"/>
      <c r="G29" s="67"/>
      <c r="H29" s="51"/>
      <c r="I29" s="51"/>
      <c r="J29" s="101"/>
      <c r="K29" s="99"/>
      <c r="L29" s="103"/>
      <c r="M29" s="126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6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6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47"/>
      <c r="F32" s="67"/>
      <c r="G32" s="67"/>
      <c r="H32" s="51"/>
      <c r="I32" s="51"/>
      <c r="J32" s="101"/>
      <c r="K32" s="99"/>
      <c r="L32" s="103"/>
      <c r="M32" s="126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6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6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6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6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6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42"/>
      <c r="I38" s="129"/>
      <c r="J38" s="101"/>
      <c r="K38" s="99"/>
      <c r="L38" s="103"/>
      <c r="M38" s="126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42"/>
      <c r="I39" s="129"/>
      <c r="J39" s="101"/>
      <c r="K39" s="99"/>
      <c r="L39" s="103"/>
      <c r="M39" s="126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42"/>
      <c r="I40" s="129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6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42"/>
      <c r="I41" s="129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6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42"/>
      <c r="I42" s="129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6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42"/>
      <c r="I43" s="129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6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42"/>
      <c r="I44" s="129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6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42"/>
      <c r="I45" s="129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6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42"/>
      <c r="I46" s="129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6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42"/>
      <c r="I47" s="129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6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42"/>
      <c r="I48" s="129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6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42"/>
      <c r="I49" s="129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6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42"/>
      <c r="I50" s="129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6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42"/>
      <c r="I51" s="129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6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42"/>
      <c r="I52" s="129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6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42"/>
      <c r="I53" s="129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6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42"/>
      <c r="I54" s="129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6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42"/>
      <c r="I55" s="129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6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42"/>
      <c r="I56" s="129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6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42"/>
      <c r="I57" s="129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6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42"/>
      <c r="I58" s="129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6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42"/>
      <c r="I59" s="129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6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42"/>
      <c r="I60" s="129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6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42"/>
      <c r="I61" s="129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6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42"/>
      <c r="I62" s="129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6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42"/>
      <c r="I63" s="129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6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42"/>
      <c r="I64" s="129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6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42"/>
      <c r="I65" s="129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6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42"/>
      <c r="I66" s="129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6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42"/>
      <c r="I67" s="129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6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42"/>
      <c r="I68" s="129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6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42"/>
      <c r="I69" s="129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6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42"/>
      <c r="I70" s="129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6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42"/>
      <c r="I71" s="129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6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42"/>
      <c r="I72" s="129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6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42"/>
      <c r="I73" s="129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6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42"/>
      <c r="I74" s="129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6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42"/>
      <c r="I75" s="129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6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42"/>
      <c r="I76" s="129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6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42"/>
      <c r="I77" s="129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6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42"/>
      <c r="I78" s="129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6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42"/>
      <c r="I79" s="129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6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42"/>
      <c r="I80" s="129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6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42"/>
      <c r="I81" s="129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6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42"/>
      <c r="I82" s="129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6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42"/>
      <c r="I83" s="129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6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42"/>
      <c r="I84" s="129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6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42"/>
      <c r="I85" s="129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6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42"/>
      <c r="I86" s="129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6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42"/>
      <c r="I87" s="129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6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42"/>
      <c r="I88" s="129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6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42"/>
      <c r="I89" s="129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6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42"/>
      <c r="I90" s="129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6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42"/>
      <c r="I91" s="129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6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42"/>
      <c r="I92" s="129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6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42"/>
      <c r="I93" s="129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6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42"/>
      <c r="I94" s="129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6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42"/>
      <c r="I95" s="129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6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42"/>
      <c r="I96" s="129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6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42"/>
      <c r="I97" s="129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6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42"/>
      <c r="I98" s="129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6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42"/>
      <c r="I99" s="129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6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42"/>
      <c r="I100" s="129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6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42"/>
      <c r="I101" s="129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6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42"/>
      <c r="I102" s="129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6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42"/>
      <c r="I103" s="129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6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42"/>
      <c r="I104" s="129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6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42"/>
      <c r="I105" s="129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6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42"/>
      <c r="I106" s="129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6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42"/>
      <c r="I107" s="129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6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42"/>
      <c r="I108" s="129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6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42"/>
      <c r="I109" s="129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6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42"/>
      <c r="I110" s="129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6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42"/>
      <c r="I111" s="129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6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42"/>
      <c r="I112" s="129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6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42"/>
      <c r="I113" s="129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6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42"/>
      <c r="I114" s="129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6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42"/>
      <c r="I115" s="129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6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42"/>
      <c r="I116" s="129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6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42"/>
      <c r="I117" s="129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6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42"/>
      <c r="I118" s="129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6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42"/>
      <c r="I119" s="129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6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42"/>
      <c r="I120" s="129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6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42"/>
      <c r="I121" s="129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6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42"/>
      <c r="I122" s="129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6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42"/>
      <c r="I123" s="129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6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42"/>
      <c r="I124" s="129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6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42"/>
      <c r="I125" s="129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6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42"/>
      <c r="I126" s="129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6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42"/>
      <c r="I127" s="129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6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42"/>
      <c r="I128" s="129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6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42"/>
      <c r="I129" s="129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6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42"/>
      <c r="I130" s="129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6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42"/>
      <c r="I131" s="129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6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42"/>
      <c r="I132" s="129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6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42"/>
      <c r="I133" s="129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6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42"/>
      <c r="I134" s="129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6">
        <f t="shared" si="4"/>
        <v>999</v>
      </c>
      <c r="N134" s="124"/>
      <c r="O134" s="127"/>
      <c r="P134" s="128">
        <f t="shared" si="5"/>
        <v>999</v>
      </c>
      <c r="Q134" s="129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42"/>
      <c r="I135" s="129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6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42"/>
      <c r="I136" s="129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6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42"/>
      <c r="I137" s="129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6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42"/>
      <c r="I138" s="129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6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42"/>
      <c r="I139" s="129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6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42"/>
      <c r="I140" s="129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6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42"/>
      <c r="I141" s="129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6">
        <f t="shared" si="4"/>
        <v>999</v>
      </c>
      <c r="N141" s="124"/>
      <c r="O141" s="127"/>
      <c r="P141" s="128">
        <f t="shared" si="5"/>
        <v>999</v>
      </c>
      <c r="Q141" s="129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42"/>
      <c r="I142" s="129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6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42"/>
      <c r="I143" s="129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6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42"/>
      <c r="I144" s="129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6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42"/>
      <c r="I145" s="129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6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42"/>
      <c r="I146" s="129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6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42"/>
      <c r="I147" s="129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6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42"/>
      <c r="I148" s="129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6">
        <f t="shared" si="4"/>
        <v>999</v>
      </c>
      <c r="N148" s="124"/>
      <c r="O148" s="127"/>
      <c r="P148" s="128">
        <f t="shared" si="5"/>
        <v>999</v>
      </c>
      <c r="Q148" s="129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42"/>
      <c r="I149" s="129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6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42"/>
      <c r="I150" s="129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6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42"/>
      <c r="I151" s="129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6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42"/>
      <c r="I152" s="129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6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42"/>
      <c r="I153" s="129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6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42"/>
      <c r="I154" s="129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6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42"/>
      <c r="I155" s="129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6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42"/>
      <c r="I156" s="129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6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9">
    <tabColor rgb="FFFF0000"/>
  </sheetPr>
  <dimension ref="A1:AK54"/>
  <sheetViews>
    <sheetView zoomScalePageLayoutView="0" workbookViewId="0" topLeftCell="A22">
      <selection activeCell="N40" sqref="N40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266" customWidth="1"/>
    <col min="5" max="5" width="9.28125" style="266" customWidth="1"/>
    <col min="6" max="6" width="7.140625" style="266" customWidth="1"/>
    <col min="7" max="7" width="9.28125" style="266" customWidth="1"/>
    <col min="8" max="8" width="7.140625" style="266" customWidth="1"/>
    <col min="9" max="9" width="9.28125" style="266" customWidth="1"/>
    <col min="10" max="10" width="7.8515625" style="266" customWidth="1"/>
    <col min="11" max="11" width="8.57421875" style="266" customWidth="1"/>
    <col min="12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288" t="str">
        <f>Altalanos!$A$6</f>
        <v>KORO. CSB DÖNTŐ</v>
      </c>
      <c r="B1" s="288"/>
      <c r="C1" s="288"/>
      <c r="D1" s="288"/>
      <c r="E1" s="288"/>
      <c r="F1" s="288"/>
      <c r="G1" s="134"/>
      <c r="H1" s="137" t="s">
        <v>44</v>
      </c>
      <c r="I1" s="135"/>
      <c r="J1" s="136"/>
      <c r="L1" s="138"/>
      <c r="M1" s="159"/>
      <c r="N1" s="161"/>
      <c r="O1" s="161" t="s">
        <v>11</v>
      </c>
      <c r="P1" s="161"/>
      <c r="Q1" s="162"/>
      <c r="R1" s="161"/>
      <c r="S1" s="163"/>
      <c r="AB1" s="225" t="e">
        <f>IF(Y5=1,CONCATENATE(VLOOKUP(Y3,AA16:AH30,2)),CONCATENATE(VLOOKUP(Y3,AA2:AK13,2)))</f>
        <v>#N/A</v>
      </c>
      <c r="AC1" s="225" t="e">
        <f>IF(Y5=1,CONCATENATE(VLOOKUP(Y3,AA16:AK30,3)),CONCATENATE(VLOOKUP(Y3,AA2:AK13,3)))</f>
        <v>#N/A</v>
      </c>
      <c r="AD1" s="225" t="e">
        <f>IF(Y5=1,CONCATENATE(VLOOKUP(Y3,AA16:AK30,4)),CONCATENATE(VLOOKUP(Y3,AA2:AK13,4)))</f>
        <v>#N/A</v>
      </c>
      <c r="AE1" s="225" t="e">
        <f>IF(Y5=1,CONCATENATE(VLOOKUP(Y3,AA16:AK30,5)),CONCATENATE(VLOOKUP(Y3,AA2:AK13,5)))</f>
        <v>#N/A</v>
      </c>
      <c r="AF1" s="225" t="e">
        <f>IF(Y5=1,CONCATENATE(VLOOKUP(Y3,AA16:AK30,6)),CONCATENATE(VLOOKUP(Y3,AA2:AK13,6)))</f>
        <v>#N/A</v>
      </c>
      <c r="AG1" s="225" t="e">
        <f>IF(Y5=1,CONCATENATE(VLOOKUP(Y3,AA16:AK30,7)),CONCATENATE(VLOOKUP(Y3,AA2:AK13,7)))</f>
        <v>#N/A</v>
      </c>
      <c r="AH1" s="225" t="e">
        <f>IF(Y5=1,CONCATENATE(VLOOKUP(Y3,AA16:AK30,8)),CONCATENATE(VLOOKUP(Y3,AA2:AK13,8)))</f>
        <v>#N/A</v>
      </c>
      <c r="AI1" s="225" t="e">
        <f>IF(Y5=1,CONCATENATE(VLOOKUP(Y3,AA16:AK30,9)),CONCATENATE(VLOOKUP(Y3,AA2:AK13,9)))</f>
        <v>#N/A</v>
      </c>
      <c r="AJ1" s="225" t="e">
        <f>IF(Y5=1,CONCATENATE(VLOOKUP(Y3,AA16:AK30,10)),CONCATENATE(VLOOKUP(Y3,AA2:AK13,10)))</f>
        <v>#N/A</v>
      </c>
      <c r="AK1" s="225" t="e">
        <f>IF(Y5=1,CONCATENATE(VLOOKUP(Y3,AA16:AK30,11)),CONCATENATE(VLOOKUP(Y3,AA2:AK13,11)))</f>
        <v>#N/A</v>
      </c>
    </row>
    <row r="2" spans="1:37" ht="12.75">
      <c r="A2" s="139" t="s">
        <v>43</v>
      </c>
      <c r="B2" s="140"/>
      <c r="C2" s="140"/>
      <c r="D2" s="140"/>
      <c r="E2" s="140" t="str">
        <f>Altalanos!$D$8</f>
        <v>L12</v>
      </c>
      <c r="F2" s="140"/>
      <c r="G2" s="141"/>
      <c r="H2" s="142"/>
      <c r="I2" s="142"/>
      <c r="J2" s="143"/>
      <c r="K2" s="138"/>
      <c r="L2" s="138"/>
      <c r="M2" s="160"/>
      <c r="N2" s="164"/>
      <c r="O2" s="165"/>
      <c r="P2" s="164"/>
      <c r="Q2" s="165"/>
      <c r="R2" s="164"/>
      <c r="S2" s="163"/>
      <c r="Y2" s="220"/>
      <c r="Z2" s="219"/>
      <c r="AA2" s="219" t="s">
        <v>53</v>
      </c>
      <c r="AB2" s="223">
        <v>150</v>
      </c>
      <c r="AC2" s="223">
        <v>120</v>
      </c>
      <c r="AD2" s="223">
        <v>100</v>
      </c>
      <c r="AE2" s="223">
        <v>80</v>
      </c>
      <c r="AF2" s="223">
        <v>70</v>
      </c>
      <c r="AG2" s="223">
        <v>60</v>
      </c>
      <c r="AH2" s="223">
        <v>55</v>
      </c>
      <c r="AI2" s="223">
        <v>50</v>
      </c>
      <c r="AJ2" s="223">
        <v>45</v>
      </c>
      <c r="AK2" s="223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208" t="s">
        <v>67</v>
      </c>
      <c r="R3" s="209" t="s">
        <v>73</v>
      </c>
      <c r="S3" s="209" t="s">
        <v>68</v>
      </c>
      <c r="Y3" s="219">
        <f>IF(H4="OB","A",IF(H4="IX","W",H4))</f>
        <v>0</v>
      </c>
      <c r="Z3" s="219"/>
      <c r="AA3" s="219" t="s">
        <v>76</v>
      </c>
      <c r="AB3" s="223">
        <v>120</v>
      </c>
      <c r="AC3" s="223">
        <v>90</v>
      </c>
      <c r="AD3" s="223">
        <v>65</v>
      </c>
      <c r="AE3" s="223">
        <v>55</v>
      </c>
      <c r="AF3" s="223">
        <v>50</v>
      </c>
      <c r="AG3" s="223">
        <v>45</v>
      </c>
      <c r="AH3" s="223">
        <v>40</v>
      </c>
      <c r="AI3" s="223">
        <v>35</v>
      </c>
      <c r="AJ3" s="223">
        <v>25</v>
      </c>
      <c r="AK3" s="223">
        <v>20</v>
      </c>
    </row>
    <row r="4" spans="1:37" ht="13.5" thickBot="1">
      <c r="A4" s="289" t="str">
        <f>Altalanos!$A$10</f>
        <v>2022.08.26-28</v>
      </c>
      <c r="B4" s="289"/>
      <c r="C4" s="289"/>
      <c r="D4" s="267"/>
      <c r="E4" s="144" t="str">
        <f>Altalanos!$C$10</f>
        <v>Balatonboglár</v>
      </c>
      <c r="F4" s="144"/>
      <c r="G4" s="144"/>
      <c r="H4" s="146"/>
      <c r="I4" s="144"/>
      <c r="J4" s="145"/>
      <c r="K4" s="146"/>
      <c r="L4" s="147" t="str">
        <f>Altalanos!$E$10</f>
        <v>Droppa Erika</v>
      </c>
      <c r="M4" s="146"/>
      <c r="N4" s="168"/>
      <c r="O4" s="169"/>
      <c r="P4" s="168"/>
      <c r="Q4" s="210" t="s">
        <v>74</v>
      </c>
      <c r="R4" s="211" t="s">
        <v>69</v>
      </c>
      <c r="S4" s="211" t="s">
        <v>70</v>
      </c>
      <c r="Y4" s="219"/>
      <c r="Z4" s="219"/>
      <c r="AA4" s="219" t="s">
        <v>77</v>
      </c>
      <c r="AB4" s="223">
        <v>90</v>
      </c>
      <c r="AC4" s="223">
        <v>60</v>
      </c>
      <c r="AD4" s="223">
        <v>45</v>
      </c>
      <c r="AE4" s="223">
        <v>34</v>
      </c>
      <c r="AF4" s="223">
        <v>27</v>
      </c>
      <c r="AG4" s="223">
        <v>22</v>
      </c>
      <c r="AH4" s="223">
        <v>18</v>
      </c>
      <c r="AI4" s="223">
        <v>15</v>
      </c>
      <c r="AJ4" s="223">
        <v>12</v>
      </c>
      <c r="AK4" s="223">
        <v>9</v>
      </c>
    </row>
    <row r="5" spans="1:37" ht="12.75">
      <c r="A5" s="30"/>
      <c r="B5" s="30" t="s">
        <v>41</v>
      </c>
      <c r="C5" s="157" t="s">
        <v>51</v>
      </c>
      <c r="D5" s="268" t="s">
        <v>35</v>
      </c>
      <c r="E5" s="268" t="s">
        <v>56</v>
      </c>
      <c r="F5" s="268"/>
      <c r="G5" s="268" t="s">
        <v>23</v>
      </c>
      <c r="H5" s="268"/>
      <c r="I5" s="268" t="s">
        <v>26</v>
      </c>
      <c r="J5" s="268"/>
      <c r="K5" s="269" t="s">
        <v>57</v>
      </c>
      <c r="L5" s="198" t="s">
        <v>58</v>
      </c>
      <c r="M5" s="198" t="s">
        <v>59</v>
      </c>
      <c r="N5" s="163"/>
      <c r="O5" s="163"/>
      <c r="P5" s="163"/>
      <c r="Q5" s="212" t="s">
        <v>75</v>
      </c>
      <c r="R5" s="213" t="s">
        <v>71</v>
      </c>
      <c r="S5" s="213" t="s">
        <v>72</v>
      </c>
      <c r="Y5" s="219">
        <f>IF(OR(Altalanos!$A$8="F1",Altalanos!$A$8="F2",Altalanos!$A$8="N1",Altalanos!$A$8="N2"),1,2)</f>
        <v>2</v>
      </c>
      <c r="Z5" s="219"/>
      <c r="AA5" s="219" t="s">
        <v>78</v>
      </c>
      <c r="AB5" s="223">
        <v>60</v>
      </c>
      <c r="AC5" s="223">
        <v>40</v>
      </c>
      <c r="AD5" s="223">
        <v>30</v>
      </c>
      <c r="AE5" s="223">
        <v>20</v>
      </c>
      <c r="AF5" s="223">
        <v>18</v>
      </c>
      <c r="AG5" s="223">
        <v>15</v>
      </c>
      <c r="AH5" s="223">
        <v>12</v>
      </c>
      <c r="AI5" s="223">
        <v>10</v>
      </c>
      <c r="AJ5" s="223">
        <v>8</v>
      </c>
      <c r="AK5" s="223">
        <v>6</v>
      </c>
    </row>
    <row r="6" spans="1:37" ht="12.75">
      <c r="A6" s="149"/>
      <c r="B6" s="149"/>
      <c r="C6" s="197"/>
      <c r="D6" s="270"/>
      <c r="E6" s="270"/>
      <c r="F6" s="270"/>
      <c r="G6" s="270"/>
      <c r="H6" s="270"/>
      <c r="I6" s="270"/>
      <c r="J6" s="270"/>
      <c r="K6" s="270"/>
      <c r="L6" s="149"/>
      <c r="M6" s="149"/>
      <c r="N6" s="163"/>
      <c r="O6" s="163"/>
      <c r="P6" s="163"/>
      <c r="Q6" s="163"/>
      <c r="R6" s="163"/>
      <c r="S6" s="163"/>
      <c r="Y6" s="219"/>
      <c r="Z6" s="219"/>
      <c r="AA6" s="219" t="s">
        <v>79</v>
      </c>
      <c r="AB6" s="223">
        <v>40</v>
      </c>
      <c r="AC6" s="223">
        <v>25</v>
      </c>
      <c r="AD6" s="223">
        <v>18</v>
      </c>
      <c r="AE6" s="223">
        <v>13</v>
      </c>
      <c r="AF6" s="223">
        <v>10</v>
      </c>
      <c r="AG6" s="223">
        <v>8</v>
      </c>
      <c r="AH6" s="223">
        <v>6</v>
      </c>
      <c r="AI6" s="223">
        <v>5</v>
      </c>
      <c r="AJ6" s="223">
        <v>4</v>
      </c>
      <c r="AK6" s="223">
        <v>3</v>
      </c>
    </row>
    <row r="7" spans="1:37" ht="12.75">
      <c r="A7" s="200" t="s">
        <v>53</v>
      </c>
      <c r="B7" s="214">
        <v>1</v>
      </c>
      <c r="C7" s="158">
        <f>IF($B7="","",VLOOKUP($B7,'L12 elo'!$A$7:$O$22,5))</f>
        <v>0</v>
      </c>
      <c r="D7" s="271">
        <f>IF($B7="","",VLOOKUP($B7,'L12 elo'!$A$7:$O$22,15))</f>
        <v>15</v>
      </c>
      <c r="E7" s="272" t="str">
        <f>UPPER(IF($B7="","",VLOOKUP($B7,'L12 elo'!$A$7:$O$22,2)))</f>
        <v>SVSE-GYSEV</v>
      </c>
      <c r="F7" s="273"/>
      <c r="G7" s="272">
        <f>IF($B7="","",VLOOKUP($B7,'L12 elo'!$A$7:$O$22,3))</f>
        <v>0</v>
      </c>
      <c r="H7" s="273"/>
      <c r="I7" s="272">
        <f>IF($B7="","",VLOOKUP($B7,'L12 elo'!$A$7:$O$22,4))</f>
        <v>0</v>
      </c>
      <c r="J7" s="270"/>
      <c r="K7" s="274"/>
      <c r="L7" s="221">
        <f>IF(K7="","",CONCATENATE(VLOOKUP($Y$3,$AB$1:$AK$1,K7)," pont"))</f>
      </c>
      <c r="M7" s="226"/>
      <c r="N7" s="163"/>
      <c r="O7" s="163"/>
      <c r="P7" s="163"/>
      <c r="Q7" s="208" t="s">
        <v>67</v>
      </c>
      <c r="R7" s="257" t="s">
        <v>100</v>
      </c>
      <c r="S7" s="257" t="s">
        <v>101</v>
      </c>
      <c r="Y7" s="219"/>
      <c r="Z7" s="219"/>
      <c r="AA7" s="219" t="s">
        <v>80</v>
      </c>
      <c r="AB7" s="223">
        <v>25</v>
      </c>
      <c r="AC7" s="223">
        <v>15</v>
      </c>
      <c r="AD7" s="223">
        <v>13</v>
      </c>
      <c r="AE7" s="223">
        <v>8</v>
      </c>
      <c r="AF7" s="223">
        <v>6</v>
      </c>
      <c r="AG7" s="223">
        <v>4</v>
      </c>
      <c r="AH7" s="223">
        <v>3</v>
      </c>
      <c r="AI7" s="223">
        <v>2</v>
      </c>
      <c r="AJ7" s="223">
        <v>1</v>
      </c>
      <c r="AK7" s="223">
        <v>0</v>
      </c>
    </row>
    <row r="8" spans="1:37" ht="12.75">
      <c r="A8" s="170"/>
      <c r="B8" s="215"/>
      <c r="C8" s="171"/>
      <c r="D8" s="275"/>
      <c r="E8" s="275"/>
      <c r="F8" s="275"/>
      <c r="G8" s="275"/>
      <c r="H8" s="275"/>
      <c r="I8" s="275"/>
      <c r="J8" s="270"/>
      <c r="K8" s="276"/>
      <c r="L8" s="170"/>
      <c r="M8" s="227"/>
      <c r="N8" s="163"/>
      <c r="O8" s="163"/>
      <c r="P8" s="163"/>
      <c r="Q8" s="210" t="s">
        <v>74</v>
      </c>
      <c r="R8" s="258" t="s">
        <v>99</v>
      </c>
      <c r="S8" s="258" t="s">
        <v>102</v>
      </c>
      <c r="Y8" s="219"/>
      <c r="Z8" s="219"/>
      <c r="AA8" s="219" t="s">
        <v>81</v>
      </c>
      <c r="AB8" s="223">
        <v>15</v>
      </c>
      <c r="AC8" s="223">
        <v>10</v>
      </c>
      <c r="AD8" s="223">
        <v>7</v>
      </c>
      <c r="AE8" s="223">
        <v>5</v>
      </c>
      <c r="AF8" s="223">
        <v>4</v>
      </c>
      <c r="AG8" s="223">
        <v>3</v>
      </c>
      <c r="AH8" s="223">
        <v>2</v>
      </c>
      <c r="AI8" s="223">
        <v>1</v>
      </c>
      <c r="AJ8" s="223">
        <v>0</v>
      </c>
      <c r="AK8" s="223">
        <v>0</v>
      </c>
    </row>
    <row r="9" spans="1:37" ht="12.75">
      <c r="A9" s="170" t="s">
        <v>54</v>
      </c>
      <c r="B9" s="216">
        <v>6</v>
      </c>
      <c r="C9" s="158">
        <f>IF($B9="","",VLOOKUP($B9,'L12 elo'!$A$7:$O$22,5))</f>
        <v>0</v>
      </c>
      <c r="D9" s="271">
        <f>IF($B9="","",VLOOKUP($B9,'L12 elo'!$A$7:$O$22,15))</f>
        <v>127</v>
      </c>
      <c r="E9" s="277" t="str">
        <f>UPPER(IF($B9="","",VLOOKUP($B9,'L12 elo'!$A$7:$O$22,2)))</f>
        <v>BBTC SE</v>
      </c>
      <c r="F9" s="278"/>
      <c r="G9" s="277">
        <f>IF($B9="","",VLOOKUP($B9,'L12 elo'!$A$7:$O$22,3))</f>
        <v>0</v>
      </c>
      <c r="H9" s="278"/>
      <c r="I9" s="277">
        <f>IF($B9="","",VLOOKUP($B9,'L12 elo'!$A$7:$O$22,4))</f>
        <v>0</v>
      </c>
      <c r="J9" s="270"/>
      <c r="K9" s="274"/>
      <c r="L9" s="221">
        <f>IF(K9="","",CONCATENATE(VLOOKUP($Y$3,$AB$1:$AK$1,K9)," pont"))</f>
      </c>
      <c r="M9" s="226"/>
      <c r="N9" s="163"/>
      <c r="O9" s="163"/>
      <c r="P9" s="163"/>
      <c r="Q9" s="212" t="s">
        <v>75</v>
      </c>
      <c r="R9" s="259" t="s">
        <v>98</v>
      </c>
      <c r="S9" s="259" t="s">
        <v>103</v>
      </c>
      <c r="Y9" s="219"/>
      <c r="Z9" s="219"/>
      <c r="AA9" s="219" t="s">
        <v>82</v>
      </c>
      <c r="AB9" s="223">
        <v>10</v>
      </c>
      <c r="AC9" s="223">
        <v>6</v>
      </c>
      <c r="AD9" s="223">
        <v>4</v>
      </c>
      <c r="AE9" s="223">
        <v>2</v>
      </c>
      <c r="AF9" s="223">
        <v>1</v>
      </c>
      <c r="AG9" s="223">
        <v>0</v>
      </c>
      <c r="AH9" s="223">
        <v>0</v>
      </c>
      <c r="AI9" s="223">
        <v>0</v>
      </c>
      <c r="AJ9" s="223">
        <v>0</v>
      </c>
      <c r="AK9" s="223">
        <v>0</v>
      </c>
    </row>
    <row r="10" spans="1:37" ht="12.75">
      <c r="A10" s="170"/>
      <c r="B10" s="215"/>
      <c r="C10" s="171"/>
      <c r="D10" s="275"/>
      <c r="E10" s="275"/>
      <c r="F10" s="275"/>
      <c r="G10" s="275"/>
      <c r="H10" s="275"/>
      <c r="I10" s="275"/>
      <c r="J10" s="270"/>
      <c r="K10" s="276"/>
      <c r="L10" s="170"/>
      <c r="M10" s="227"/>
      <c r="N10" s="163"/>
      <c r="O10" s="163"/>
      <c r="P10" s="163"/>
      <c r="Q10" s="163"/>
      <c r="R10" s="163"/>
      <c r="S10" s="163"/>
      <c r="Y10" s="219"/>
      <c r="Z10" s="219"/>
      <c r="AA10" s="219" t="s">
        <v>83</v>
      </c>
      <c r="AB10" s="223">
        <v>6</v>
      </c>
      <c r="AC10" s="223">
        <v>3</v>
      </c>
      <c r="AD10" s="223">
        <v>2</v>
      </c>
      <c r="AE10" s="223">
        <v>1</v>
      </c>
      <c r="AF10" s="223">
        <v>0</v>
      </c>
      <c r="AG10" s="223">
        <v>0</v>
      </c>
      <c r="AH10" s="223">
        <v>0</v>
      </c>
      <c r="AI10" s="223">
        <v>0</v>
      </c>
      <c r="AJ10" s="223">
        <v>0</v>
      </c>
      <c r="AK10" s="223">
        <v>0</v>
      </c>
    </row>
    <row r="11" spans="1:37" ht="12.75">
      <c r="A11" s="170" t="s">
        <v>55</v>
      </c>
      <c r="B11" s="216">
        <v>5</v>
      </c>
      <c r="C11" s="158">
        <f>IF($B11="","",VLOOKUP($B11,'L12 elo'!$A$7:$O$22,5))</f>
        <v>0</v>
      </c>
      <c r="D11" s="271">
        <f>IF($B11="","",VLOOKUP($B11,'L12 elo'!$A$7:$O$22,15))</f>
        <v>77</v>
      </c>
      <c r="E11" s="277" t="str">
        <f>UPPER(IF($B11="","",VLOOKUP($B11,'L12 elo'!$A$7:$O$22,2)))</f>
        <v>MTK-BTC</v>
      </c>
      <c r="F11" s="278"/>
      <c r="G11" s="277">
        <f>IF($B11="","",VLOOKUP($B11,'L12 elo'!$A$7:$O$22,3))</f>
        <v>0</v>
      </c>
      <c r="H11" s="278"/>
      <c r="I11" s="277">
        <f>IF($B11="","",VLOOKUP($B11,'L12 elo'!$A$7:$O$22,4))</f>
        <v>0</v>
      </c>
      <c r="J11" s="270"/>
      <c r="K11" s="274"/>
      <c r="L11" s="221">
        <f>IF(K11="","",CONCATENATE(VLOOKUP($Y$3,$AB$1:$AK$1,K11)," pont"))</f>
      </c>
      <c r="M11" s="226"/>
      <c r="N11" s="163"/>
      <c r="O11" s="163"/>
      <c r="P11" s="163"/>
      <c r="Q11" s="163"/>
      <c r="R11" s="163"/>
      <c r="S11" s="163"/>
      <c r="Y11" s="219"/>
      <c r="Z11" s="219"/>
      <c r="AA11" s="219" t="s">
        <v>88</v>
      </c>
      <c r="AB11" s="223">
        <v>3</v>
      </c>
      <c r="AC11" s="223">
        <v>2</v>
      </c>
      <c r="AD11" s="223">
        <v>1</v>
      </c>
      <c r="AE11" s="223">
        <v>0</v>
      </c>
      <c r="AF11" s="223">
        <v>0</v>
      </c>
      <c r="AG11" s="223">
        <v>0</v>
      </c>
      <c r="AH11" s="223">
        <v>0</v>
      </c>
      <c r="AI11" s="223">
        <v>0</v>
      </c>
      <c r="AJ11" s="223">
        <v>0</v>
      </c>
      <c r="AK11" s="223">
        <v>0</v>
      </c>
    </row>
    <row r="12" spans="1:37" ht="12.75">
      <c r="A12" s="149"/>
      <c r="B12" s="200"/>
      <c r="C12" s="197"/>
      <c r="D12" s="270"/>
      <c r="E12" s="270"/>
      <c r="F12" s="270"/>
      <c r="G12" s="270"/>
      <c r="H12" s="270"/>
      <c r="I12" s="270"/>
      <c r="J12" s="270"/>
      <c r="K12" s="279"/>
      <c r="L12" s="197"/>
      <c r="M12" s="228"/>
      <c r="Y12" s="219"/>
      <c r="Z12" s="219"/>
      <c r="AA12" s="219" t="s">
        <v>84</v>
      </c>
      <c r="AB12" s="224">
        <v>0</v>
      </c>
      <c r="AC12" s="224">
        <v>0</v>
      </c>
      <c r="AD12" s="224">
        <v>0</v>
      </c>
      <c r="AE12" s="224">
        <v>0</v>
      </c>
      <c r="AF12" s="224">
        <v>0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</row>
    <row r="13" spans="1:37" ht="12.75">
      <c r="A13" s="253" t="s">
        <v>60</v>
      </c>
      <c r="B13" s="255">
        <v>4</v>
      </c>
      <c r="C13" s="158">
        <f>IF($B13="","",VLOOKUP($B13,'L12 elo'!$A$7:$O$22,5))</f>
        <v>0</v>
      </c>
      <c r="D13" s="271">
        <f>IF($B13="","",VLOOKUP($B13,'L12 elo'!$A$7:$O$22,15))</f>
        <v>76</v>
      </c>
      <c r="E13" s="277" t="str">
        <f>UPPER(IF($B13="","",VLOOKUP($B13,'L12 elo'!$A$7:$O$22,2)))</f>
        <v>BAJAI TK</v>
      </c>
      <c r="F13" s="278"/>
      <c r="G13" s="277">
        <f>IF($B13="","",VLOOKUP($B13,'L12 elo'!$A$7:$O$22,3))</f>
        <v>0</v>
      </c>
      <c r="H13" s="278"/>
      <c r="I13" s="277">
        <f>IF($B13="","",VLOOKUP($B13,'L12 elo'!$A$7:$O$22,4))</f>
        <v>0</v>
      </c>
      <c r="J13" s="270"/>
      <c r="K13" s="274"/>
      <c r="L13" s="221">
        <f>IF(K13="","",CONCATENATE(VLOOKUP($Y$3,$AB$1:$AK$1,K13)," pont"))</f>
      </c>
      <c r="M13" s="226"/>
      <c r="Y13" s="219"/>
      <c r="Z13" s="219"/>
      <c r="AA13" s="219" t="s">
        <v>85</v>
      </c>
      <c r="AB13" s="224">
        <v>0</v>
      </c>
      <c r="AC13" s="224">
        <v>0</v>
      </c>
      <c r="AD13" s="224">
        <v>0</v>
      </c>
      <c r="AE13" s="224">
        <v>0</v>
      </c>
      <c r="AF13" s="224">
        <v>0</v>
      </c>
      <c r="AG13" s="224">
        <v>0</v>
      </c>
      <c r="AH13" s="224">
        <v>0</v>
      </c>
      <c r="AI13" s="224">
        <v>0</v>
      </c>
      <c r="AJ13" s="224">
        <v>0</v>
      </c>
      <c r="AK13" s="224">
        <v>0</v>
      </c>
    </row>
    <row r="14" spans="1:37" ht="12.75">
      <c r="A14" s="170"/>
      <c r="B14" s="215"/>
      <c r="C14" s="171"/>
      <c r="D14" s="275"/>
      <c r="E14" s="275"/>
      <c r="F14" s="275"/>
      <c r="G14" s="275"/>
      <c r="H14" s="275"/>
      <c r="I14" s="275"/>
      <c r="J14" s="270"/>
      <c r="K14" s="276"/>
      <c r="L14" s="170"/>
      <c r="M14" s="227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</row>
    <row r="15" spans="1:37" ht="12.75">
      <c r="A15" s="200" t="s">
        <v>61</v>
      </c>
      <c r="B15" s="254">
        <v>2</v>
      </c>
      <c r="C15" s="158">
        <f>IF($B15="","",VLOOKUP($B15,'L12 elo'!$A$7:$O$22,5))</f>
        <v>0</v>
      </c>
      <c r="D15" s="280">
        <f>IF($B15="","",VLOOKUP($B15,'L12 elo'!$A$7:$O$22,15))</f>
        <v>25</v>
      </c>
      <c r="E15" s="272" t="str">
        <f>UPPER(IF($B15="","",VLOOKUP($B15,'L12 elo'!$A$7:$O$22,2)))</f>
        <v>TENISZ MŰHELY</v>
      </c>
      <c r="F15" s="273"/>
      <c r="G15" s="272">
        <f>IF($B15="","",VLOOKUP($B15,'L12 elo'!$A$7:$O$22,3))</f>
        <v>0</v>
      </c>
      <c r="H15" s="273"/>
      <c r="I15" s="272">
        <f>IF($B15="","",VLOOKUP($B15,'L12 elo'!$A$7:$O$22,4))</f>
        <v>0</v>
      </c>
      <c r="J15" s="270"/>
      <c r="K15" s="274"/>
      <c r="L15" s="221">
        <f>IF(K15="","",CONCATENATE(VLOOKUP($Y$3,$AB$1:$AK$1,K15)," pont"))</f>
      </c>
      <c r="M15" s="226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</row>
    <row r="16" spans="1:37" ht="12.75">
      <c r="A16" s="170"/>
      <c r="B16" s="215"/>
      <c r="C16" s="171"/>
      <c r="D16" s="275"/>
      <c r="E16" s="275"/>
      <c r="F16" s="275"/>
      <c r="G16" s="275"/>
      <c r="H16" s="275"/>
      <c r="I16" s="275"/>
      <c r="J16" s="270"/>
      <c r="K16" s="276"/>
      <c r="L16" s="170"/>
      <c r="M16" s="227"/>
      <c r="Y16" s="219"/>
      <c r="Z16" s="219"/>
      <c r="AA16" s="219" t="s">
        <v>53</v>
      </c>
      <c r="AB16" s="219">
        <v>300</v>
      </c>
      <c r="AC16" s="219">
        <v>250</v>
      </c>
      <c r="AD16" s="219">
        <v>220</v>
      </c>
      <c r="AE16" s="219">
        <v>180</v>
      </c>
      <c r="AF16" s="219">
        <v>160</v>
      </c>
      <c r="AG16" s="219">
        <v>150</v>
      </c>
      <c r="AH16" s="219">
        <v>140</v>
      </c>
      <c r="AI16" s="219">
        <v>130</v>
      </c>
      <c r="AJ16" s="219">
        <v>120</v>
      </c>
      <c r="AK16" s="219">
        <v>110</v>
      </c>
    </row>
    <row r="17" spans="1:37" ht="12.75">
      <c r="A17" s="170" t="s">
        <v>62</v>
      </c>
      <c r="B17" s="216">
        <v>8</v>
      </c>
      <c r="C17" s="158">
        <f>IF($B17="","",VLOOKUP($B17,'L12 elo'!$A$7:$O$22,5))</f>
        <v>0</v>
      </c>
      <c r="D17" s="271">
        <f>IF($B17="","",VLOOKUP($B17,'L12 elo'!$A$7:$O$22,15))</f>
        <v>152</v>
      </c>
      <c r="E17" s="277" t="str">
        <f>UPPER(IF($B17="","",VLOOKUP($B17,'L12 elo'!$A$7:$O$22,2)))</f>
        <v>PÉCS VTC</v>
      </c>
      <c r="F17" s="278"/>
      <c r="G17" s="277">
        <f>IF($B17="","",VLOOKUP($B17,'L12 elo'!$A$7:$O$22,3))</f>
        <v>0</v>
      </c>
      <c r="H17" s="278"/>
      <c r="I17" s="277">
        <f>IF($B17="","",VLOOKUP($B17,'L12 elo'!$A$7:$O$22,4))</f>
        <v>0</v>
      </c>
      <c r="J17" s="270"/>
      <c r="K17" s="274"/>
      <c r="L17" s="221">
        <f>IF(K17="","",CONCATENATE(VLOOKUP($Y$3,$AB$1:$AK$1,K17)," pont"))</f>
      </c>
      <c r="M17" s="226"/>
      <c r="Y17" s="219"/>
      <c r="Z17" s="219"/>
      <c r="AA17" s="219" t="s">
        <v>76</v>
      </c>
      <c r="AB17" s="219">
        <v>250</v>
      </c>
      <c r="AC17" s="219">
        <v>200</v>
      </c>
      <c r="AD17" s="219">
        <v>160</v>
      </c>
      <c r="AE17" s="219">
        <v>140</v>
      </c>
      <c r="AF17" s="219">
        <v>120</v>
      </c>
      <c r="AG17" s="219">
        <v>110</v>
      </c>
      <c r="AH17" s="219">
        <v>100</v>
      </c>
      <c r="AI17" s="219">
        <v>90</v>
      </c>
      <c r="AJ17" s="219">
        <v>80</v>
      </c>
      <c r="AK17" s="219">
        <v>70</v>
      </c>
    </row>
    <row r="18" spans="1:37" ht="12.75">
      <c r="A18" s="170"/>
      <c r="B18" s="215"/>
      <c r="C18" s="171"/>
      <c r="D18" s="275"/>
      <c r="E18" s="275"/>
      <c r="F18" s="275"/>
      <c r="G18" s="275"/>
      <c r="H18" s="275"/>
      <c r="I18" s="275"/>
      <c r="J18" s="270"/>
      <c r="K18" s="276"/>
      <c r="L18" s="170"/>
      <c r="M18" s="227"/>
      <c r="Y18" s="219"/>
      <c r="Z18" s="219"/>
      <c r="AA18" s="219" t="s">
        <v>77</v>
      </c>
      <c r="AB18" s="219">
        <v>200</v>
      </c>
      <c r="AC18" s="219">
        <v>150</v>
      </c>
      <c r="AD18" s="219">
        <v>130</v>
      </c>
      <c r="AE18" s="219">
        <v>110</v>
      </c>
      <c r="AF18" s="219">
        <v>95</v>
      </c>
      <c r="AG18" s="219">
        <v>80</v>
      </c>
      <c r="AH18" s="219">
        <v>70</v>
      </c>
      <c r="AI18" s="219">
        <v>60</v>
      </c>
      <c r="AJ18" s="219">
        <v>55</v>
      </c>
      <c r="AK18" s="219">
        <v>50</v>
      </c>
    </row>
    <row r="19" spans="1:37" ht="12.75">
      <c r="A19" s="253" t="s">
        <v>66</v>
      </c>
      <c r="B19" s="216">
        <v>7</v>
      </c>
      <c r="C19" s="158">
        <f>IF($B19="","",VLOOKUP($B19,'L12 elo'!$A$7:$O$22,5))</f>
        <v>0</v>
      </c>
      <c r="D19" s="271">
        <f>IF($B19="","",VLOOKUP($B19,'L12 elo'!$A$7:$O$22,15))</f>
        <v>149</v>
      </c>
      <c r="E19" s="277" t="str">
        <f>UPPER(IF($B19="","",VLOOKUP($B19,'L12 elo'!$A$7:$O$22,2)))</f>
        <v>PILLAN-GO</v>
      </c>
      <c r="F19" s="278"/>
      <c r="G19" s="277">
        <f>IF($B19="","",VLOOKUP($B19,'L12 elo'!$A$7:$O$22,3))</f>
        <v>0</v>
      </c>
      <c r="H19" s="278"/>
      <c r="I19" s="277">
        <f>IF($B19="","",VLOOKUP($B19,'L12 elo'!$A$7:$O$22,4))</f>
        <v>0</v>
      </c>
      <c r="J19" s="270"/>
      <c r="K19" s="274"/>
      <c r="L19" s="221">
        <f>IF(K19="","",CONCATENATE(VLOOKUP($Y$3,$AB$1:$AK$1,K19)," pont"))</f>
      </c>
      <c r="M19" s="226"/>
      <c r="Y19" s="219"/>
      <c r="Z19" s="219"/>
      <c r="AA19" s="219" t="s">
        <v>78</v>
      </c>
      <c r="AB19" s="219">
        <v>150</v>
      </c>
      <c r="AC19" s="219">
        <v>120</v>
      </c>
      <c r="AD19" s="219">
        <v>100</v>
      </c>
      <c r="AE19" s="219">
        <v>80</v>
      </c>
      <c r="AF19" s="219">
        <v>70</v>
      </c>
      <c r="AG19" s="219">
        <v>60</v>
      </c>
      <c r="AH19" s="219">
        <v>55</v>
      </c>
      <c r="AI19" s="219">
        <v>50</v>
      </c>
      <c r="AJ19" s="219">
        <v>45</v>
      </c>
      <c r="AK19" s="219">
        <v>40</v>
      </c>
    </row>
    <row r="20" spans="1:37" ht="12.75">
      <c r="A20" s="170"/>
      <c r="B20" s="215"/>
      <c r="C20" s="171"/>
      <c r="D20" s="275"/>
      <c r="E20" s="275"/>
      <c r="F20" s="275"/>
      <c r="G20" s="275"/>
      <c r="H20" s="275"/>
      <c r="I20" s="275"/>
      <c r="J20" s="270"/>
      <c r="K20" s="276"/>
      <c r="L20" s="170"/>
      <c r="M20" s="227"/>
      <c r="Y20" s="219"/>
      <c r="Z20" s="219"/>
      <c r="AA20" s="219" t="s">
        <v>77</v>
      </c>
      <c r="AB20" s="219">
        <v>200</v>
      </c>
      <c r="AC20" s="219">
        <v>150</v>
      </c>
      <c r="AD20" s="219">
        <v>130</v>
      </c>
      <c r="AE20" s="219">
        <v>110</v>
      </c>
      <c r="AF20" s="219">
        <v>95</v>
      </c>
      <c r="AG20" s="219">
        <v>80</v>
      </c>
      <c r="AH20" s="219">
        <v>70</v>
      </c>
      <c r="AI20" s="219">
        <v>60</v>
      </c>
      <c r="AJ20" s="219">
        <v>55</v>
      </c>
      <c r="AK20" s="219">
        <v>50</v>
      </c>
    </row>
    <row r="21" spans="1:37" ht="12.75">
      <c r="A21" s="253" t="s">
        <v>96</v>
      </c>
      <c r="B21" s="216">
        <v>3</v>
      </c>
      <c r="C21" s="158">
        <f>IF($B21="","",VLOOKUP($B21,'L12 elo'!$A$7:$O$22,5))</f>
        <v>0</v>
      </c>
      <c r="D21" s="271">
        <f>IF($B21="","",VLOOKUP($B21,'L12 elo'!$A$7:$O$22,15))</f>
        <v>40</v>
      </c>
      <c r="E21" s="277" t="str">
        <f>UPPER(IF($B21="","",VLOOKUP($B21,'L12 elo'!$A$7:$O$22,2)))</f>
        <v>BUSC</v>
      </c>
      <c r="F21" s="278"/>
      <c r="G21" s="277">
        <f>IF($B21="","",VLOOKUP($B21,'L12 elo'!$A$7:$O$22,3))</f>
        <v>0</v>
      </c>
      <c r="H21" s="278"/>
      <c r="I21" s="277">
        <f>IF($B21="","",VLOOKUP($B21,'L12 elo'!$A$7:$O$22,4))</f>
        <v>0</v>
      </c>
      <c r="J21" s="270"/>
      <c r="K21" s="274"/>
      <c r="L21" s="221">
        <f>IF(K21="","",CONCATENATE(VLOOKUP($Y$3,$AB$1:$AK$1,K21)," pont"))</f>
      </c>
      <c r="M21" s="226"/>
      <c r="Y21" s="219"/>
      <c r="Z21" s="219"/>
      <c r="AA21" s="219" t="s">
        <v>78</v>
      </c>
      <c r="AB21" s="219">
        <v>150</v>
      </c>
      <c r="AC21" s="219">
        <v>120</v>
      </c>
      <c r="AD21" s="219">
        <v>100</v>
      </c>
      <c r="AE21" s="219">
        <v>80</v>
      </c>
      <c r="AF21" s="219">
        <v>70</v>
      </c>
      <c r="AG21" s="219">
        <v>60</v>
      </c>
      <c r="AH21" s="219">
        <v>55</v>
      </c>
      <c r="AI21" s="219">
        <v>50</v>
      </c>
      <c r="AJ21" s="219">
        <v>45</v>
      </c>
      <c r="AK21" s="219">
        <v>40</v>
      </c>
    </row>
    <row r="22" spans="1:37" ht="12.75">
      <c r="A22" s="149"/>
      <c r="B22" s="149"/>
      <c r="C22" s="149"/>
      <c r="D22" s="270"/>
      <c r="E22" s="270"/>
      <c r="F22" s="270"/>
      <c r="G22" s="270"/>
      <c r="H22" s="270"/>
      <c r="I22" s="270"/>
      <c r="J22" s="270"/>
      <c r="K22" s="270"/>
      <c r="L22" s="149"/>
      <c r="M22" s="149"/>
      <c r="Y22" s="219"/>
      <c r="Z22" s="219"/>
      <c r="AA22" s="219" t="s">
        <v>79</v>
      </c>
      <c r="AB22" s="219">
        <v>120</v>
      </c>
      <c r="AC22" s="219">
        <v>90</v>
      </c>
      <c r="AD22" s="219">
        <v>65</v>
      </c>
      <c r="AE22" s="219">
        <v>55</v>
      </c>
      <c r="AF22" s="219">
        <v>50</v>
      </c>
      <c r="AG22" s="219">
        <v>45</v>
      </c>
      <c r="AH22" s="219">
        <v>40</v>
      </c>
      <c r="AI22" s="219">
        <v>35</v>
      </c>
      <c r="AJ22" s="219">
        <v>25</v>
      </c>
      <c r="AK22" s="219">
        <v>20</v>
      </c>
    </row>
    <row r="23" spans="1:37" ht="12.75">
      <c r="A23" s="149"/>
      <c r="B23" s="149"/>
      <c r="C23" s="149"/>
      <c r="D23" s="270"/>
      <c r="E23" s="270"/>
      <c r="F23" s="270"/>
      <c r="G23" s="270"/>
      <c r="H23" s="270"/>
      <c r="I23" s="270"/>
      <c r="J23" s="270"/>
      <c r="K23" s="270"/>
      <c r="L23" s="149"/>
      <c r="M23" s="149"/>
      <c r="Y23" s="219"/>
      <c r="Z23" s="219"/>
      <c r="AA23" s="219" t="s">
        <v>80</v>
      </c>
      <c r="AB23" s="219">
        <v>90</v>
      </c>
      <c r="AC23" s="219">
        <v>60</v>
      </c>
      <c r="AD23" s="219">
        <v>45</v>
      </c>
      <c r="AE23" s="219">
        <v>34</v>
      </c>
      <c r="AF23" s="219">
        <v>27</v>
      </c>
      <c r="AG23" s="219">
        <v>22</v>
      </c>
      <c r="AH23" s="219">
        <v>18</v>
      </c>
      <c r="AI23" s="219">
        <v>15</v>
      </c>
      <c r="AJ23" s="219">
        <v>12</v>
      </c>
      <c r="AK23" s="219">
        <v>9</v>
      </c>
    </row>
    <row r="24" spans="1:37" ht="18.75" customHeight="1">
      <c r="A24" s="149"/>
      <c r="B24" s="290"/>
      <c r="C24" s="290"/>
      <c r="D24" s="291" t="str">
        <f>E7</f>
        <v>SVSE-GYSEV</v>
      </c>
      <c r="E24" s="291"/>
      <c r="F24" s="291" t="str">
        <f>E9</f>
        <v>BBTC SE</v>
      </c>
      <c r="G24" s="291"/>
      <c r="H24" s="291" t="str">
        <f>E11</f>
        <v>MTK-BTC</v>
      </c>
      <c r="I24" s="291"/>
      <c r="J24" s="291" t="str">
        <f>E13</f>
        <v>BAJAI TK</v>
      </c>
      <c r="K24" s="291"/>
      <c r="L24" s="149"/>
      <c r="M24" s="201" t="s">
        <v>57</v>
      </c>
      <c r="Y24" s="219"/>
      <c r="Z24" s="219"/>
      <c r="AA24" s="219" t="s">
        <v>81</v>
      </c>
      <c r="AB24" s="219">
        <v>60</v>
      </c>
      <c r="AC24" s="219">
        <v>40</v>
      </c>
      <c r="AD24" s="219">
        <v>30</v>
      </c>
      <c r="AE24" s="219">
        <v>20</v>
      </c>
      <c r="AF24" s="219">
        <v>18</v>
      </c>
      <c r="AG24" s="219">
        <v>15</v>
      </c>
      <c r="AH24" s="219">
        <v>12</v>
      </c>
      <c r="AI24" s="219">
        <v>10</v>
      </c>
      <c r="AJ24" s="219">
        <v>8</v>
      </c>
      <c r="AK24" s="219">
        <v>6</v>
      </c>
    </row>
    <row r="25" spans="1:37" ht="18.75" customHeight="1">
      <c r="A25" s="199" t="s">
        <v>53</v>
      </c>
      <c r="B25" s="292" t="str">
        <f>E7</f>
        <v>SVSE-GYSEV</v>
      </c>
      <c r="C25" s="292"/>
      <c r="D25" s="293"/>
      <c r="E25" s="293"/>
      <c r="F25" s="294" t="s">
        <v>132</v>
      </c>
      <c r="G25" s="295"/>
      <c r="H25" s="294" t="s">
        <v>132</v>
      </c>
      <c r="I25" s="295"/>
      <c r="J25" s="300" t="s">
        <v>136</v>
      </c>
      <c r="K25" s="291"/>
      <c r="L25" s="149"/>
      <c r="M25" s="203">
        <v>1</v>
      </c>
      <c r="Y25" s="219"/>
      <c r="Z25" s="219"/>
      <c r="AA25" s="219" t="s">
        <v>82</v>
      </c>
      <c r="AB25" s="219">
        <v>40</v>
      </c>
      <c r="AC25" s="219">
        <v>25</v>
      </c>
      <c r="AD25" s="219">
        <v>18</v>
      </c>
      <c r="AE25" s="219">
        <v>13</v>
      </c>
      <c r="AF25" s="219">
        <v>8</v>
      </c>
      <c r="AG25" s="219">
        <v>7</v>
      </c>
      <c r="AH25" s="219">
        <v>6</v>
      </c>
      <c r="AI25" s="219">
        <v>5</v>
      </c>
      <c r="AJ25" s="219">
        <v>4</v>
      </c>
      <c r="AK25" s="219">
        <v>3</v>
      </c>
    </row>
    <row r="26" spans="1:37" ht="18.75" customHeight="1">
      <c r="A26" s="199" t="s">
        <v>54</v>
      </c>
      <c r="B26" s="292" t="str">
        <f>E9</f>
        <v>BBTC SE</v>
      </c>
      <c r="C26" s="292"/>
      <c r="D26" s="294" t="s">
        <v>135</v>
      </c>
      <c r="E26" s="295"/>
      <c r="F26" s="293"/>
      <c r="G26" s="293"/>
      <c r="H26" s="294" t="s">
        <v>134</v>
      </c>
      <c r="I26" s="295"/>
      <c r="J26" s="294" t="s">
        <v>158</v>
      </c>
      <c r="K26" s="295"/>
      <c r="L26" s="149"/>
      <c r="M26" s="203">
        <v>4</v>
      </c>
      <c r="Y26" s="219"/>
      <c r="Z26" s="219"/>
      <c r="AA26" s="219" t="s">
        <v>83</v>
      </c>
      <c r="AB26" s="219">
        <v>25</v>
      </c>
      <c r="AC26" s="219">
        <v>15</v>
      </c>
      <c r="AD26" s="219">
        <v>13</v>
      </c>
      <c r="AE26" s="219">
        <v>7</v>
      </c>
      <c r="AF26" s="219">
        <v>6</v>
      </c>
      <c r="AG26" s="219">
        <v>5</v>
      </c>
      <c r="AH26" s="219">
        <v>4</v>
      </c>
      <c r="AI26" s="219">
        <v>3</v>
      </c>
      <c r="AJ26" s="219">
        <v>2</v>
      </c>
      <c r="AK26" s="219">
        <v>1</v>
      </c>
    </row>
    <row r="27" spans="1:37" ht="18.75" customHeight="1">
      <c r="A27" s="199" t="s">
        <v>55</v>
      </c>
      <c r="B27" s="292" t="str">
        <f>E11</f>
        <v>MTK-BTC</v>
      </c>
      <c r="C27" s="292"/>
      <c r="D27" s="294" t="s">
        <v>135</v>
      </c>
      <c r="E27" s="295"/>
      <c r="F27" s="294" t="s">
        <v>136</v>
      </c>
      <c r="G27" s="295"/>
      <c r="H27" s="293"/>
      <c r="I27" s="293"/>
      <c r="J27" s="294" t="s">
        <v>145</v>
      </c>
      <c r="K27" s="295"/>
      <c r="L27" s="149"/>
      <c r="M27" s="203">
        <v>2</v>
      </c>
      <c r="Y27" s="219"/>
      <c r="Z27" s="219"/>
      <c r="AA27" s="219" t="s">
        <v>88</v>
      </c>
      <c r="AB27" s="219">
        <v>15</v>
      </c>
      <c r="AC27" s="219">
        <v>10</v>
      </c>
      <c r="AD27" s="219">
        <v>8</v>
      </c>
      <c r="AE27" s="219">
        <v>4</v>
      </c>
      <c r="AF27" s="219">
        <v>3</v>
      </c>
      <c r="AG27" s="219">
        <v>2</v>
      </c>
      <c r="AH27" s="219">
        <v>1</v>
      </c>
      <c r="AI27" s="219">
        <v>0</v>
      </c>
      <c r="AJ27" s="219">
        <v>0</v>
      </c>
      <c r="AK27" s="219">
        <v>0</v>
      </c>
    </row>
    <row r="28" spans="1:37" ht="18.75" customHeight="1">
      <c r="A28" s="252" t="s">
        <v>60</v>
      </c>
      <c r="B28" s="292" t="str">
        <f>E13</f>
        <v>BAJAI TK</v>
      </c>
      <c r="C28" s="292"/>
      <c r="D28" s="294" t="s">
        <v>134</v>
      </c>
      <c r="E28" s="295"/>
      <c r="F28" s="294" t="s">
        <v>157</v>
      </c>
      <c r="G28" s="295"/>
      <c r="H28" s="300" t="s">
        <v>146</v>
      </c>
      <c r="I28" s="291"/>
      <c r="J28" s="293"/>
      <c r="K28" s="293"/>
      <c r="L28" s="149"/>
      <c r="M28" s="203">
        <v>3</v>
      </c>
      <c r="Y28" s="219"/>
      <c r="Z28" s="219"/>
      <c r="AA28" s="219" t="s">
        <v>88</v>
      </c>
      <c r="AB28" s="219">
        <v>15</v>
      </c>
      <c r="AC28" s="219">
        <v>10</v>
      </c>
      <c r="AD28" s="219">
        <v>8</v>
      </c>
      <c r="AE28" s="219">
        <v>4</v>
      </c>
      <c r="AF28" s="219">
        <v>3</v>
      </c>
      <c r="AG28" s="219">
        <v>2</v>
      </c>
      <c r="AH28" s="219">
        <v>1</v>
      </c>
      <c r="AI28" s="219">
        <v>0</v>
      </c>
      <c r="AJ28" s="219">
        <v>0</v>
      </c>
      <c r="AK28" s="219">
        <v>0</v>
      </c>
    </row>
    <row r="29" spans="1:37" ht="12.75">
      <c r="A29" s="149"/>
      <c r="B29" s="149"/>
      <c r="C29" s="149"/>
      <c r="D29" s="270"/>
      <c r="E29" s="270"/>
      <c r="F29" s="270"/>
      <c r="G29" s="270"/>
      <c r="H29" s="270"/>
      <c r="I29" s="270"/>
      <c r="J29" s="270"/>
      <c r="K29" s="270"/>
      <c r="L29" s="149"/>
      <c r="M29" s="204"/>
      <c r="Y29" s="219"/>
      <c r="Z29" s="219"/>
      <c r="AA29" s="219" t="s">
        <v>84</v>
      </c>
      <c r="AB29" s="219">
        <v>10</v>
      </c>
      <c r="AC29" s="219">
        <v>6</v>
      </c>
      <c r="AD29" s="219">
        <v>4</v>
      </c>
      <c r="AE29" s="219">
        <v>2</v>
      </c>
      <c r="AF29" s="219">
        <v>1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</row>
    <row r="30" spans="1:37" ht="18.75" customHeight="1">
      <c r="A30" s="149"/>
      <c r="B30" s="290"/>
      <c r="C30" s="290"/>
      <c r="D30" s="291" t="str">
        <f>E15</f>
        <v>TENISZ MŰHELY</v>
      </c>
      <c r="E30" s="291"/>
      <c r="F30" s="291" t="str">
        <f>E17</f>
        <v>PÉCS VTC</v>
      </c>
      <c r="G30" s="291"/>
      <c r="H30" s="296" t="str">
        <f>E19</f>
        <v>PILLAN-GO</v>
      </c>
      <c r="I30" s="297"/>
      <c r="J30" s="291" t="str">
        <f>E21</f>
        <v>BUSC</v>
      </c>
      <c r="K30" s="291"/>
      <c r="L30" s="149"/>
      <c r="M30" s="204"/>
      <c r="Y30" s="219"/>
      <c r="Z30" s="219"/>
      <c r="AA30" s="219" t="s">
        <v>85</v>
      </c>
      <c r="AB30" s="219">
        <v>3</v>
      </c>
      <c r="AC30" s="219">
        <v>2</v>
      </c>
      <c r="AD30" s="219">
        <v>1</v>
      </c>
      <c r="AE30" s="219">
        <v>0</v>
      </c>
      <c r="AF30" s="219">
        <v>0</v>
      </c>
      <c r="AG30" s="219">
        <v>0</v>
      </c>
      <c r="AH30" s="219">
        <v>0</v>
      </c>
      <c r="AI30" s="219">
        <v>0</v>
      </c>
      <c r="AJ30" s="219">
        <v>0</v>
      </c>
      <c r="AK30" s="219">
        <v>0</v>
      </c>
    </row>
    <row r="31" spans="1:13" ht="18.75" customHeight="1">
      <c r="A31" s="252" t="s">
        <v>61</v>
      </c>
      <c r="B31" s="298" t="str">
        <f>E15</f>
        <v>TENISZ MŰHELY</v>
      </c>
      <c r="C31" s="299"/>
      <c r="D31" s="293"/>
      <c r="E31" s="293"/>
      <c r="F31" s="294" t="s">
        <v>132</v>
      </c>
      <c r="G31" s="295"/>
      <c r="H31" s="294" t="s">
        <v>145</v>
      </c>
      <c r="I31" s="295"/>
      <c r="J31" s="300" t="s">
        <v>136</v>
      </c>
      <c r="K31" s="291"/>
      <c r="L31" s="149"/>
      <c r="M31" s="203">
        <v>1</v>
      </c>
    </row>
    <row r="32" spans="1:13" ht="18.75" customHeight="1">
      <c r="A32" s="252" t="s">
        <v>62</v>
      </c>
      <c r="B32" s="292" t="str">
        <f>E17</f>
        <v>PÉCS VTC</v>
      </c>
      <c r="C32" s="292"/>
      <c r="D32" s="294" t="s">
        <v>135</v>
      </c>
      <c r="E32" s="295"/>
      <c r="F32" s="293"/>
      <c r="G32" s="293"/>
      <c r="H32" s="294" t="s">
        <v>137</v>
      </c>
      <c r="I32" s="295"/>
      <c r="J32" s="294" t="s">
        <v>135</v>
      </c>
      <c r="K32" s="295"/>
      <c r="L32" s="149"/>
      <c r="M32" s="203">
        <v>4</v>
      </c>
    </row>
    <row r="33" spans="1:13" ht="18.75" customHeight="1">
      <c r="A33" s="252" t="s">
        <v>66</v>
      </c>
      <c r="B33" s="292" t="str">
        <f>E19</f>
        <v>PILLAN-GO</v>
      </c>
      <c r="C33" s="292"/>
      <c r="D33" s="294" t="s">
        <v>146</v>
      </c>
      <c r="E33" s="295"/>
      <c r="F33" s="294" t="s">
        <v>133</v>
      </c>
      <c r="G33" s="295"/>
      <c r="H33" s="293"/>
      <c r="I33" s="293"/>
      <c r="J33" s="294" t="s">
        <v>134</v>
      </c>
      <c r="K33" s="295"/>
      <c r="L33" s="149"/>
      <c r="M33" s="203">
        <v>3</v>
      </c>
    </row>
    <row r="34" spans="1:13" ht="18.75" customHeight="1">
      <c r="A34" s="252" t="s">
        <v>96</v>
      </c>
      <c r="B34" s="292" t="str">
        <f>E21</f>
        <v>BUSC</v>
      </c>
      <c r="C34" s="292"/>
      <c r="D34" s="294" t="s">
        <v>134</v>
      </c>
      <c r="E34" s="295"/>
      <c r="F34" s="294" t="s">
        <v>132</v>
      </c>
      <c r="G34" s="295"/>
      <c r="H34" s="300" t="s">
        <v>136</v>
      </c>
      <c r="I34" s="291"/>
      <c r="J34" s="293"/>
      <c r="K34" s="293"/>
      <c r="L34" s="149"/>
      <c r="M34" s="203">
        <v>2</v>
      </c>
    </row>
    <row r="35" spans="1:13" ht="18.75" customHeight="1">
      <c r="A35" s="205"/>
      <c r="B35" s="206"/>
      <c r="C35" s="206"/>
      <c r="D35" s="281"/>
      <c r="E35" s="281"/>
      <c r="F35" s="281"/>
      <c r="G35" s="281"/>
      <c r="H35" s="281"/>
      <c r="I35" s="281"/>
      <c r="J35" s="270"/>
      <c r="K35" s="270"/>
      <c r="L35" s="149"/>
      <c r="M35" s="207"/>
    </row>
    <row r="36" spans="1:13" ht="13.5" thickBot="1">
      <c r="A36" s="149"/>
      <c r="B36" s="149"/>
      <c r="C36" s="149"/>
      <c r="D36" s="270"/>
      <c r="E36" s="270"/>
      <c r="F36" s="270"/>
      <c r="G36" s="270"/>
      <c r="H36" s="270"/>
      <c r="I36" s="270"/>
      <c r="J36" s="270"/>
      <c r="K36" s="270"/>
      <c r="L36" s="149"/>
      <c r="M36" s="149"/>
    </row>
    <row r="37" spans="1:13" ht="13.5" thickBot="1">
      <c r="A37" s="149" t="s">
        <v>49</v>
      </c>
      <c r="B37" s="149"/>
      <c r="C37" s="309" t="str">
        <f>IF(M25=1,B25,IF(M26=1,B26,IF(M27=1,B27,IF(M28=1,B28,""))))</f>
        <v>SVSE-GYSEV</v>
      </c>
      <c r="D37" s="310"/>
      <c r="E37" s="276" t="s">
        <v>64</v>
      </c>
      <c r="F37" s="303" t="str">
        <f>IF(M31=1,B31,IF(M32=1,B32,IF(M33=1,B33,IF(M34=1,B34,""))))</f>
        <v>TENISZ MŰHELY</v>
      </c>
      <c r="G37" s="303"/>
      <c r="H37" s="270"/>
      <c r="I37" s="286" t="s">
        <v>136</v>
      </c>
      <c r="J37" s="270"/>
      <c r="K37" s="270"/>
      <c r="L37" s="149"/>
      <c r="M37" s="149"/>
    </row>
    <row r="38" spans="1:13" ht="13.5" thickBot="1">
      <c r="A38" s="149"/>
      <c r="B38" s="149"/>
      <c r="C38" s="149"/>
      <c r="D38" s="270"/>
      <c r="E38" s="270"/>
      <c r="F38" s="276"/>
      <c r="G38" s="276"/>
      <c r="H38" s="270"/>
      <c r="I38" s="270"/>
      <c r="J38" s="270"/>
      <c r="K38" s="270"/>
      <c r="L38" s="149"/>
      <c r="M38" s="149"/>
    </row>
    <row r="39" spans="1:13" ht="13.5" thickBot="1">
      <c r="A39" s="149" t="s">
        <v>63</v>
      </c>
      <c r="B39" s="149"/>
      <c r="C39" s="306" t="str">
        <f>IF(M25=2,B25,IF(M26=2,B26,IF(M27=2,B27,IF(M28=2,B28,""))))</f>
        <v>MTK-BTC</v>
      </c>
      <c r="D39" s="306"/>
      <c r="E39" s="276" t="s">
        <v>64</v>
      </c>
      <c r="F39" s="307" t="str">
        <f>IF(M31=2,B31,IF(M32=2,B32,IF(M33=2,B33,IF(M34=2,B34,""))))</f>
        <v>BUSC</v>
      </c>
      <c r="G39" s="308"/>
      <c r="H39" s="270"/>
      <c r="I39" s="286" t="s">
        <v>132</v>
      </c>
      <c r="J39" s="270"/>
      <c r="K39" s="270"/>
      <c r="L39" s="149"/>
      <c r="M39" s="149"/>
    </row>
    <row r="40" spans="1:13" ht="13.5" thickBot="1">
      <c r="A40" s="149"/>
      <c r="B40" s="149"/>
      <c r="C40" s="202"/>
      <c r="D40" s="283"/>
      <c r="E40" s="276"/>
      <c r="F40" s="283"/>
      <c r="G40" s="283"/>
      <c r="H40" s="270"/>
      <c r="I40" s="270"/>
      <c r="J40" s="270"/>
      <c r="K40" s="270"/>
      <c r="L40" s="149"/>
      <c r="M40" s="149"/>
    </row>
    <row r="41" spans="1:13" ht="13.5" thickBot="1">
      <c r="A41" s="149" t="s">
        <v>65</v>
      </c>
      <c r="B41" s="149"/>
      <c r="C41" s="309" t="str">
        <f>IF(M25=3,B25,IF(M26=3,B26,IF(M27=3,B27,IF(M28=3,B28,""))))</f>
        <v>BAJAI TK</v>
      </c>
      <c r="D41" s="310"/>
      <c r="E41" s="276" t="s">
        <v>64</v>
      </c>
      <c r="F41" s="303" t="str">
        <f>IF(M31=3,B31,IF(M32=3,B32,IF(M33=3,B33,IF(M34=3,B34,""))))</f>
        <v>PILLAN-GO</v>
      </c>
      <c r="G41" s="303"/>
      <c r="H41" s="270"/>
      <c r="I41" s="286" t="s">
        <v>145</v>
      </c>
      <c r="J41" s="270"/>
      <c r="K41" s="270"/>
      <c r="L41" s="149"/>
      <c r="M41" s="149"/>
    </row>
    <row r="42" spans="1:13" ht="13.5" thickBot="1">
      <c r="A42" s="149"/>
      <c r="B42" s="149"/>
      <c r="C42" s="149"/>
      <c r="D42" s="270"/>
      <c r="E42" s="270"/>
      <c r="F42" s="270"/>
      <c r="G42" s="270"/>
      <c r="H42" s="270"/>
      <c r="I42" s="270"/>
      <c r="J42" s="270"/>
      <c r="K42" s="270"/>
      <c r="L42" s="149"/>
      <c r="M42" s="149"/>
    </row>
    <row r="43" spans="1:19" ht="13.5" thickBot="1">
      <c r="A43" s="171" t="s">
        <v>97</v>
      </c>
      <c r="B43" s="149"/>
      <c r="C43" s="309" t="str">
        <f>IF(M25=4,B25,IF(M26=4,B26,IF(M27=4,B27,IF(M28=4,B28,))))</f>
        <v>BBTC SE</v>
      </c>
      <c r="D43" s="310"/>
      <c r="E43" s="276" t="s">
        <v>64</v>
      </c>
      <c r="F43" s="311" t="s">
        <v>159</v>
      </c>
      <c r="G43" s="303"/>
      <c r="H43" s="270"/>
      <c r="I43" s="286" t="s">
        <v>145</v>
      </c>
      <c r="J43" s="270"/>
      <c r="K43" s="270"/>
      <c r="L43" s="149"/>
      <c r="M43" s="149"/>
      <c r="O43" s="163"/>
      <c r="P43" s="163"/>
      <c r="Q43" s="163"/>
      <c r="R43" s="163"/>
      <c r="S43" s="163"/>
    </row>
    <row r="44" spans="1:19" ht="12.75">
      <c r="A44" s="149"/>
      <c r="B44" s="149"/>
      <c r="C44" s="149"/>
      <c r="D44" s="270"/>
      <c r="E44" s="270"/>
      <c r="F44" s="270"/>
      <c r="G44" s="270"/>
      <c r="H44" s="270"/>
      <c r="I44" s="270"/>
      <c r="J44" s="270"/>
      <c r="K44" s="270"/>
      <c r="L44" s="148"/>
      <c r="M44" s="149"/>
      <c r="O44" s="163"/>
      <c r="P44" s="172"/>
      <c r="Q44" s="172"/>
      <c r="R44" s="173"/>
      <c r="S44" s="163"/>
    </row>
    <row r="45" spans="1:19" ht="12.75">
      <c r="A45" s="70" t="s">
        <v>35</v>
      </c>
      <c r="B45" s="71"/>
      <c r="C45" s="122"/>
      <c r="D45" s="178" t="s">
        <v>2</v>
      </c>
      <c r="E45" s="179" t="s">
        <v>37</v>
      </c>
      <c r="F45" s="284"/>
      <c r="G45" s="178" t="s">
        <v>2</v>
      </c>
      <c r="H45" s="179" t="s">
        <v>46</v>
      </c>
      <c r="I45" s="78"/>
      <c r="J45" s="179" t="s">
        <v>47</v>
      </c>
      <c r="K45" s="77" t="s">
        <v>48</v>
      </c>
      <c r="L45" s="30"/>
      <c r="M45" s="195"/>
      <c r="O45" s="163"/>
      <c r="P45" s="174"/>
      <c r="Q45" s="174"/>
      <c r="R45" s="175"/>
      <c r="S45" s="163"/>
    </row>
    <row r="46" spans="1:19" ht="12.75">
      <c r="A46" s="152" t="s">
        <v>36</v>
      </c>
      <c r="B46" s="153"/>
      <c r="C46" s="154"/>
      <c r="D46" s="180">
        <v>1</v>
      </c>
      <c r="E46" s="304" t="str">
        <f>IF(D46&gt;$R$47,,UPPER(VLOOKUP(D46,'L12 elo'!$A$7:$Q$134,2)))</f>
        <v>SVSE-GYSEV</v>
      </c>
      <c r="F46" s="304"/>
      <c r="G46" s="190" t="s">
        <v>3</v>
      </c>
      <c r="H46" s="153"/>
      <c r="I46" s="181"/>
      <c r="J46" s="191"/>
      <c r="K46" s="150" t="s">
        <v>38</v>
      </c>
      <c r="L46" s="196"/>
      <c r="M46" s="182"/>
      <c r="O46" s="163"/>
      <c r="P46" s="175"/>
      <c r="Q46" s="176"/>
      <c r="R46" s="175"/>
      <c r="S46" s="163"/>
    </row>
    <row r="47" spans="1:19" ht="12.75">
      <c r="A47" s="155" t="s">
        <v>45</v>
      </c>
      <c r="B47" s="76"/>
      <c r="C47" s="156"/>
      <c r="D47" s="183">
        <v>2</v>
      </c>
      <c r="E47" s="305" t="str">
        <f>IF(D47&gt;$R$47,,UPPER(VLOOKUP(D47,'L12 elo'!$A$7:$Q$134,2)))</f>
        <v>TENISZ MŰHELY</v>
      </c>
      <c r="F47" s="305"/>
      <c r="G47" s="192" t="s">
        <v>4</v>
      </c>
      <c r="H47" s="184"/>
      <c r="I47" s="185"/>
      <c r="J47" s="42"/>
      <c r="K47" s="155"/>
      <c r="L47" s="148"/>
      <c r="M47" s="189"/>
      <c r="O47" s="163"/>
      <c r="P47" s="174"/>
      <c r="Q47" s="174"/>
      <c r="R47" s="177">
        <f>MIN(4,'L12 elo'!Q2)</f>
        <v>4</v>
      </c>
      <c r="S47" s="163"/>
    </row>
    <row r="48" spans="1:19" ht="12.75">
      <c r="A48" s="89"/>
      <c r="B48" s="90"/>
      <c r="C48" s="91"/>
      <c r="D48" s="183"/>
      <c r="E48" s="184"/>
      <c r="F48" s="285"/>
      <c r="G48" s="192" t="s">
        <v>5</v>
      </c>
      <c r="H48" s="184"/>
      <c r="I48" s="185"/>
      <c r="J48" s="42"/>
      <c r="K48" s="150" t="s">
        <v>39</v>
      </c>
      <c r="L48" s="196"/>
      <c r="M48" s="182"/>
      <c r="O48" s="163"/>
      <c r="P48" s="175"/>
      <c r="Q48" s="176"/>
      <c r="R48" s="175"/>
      <c r="S48" s="163"/>
    </row>
    <row r="49" spans="1:19" ht="12.75">
      <c r="A49" s="72"/>
      <c r="B49" s="120"/>
      <c r="C49" s="73"/>
      <c r="D49" s="183"/>
      <c r="E49" s="184"/>
      <c r="F49" s="285"/>
      <c r="G49" s="192" t="s">
        <v>6</v>
      </c>
      <c r="H49" s="184"/>
      <c r="I49" s="185"/>
      <c r="J49" s="42"/>
      <c r="K49" s="194"/>
      <c r="L49" s="187"/>
      <c r="M49" s="186"/>
      <c r="O49" s="163"/>
      <c r="P49" s="175"/>
      <c r="Q49" s="176"/>
      <c r="R49" s="175"/>
      <c r="S49" s="163"/>
    </row>
    <row r="50" spans="1:19" ht="12.75">
      <c r="A50" s="80"/>
      <c r="B50" s="92"/>
      <c r="C50" s="121"/>
      <c r="D50" s="183"/>
      <c r="E50" s="184"/>
      <c r="F50" s="285"/>
      <c r="G50" s="192" t="s">
        <v>7</v>
      </c>
      <c r="H50" s="184"/>
      <c r="I50" s="185"/>
      <c r="J50" s="42"/>
      <c r="K50" s="155"/>
      <c r="L50" s="148"/>
      <c r="M50" s="189"/>
      <c r="O50" s="163"/>
      <c r="P50" s="174"/>
      <c r="Q50" s="174"/>
      <c r="R50" s="175"/>
      <c r="S50" s="163"/>
    </row>
    <row r="51" spans="1:19" ht="12.75">
      <c r="A51" s="81"/>
      <c r="B51" s="95"/>
      <c r="C51" s="73"/>
      <c r="D51" s="183"/>
      <c r="E51" s="184"/>
      <c r="F51" s="285"/>
      <c r="G51" s="192" t="s">
        <v>8</v>
      </c>
      <c r="H51" s="184"/>
      <c r="I51" s="185"/>
      <c r="J51" s="42"/>
      <c r="K51" s="150" t="s">
        <v>28</v>
      </c>
      <c r="L51" s="196"/>
      <c r="M51" s="182"/>
      <c r="O51" s="163"/>
      <c r="P51" s="175"/>
      <c r="Q51" s="176"/>
      <c r="R51" s="175"/>
      <c r="S51" s="163"/>
    </row>
    <row r="52" spans="1:19" ht="12.75">
      <c r="A52" s="81"/>
      <c r="B52" s="95"/>
      <c r="C52" s="87"/>
      <c r="D52" s="183"/>
      <c r="E52" s="184"/>
      <c r="F52" s="285"/>
      <c r="G52" s="192" t="s">
        <v>9</v>
      </c>
      <c r="H52" s="184"/>
      <c r="I52" s="185"/>
      <c r="J52" s="42"/>
      <c r="K52" s="194"/>
      <c r="L52" s="187"/>
      <c r="M52" s="186"/>
      <c r="O52" s="163"/>
      <c r="P52" s="175"/>
      <c r="Q52" s="176"/>
      <c r="R52" s="177"/>
      <c r="S52" s="163"/>
    </row>
    <row r="53" spans="1:19" ht="12.75">
      <c r="A53" s="82"/>
      <c r="B53" s="79"/>
      <c r="C53" s="88"/>
      <c r="D53" s="188"/>
      <c r="E53" s="76"/>
      <c r="F53" s="282"/>
      <c r="G53" s="193" t="s">
        <v>10</v>
      </c>
      <c r="H53" s="76"/>
      <c r="I53" s="151"/>
      <c r="J53" s="74"/>
      <c r="K53" s="155" t="str">
        <f>L4</f>
        <v>Droppa Erika</v>
      </c>
      <c r="L53" s="148"/>
      <c r="M53" s="189"/>
      <c r="O53" s="163"/>
      <c r="P53" s="163"/>
      <c r="Q53" s="163"/>
      <c r="R53" s="163"/>
      <c r="S53" s="163"/>
    </row>
    <row r="54" spans="15:19" ht="12.75">
      <c r="O54" s="163"/>
      <c r="P54" s="163"/>
      <c r="Q54" s="163"/>
      <c r="R54" s="163"/>
      <c r="S54" s="163"/>
    </row>
  </sheetData>
  <sheetProtection/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1" stopIfTrue="1">
      <formula>$O$1="CU"</formula>
    </cfRule>
  </conditionalFormatting>
  <conditionalFormatting sqref="E7 E9 E11 E13 E15 E17 E19:E21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Windows-felhasználó</cp:lastModifiedBy>
  <cp:lastPrinted>2022-08-28T14:41:49Z</cp:lastPrinted>
  <dcterms:created xsi:type="dcterms:W3CDTF">1998-01-18T23:10:02Z</dcterms:created>
  <dcterms:modified xsi:type="dcterms:W3CDTF">2022-08-31T16:28:19Z</dcterms:modified>
  <cp:category>Forms</cp:category>
  <cp:version/>
  <cp:contentType/>
  <cp:contentStatus/>
</cp:coreProperties>
</file>