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5440" tabRatio="884" activeTab="9"/>
  </bookViews>
  <sheets>
    <sheet name="Altalanos" sheetId="1" r:id="rId1"/>
    <sheet name="Birók" sheetId="2" r:id="rId2"/>
    <sheet name="F8 ELO" sheetId="3" r:id="rId3"/>
    <sheet name="F8 A-B csoport" sheetId="4" r:id="rId4"/>
    <sheet name="L8 ELO" sheetId="5" r:id="rId5"/>
    <sheet name="L8 A-B csoport" sheetId="6" r:id="rId6"/>
    <sheet name="F10 ELO" sheetId="7" r:id="rId7"/>
    <sheet name="F10 A-B csoport" sheetId="8" r:id="rId8"/>
    <sheet name="L10 ELO" sheetId="9" r:id="rId9"/>
    <sheet name="L10 A csoport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6">'F10 ELO'!$1:$6</definedName>
    <definedName name="_xlnm.Print_Titles" localSheetId="2">'F8 ELO'!$1:$6</definedName>
    <definedName name="_xlnm.Print_Titles" localSheetId="8">'L10 ELO'!$1:$6</definedName>
    <definedName name="_xlnm.Print_Titles" localSheetId="4">'L8 ELO'!$1:$6</definedName>
    <definedName name="_xlnm.Print_Area" localSheetId="1">'Birók'!$A$1:$N$29</definedName>
    <definedName name="_xlnm.Print_Area" localSheetId="7">'F10 A-B csoport'!$A$1:$M$52</definedName>
    <definedName name="_xlnm.Print_Area" localSheetId="6">'F10 ELO'!$A$1:$Q$134</definedName>
    <definedName name="_xlnm.Print_Area" localSheetId="3">'F8 A-B csoport'!$A$1:$M$49</definedName>
    <definedName name="_xlnm.Print_Area" localSheetId="2">'F8 ELO'!$A$1:$Q$134</definedName>
    <definedName name="_xlnm.Print_Area" localSheetId="9">'L10 A csoport'!$A$1:$M$41</definedName>
    <definedName name="_xlnm.Print_Area" localSheetId="8">'L10 ELO'!$A$1:$Q$134</definedName>
    <definedName name="_xlnm.Print_Area" localSheetId="5">'L8 A-B csoport'!$A$1:$M$47</definedName>
    <definedName name="_xlnm.Print_Area" localSheetId="4">'L8 ELO'!$A$1:$Q$134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<sst xmlns="http://schemas.openxmlformats.org/spreadsheetml/2006/main" count="589" uniqueCount="190">
  <si>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</si>
  <si>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</si>
  <si>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</si>
  <si>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</si>
  <si>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</si>
  <si>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</si>
  <si>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</si>
  <si>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</si>
  <si>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</si>
  <si>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</si>
  <si>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</si>
  <si>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</si>
  <si>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</si>
  <si>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</si>
  <si>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</si>
  <si>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</si>
  <si>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</si>
  <si>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</si>
  <si>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</si>
  <si>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</si>
  <si>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</si>
  <si>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</si>
  <si>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</si>
  <si>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</si>
  <si>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</si>
  <si>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</si>
  <si>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</si>
  <si>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</si>
  <si>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</si>
  <si>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</si>
  <si>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</si>
  <si>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</si>
  <si>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</si>
  <si>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</si>
  <si>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</si>
  <si>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</si>
  <si>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</si>
  <si>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</si>
  <si>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</si>
  <si>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</si>
  <si>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</si>
  <si>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</si>
  <si>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</si>
  <si>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</si>
  <si>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</si>
  <si>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</si>
  <si>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</si>
  <si>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</si>
  <si>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</si>
  <si>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</si>
  <si>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</si>
  <si>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</si>
  <si>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</si>
  <si>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</si>
  <si>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</si>
  <si>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</si>
  <si>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</si>
  <si>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</si>
  <si>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</si>
  <si>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</si>
  <si>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</si>
  <si>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</si>
  <si>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</si>
  <si>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</si>
  <si>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</si>
  <si>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</si>
  <si>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</si>
  <si>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</si>
  <si>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</si>
  <si>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</si>
  <si>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</si>
  <si>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</si>
  <si>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</si>
  <si>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</si>
  <si>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</si>
  <si>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</si>
  <si>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</si>
  <si>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</si>
  <si>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</si>
  <si>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</si>
  <si>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</si>
  <si>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</si>
  <si>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</si>
  <si>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</si>
  <si>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</si>
  <si>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</si>
  <si>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</si>
  <si>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</si>
  <si>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</si>
  <si>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</si>
  <si>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</si>
  <si>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</si>
  <si>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</si>
  <si>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</si>
  <si>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</si>
  <si>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</si>
  <si>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</si>
  <si>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</si>
  <si>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</si>
  <si>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</si>
  <si>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</si>
  <si>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</si>
  <si>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</si>
  <si>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</si>
  <si>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</si>
  <si>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</si>
  <si>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</si>
  <si>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</si>
  <si>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G</t>
  </si>
  <si>
    <t>E - H</t>
  </si>
  <si>
    <t>H - F</t>
  </si>
  <si>
    <t>G - H</t>
  </si>
  <si>
    <t>Budapest</t>
  </si>
  <si>
    <t>Pázmándi Viktor</t>
  </si>
  <si>
    <t>Match Point</t>
  </si>
  <si>
    <t>2022.02.05-06.</t>
  </si>
  <si>
    <t>Match Point Play + Stay kupa</t>
  </si>
  <si>
    <t>Velcz Zsolt</t>
  </si>
  <si>
    <t>F8</t>
  </si>
  <si>
    <t>L8</t>
  </si>
  <si>
    <t>F10</t>
  </si>
  <si>
    <t>L10</t>
  </si>
  <si>
    <t>Tamási</t>
  </si>
  <si>
    <t>Patrik</t>
  </si>
  <si>
    <t>Ten. Műhely</t>
  </si>
  <si>
    <t>Hollósy</t>
  </si>
  <si>
    <t>Nimród</t>
  </si>
  <si>
    <t>Hajdú</t>
  </si>
  <si>
    <t>Bálint</t>
  </si>
  <si>
    <t>Almai</t>
  </si>
  <si>
    <t>Sámuel</t>
  </si>
  <si>
    <t>MTK</t>
  </si>
  <si>
    <t>Szabó</t>
  </si>
  <si>
    <t>Tamás Dominik</t>
  </si>
  <si>
    <t>Fehérvár Kiskút TK</t>
  </si>
  <si>
    <t>Gonzales</t>
  </si>
  <si>
    <t>Miron Ámon</t>
  </si>
  <si>
    <t xml:space="preserve">Zsirai </t>
  </si>
  <si>
    <t>Noé</t>
  </si>
  <si>
    <t>140902</t>
  </si>
  <si>
    <t>Varga</t>
  </si>
  <si>
    <t>Karolina</t>
  </si>
  <si>
    <t>Bíbic TC</t>
  </si>
  <si>
    <t>Beviz</t>
  </si>
  <si>
    <t>Náray</t>
  </si>
  <si>
    <t>Júlia</t>
  </si>
  <si>
    <t>Orbán</t>
  </si>
  <si>
    <t>Abigél Katalin</t>
  </si>
  <si>
    <t>Huang</t>
  </si>
  <si>
    <t>Sio Hei</t>
  </si>
  <si>
    <t>Dunakeszi TK</t>
  </si>
  <si>
    <t>Kocsis- Mireisz</t>
  </si>
  <si>
    <t>Hanga</t>
  </si>
  <si>
    <t>Optofit SE</t>
  </si>
  <si>
    <t>Martin</t>
  </si>
  <si>
    <t>Gémes</t>
  </si>
  <si>
    <t>Domonkos</t>
  </si>
  <si>
    <t>Next Teniszakadémia</t>
  </si>
  <si>
    <t>Baksai</t>
  </si>
  <si>
    <t>Borisz Mór</t>
  </si>
  <si>
    <t>MESE</t>
  </si>
  <si>
    <t>Arisztid Gábor</t>
  </si>
  <si>
    <t>Csendes</t>
  </si>
  <si>
    <t>Boldizsár</t>
  </si>
  <si>
    <t>SZVUK SE</t>
  </si>
  <si>
    <t>Hidvégi</t>
  </si>
  <si>
    <t>Barnabás</t>
  </si>
  <si>
    <t>György</t>
  </si>
  <si>
    <t>Ákos</t>
  </si>
  <si>
    <t>Dunakanyar TC</t>
  </si>
  <si>
    <t>Hangácsi</t>
  </si>
  <si>
    <t>Márk</t>
  </si>
  <si>
    <t>SVSE</t>
  </si>
  <si>
    <t>Schöffer</t>
  </si>
  <si>
    <t>Molli</t>
  </si>
  <si>
    <t>Vasas SC</t>
  </si>
  <si>
    <t>Értékes</t>
  </si>
  <si>
    <t>Boglárka</t>
  </si>
  <si>
    <t>HTF CSO-KO</t>
  </si>
  <si>
    <t>Vivien</t>
  </si>
  <si>
    <t>Fehérvári Kiskút</t>
  </si>
  <si>
    <t>015</t>
  </si>
  <si>
    <t>31-27</t>
  </si>
  <si>
    <t>27-31</t>
  </si>
  <si>
    <t>24-24</t>
  </si>
  <si>
    <t>Natasa</t>
  </si>
  <si>
    <t>04</t>
  </si>
  <si>
    <t>j.n</t>
  </si>
  <si>
    <t>45 (2)</t>
  </si>
  <si>
    <t>54 (2)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</si>
</sst>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[$¥€-2]\ #\ ##,000_);[Red]\([$€-2]\ #\ ##,0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1" fillId="38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2" fillId="37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44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40" fillId="37" borderId="16" xfId="0" applyFont="1" applyFill="1" applyBorder="1" applyAlignment="1">
      <alignment horizontal="center" vertical="center" shrinkToFit="1"/>
    </xf>
    <xf numFmtId="0" fontId="79" fillId="38" borderId="0" xfId="0" applyFont="1" applyFill="1" applyAlignment="1">
      <alignment horizontal="center"/>
    </xf>
    <xf numFmtId="0" fontId="80" fillId="38" borderId="0" xfId="0" applyFont="1" applyFill="1" applyAlignment="1">
      <alignment horizontal="center"/>
    </xf>
    <xf numFmtId="0" fontId="32" fillId="43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0" fillId="0" borderId="53" xfId="0" applyBorder="1" applyAlignment="1">
      <alignment vertical="center" wrapText="1"/>
    </xf>
    <xf numFmtId="22" fontId="0" fillId="0" borderId="53" xfId="0" applyNumberFormat="1" applyBorder="1" applyAlignment="1">
      <alignment vertical="center" wrapText="1"/>
    </xf>
    <xf numFmtId="0" fontId="0" fillId="39" borderId="0" xfId="0" applyFont="1" applyFill="1" applyBorder="1" applyAlignment="1">
      <alignment horizontal="center"/>
    </xf>
    <xf numFmtId="14" fontId="23" fillId="33" borderId="35" xfId="0" applyNumberFormat="1" applyFont="1" applyFill="1" applyBorder="1" applyAlignment="1">
      <alignment horizontal="left" vertical="center" wrapText="1"/>
    </xf>
    <xf numFmtId="0" fontId="0" fillId="44" borderId="14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37" borderId="16" xfId="0" applyFill="1" applyBorder="1" applyAlignment="1">
      <alignment horizontal="center"/>
    </xf>
    <xf numFmtId="0" fontId="8" fillId="37" borderId="35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0" borderId="53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8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1219200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289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38100</xdr:rowOff>
    </xdr:from>
    <xdr:to>
      <xdr:col>12</xdr:col>
      <xdr:colOff>552450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66675</xdr:rowOff>
    </xdr:from>
    <xdr:to>
      <xdr:col>12</xdr:col>
      <xdr:colOff>495300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6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0</xdr:rowOff>
    </xdr:from>
    <xdr:to>
      <xdr:col>12</xdr:col>
      <xdr:colOff>552450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4" t="s">
        <v>95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17</v>
      </c>
      <c r="B5" s="20"/>
      <c r="C5" s="20"/>
      <c r="D5" s="20"/>
      <c r="E5" s="283"/>
      <c r="F5" s="21"/>
      <c r="G5" s="22"/>
    </row>
    <row r="6" spans="1:7" s="2" customFormat="1" ht="24.75">
      <c r="A6" s="323" t="s">
        <v>116</v>
      </c>
      <c r="B6" s="284"/>
      <c r="C6" s="23"/>
      <c r="D6" s="24"/>
      <c r="E6" s="25"/>
      <c r="F6" s="5"/>
      <c r="G6" s="5"/>
    </row>
    <row r="7" spans="1:7" s="18" customFormat="1" ht="15" customHeight="1">
      <c r="A7" s="270" t="s">
        <v>96</v>
      </c>
      <c r="B7" s="270" t="s">
        <v>97</v>
      </c>
      <c r="C7" s="270" t="s">
        <v>98</v>
      </c>
      <c r="D7" s="270" t="s">
        <v>99</v>
      </c>
      <c r="E7" s="270" t="s">
        <v>100</v>
      </c>
      <c r="F7" s="21"/>
      <c r="G7" s="22"/>
    </row>
    <row r="8" spans="1:7" s="2" customFormat="1" ht="16.5" customHeight="1">
      <c r="A8" s="174" t="s">
        <v>118</v>
      </c>
      <c r="B8" s="174" t="s">
        <v>119</v>
      </c>
      <c r="C8" s="174" t="s">
        <v>120</v>
      </c>
      <c r="D8" s="174" t="s">
        <v>121</v>
      </c>
      <c r="E8" s="174"/>
      <c r="F8" s="5"/>
      <c r="G8" s="5"/>
    </row>
    <row r="9" spans="1:7" s="2" customFormat="1" ht="15" customHeight="1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ht="12">
      <c r="A10" s="27" t="s">
        <v>115</v>
      </c>
      <c r="B10" s="28"/>
      <c r="C10" s="29" t="s">
        <v>112</v>
      </c>
      <c r="D10" s="155" t="s">
        <v>57</v>
      </c>
      <c r="E10" s="275" t="s">
        <v>113</v>
      </c>
      <c r="F10" s="5"/>
      <c r="G10" s="5"/>
    </row>
    <row r="11" spans="1:7" ht="12">
      <c r="A11" s="19"/>
      <c r="B11" s="20"/>
      <c r="C11" s="168" t="s">
        <v>55</v>
      </c>
      <c r="D11" s="168" t="s">
        <v>92</v>
      </c>
      <c r="E11" s="168" t="s">
        <v>93</v>
      </c>
      <c r="F11" s="31"/>
      <c r="G11" s="31"/>
    </row>
    <row r="12" spans="1:7" s="2" customFormat="1" ht="12">
      <c r="A12" s="126"/>
      <c r="B12" s="5"/>
      <c r="C12" s="175"/>
      <c r="D12" s="175" t="s">
        <v>114</v>
      </c>
      <c r="E12" s="175" t="s">
        <v>117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9"/>
      <c r="C17" s="127"/>
      <c r="D17" s="38"/>
      <c r="E17" s="35"/>
      <c r="F17" s="31"/>
      <c r="G17" s="31"/>
    </row>
    <row r="18" spans="1:7" ht="12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71" hidden="1" customWidth="1"/>
    <col min="26" max="37" width="0" style="271" hidden="1" customWidth="1"/>
  </cols>
  <sheetData>
    <row r="1" spans="1:37" ht="26.25">
      <c r="A1" s="336" t="str">
        <f>Altalanos!$A$6</f>
        <v>Match Point Play + Stay kupa</v>
      </c>
      <c r="B1" s="336"/>
      <c r="C1" s="336"/>
      <c r="D1" s="336"/>
      <c r="E1" s="336"/>
      <c r="F1" s="336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Y1"/>
      <c r="Z1"/>
      <c r="AA1"/>
      <c r="AB1" s="278" t="e">
        <f>IF(Y5=1,CONCATENATE(VLOOKUP(Y3,AA16:AH27,2)),CONCATENATE(VLOOKUP(Y3,AA2:AK13,2)))</f>
        <v>#N/A</v>
      </c>
      <c r="AC1" s="278" t="e">
        <f>IF(Y5=1,CONCATENATE(VLOOKUP(Y3,AA16:AK27,3)),CONCATENATE(VLOOKUP(Y3,AA2:AK13,3)))</f>
        <v>#N/A</v>
      </c>
      <c r="AD1" s="278" t="e">
        <f>IF(Y5=1,CONCATENATE(VLOOKUP(Y3,AA16:AK27,4)),CONCATENATE(VLOOKUP(Y3,AA2:AK13,4)))</f>
        <v>#N/A</v>
      </c>
      <c r="AE1" s="278" t="e">
        <f>IF(Y5=1,CONCATENATE(VLOOKUP(Y3,AA16:AK27,5)),CONCATENATE(VLOOKUP(Y3,AA2:AK13,5)))</f>
        <v>#N/A</v>
      </c>
      <c r="AF1" s="278" t="e">
        <f>IF(Y5=1,CONCATENATE(VLOOKUP(Y3,AA16:AK27,6)),CONCATENATE(VLOOKUP(Y3,AA2:AK13,6)))</f>
        <v>#N/A</v>
      </c>
      <c r="AG1" s="278" t="e">
        <f>IF(Y5=1,CONCATENATE(VLOOKUP(Y3,AA16:AK27,7)),CONCATENATE(VLOOKUP(Y3,AA2:AK13,7)))</f>
        <v>#N/A</v>
      </c>
      <c r="AH1" s="278" t="e">
        <f>IF(Y5=1,CONCATENATE(VLOOKUP(Y3,AA16:AK27,8)),CONCATENATE(VLOOKUP(Y3,AA2:AK13,8)))</f>
        <v>#N/A</v>
      </c>
      <c r="AI1" s="278" t="e">
        <f>IF(Y5=1,CONCATENATE(VLOOKUP(Y3,AA16:AK27,9)),CONCATENATE(VLOOKUP(Y3,AA2:AK13,9)))</f>
        <v>#N/A</v>
      </c>
      <c r="AJ1" s="278" t="e">
        <f>IF(Y5=1,CONCATENATE(VLOOKUP(Y3,AA16:AK27,10)),CONCATENATE(VLOOKUP(Y3,AA2:AK13,10)))</f>
        <v>#N/A</v>
      </c>
      <c r="AK1" s="278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22" t="str">
        <f>Altalanos!$D$8</f>
        <v>L10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0" t="s">
        <v>72</v>
      </c>
      <c r="R3" s="261" t="s">
        <v>78</v>
      </c>
      <c r="S3" s="211"/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2.75" thickBot="1">
      <c r="A4" s="337" t="str">
        <f>Altalanos!$A$10</f>
        <v>2022.02.05-06.</v>
      </c>
      <c r="B4" s="337"/>
      <c r="C4" s="337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Pázmándi Viktor</v>
      </c>
      <c r="M4" s="190"/>
      <c r="N4" s="216"/>
      <c r="O4" s="217"/>
      <c r="P4" s="216"/>
      <c r="Q4" s="262" t="s">
        <v>79</v>
      </c>
      <c r="R4" s="263" t="s">
        <v>74</v>
      </c>
      <c r="S4" s="211"/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4" t="s">
        <v>80</v>
      </c>
      <c r="R5" s="265" t="s">
        <v>76</v>
      </c>
      <c r="S5" s="211"/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18" t="s">
        <v>58</v>
      </c>
      <c r="B7" s="249">
        <v>3</v>
      </c>
      <c r="C7" s="205">
        <f>IF($B7="","",VLOOKUP($B7,'L10 ELO'!$A$7:$O$22,5))</f>
        <v>120410</v>
      </c>
      <c r="D7" s="205">
        <f>IF($B7="","",VLOOKUP($B7,'L10 ELO'!$A$7:$O$22,15))</f>
        <v>0</v>
      </c>
      <c r="E7" s="201" t="str">
        <f>UPPER(IF($B7="","",VLOOKUP($B7,'L10 ELO'!$A$7:$O$22,2)))</f>
        <v>SZABÓ</v>
      </c>
      <c r="F7" s="206"/>
      <c r="G7" s="201" t="str">
        <f>IF($B7="","",VLOOKUP($B7,'L10 ELO'!$A$7:$O$22,3))</f>
        <v>Vivien</v>
      </c>
      <c r="H7" s="206"/>
      <c r="I7" s="201" t="str">
        <f>IF($B7="","",VLOOKUP($B7,'L10 ELO'!$A$7:$O$22,4))</f>
        <v>Fehérvári Kiskút</v>
      </c>
      <c r="J7" s="193"/>
      <c r="K7" s="279">
        <v>3</v>
      </c>
      <c r="L7" s="274" t="e">
        <f>IF(K7="","",CONCATENATE(VLOOKUP($Y$3,$AB$1:$AK$1,K7)," pont"))</f>
        <v>#N/A</v>
      </c>
      <c r="M7" s="280"/>
      <c r="N7" s="211"/>
      <c r="O7" s="211"/>
      <c r="P7" s="211"/>
      <c r="Q7" s="211"/>
      <c r="R7" s="211"/>
      <c r="S7" s="211"/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50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11"/>
      <c r="R8" s="211"/>
      <c r="S8" s="211"/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49">
        <v>1</v>
      </c>
      <c r="C9" s="205">
        <f>IF($B9="","",VLOOKUP($B9,'L10 ELO'!$A$7:$O$22,5))</f>
        <v>1203221</v>
      </c>
      <c r="D9" s="205">
        <f>IF($B9="","",VLOOKUP($B9,'L10 ELO'!$A$7:$O$22,15))</f>
        <v>0</v>
      </c>
      <c r="E9" s="201" t="str">
        <f>UPPER(IF($B9="","",VLOOKUP($B9,'L10 ELO'!$A$7:$O$22,2)))</f>
        <v>SCHÖFFER</v>
      </c>
      <c r="F9" s="206"/>
      <c r="G9" s="201" t="str">
        <f>IF($B9="","",VLOOKUP($B9,'L10 ELO'!$A$7:$O$22,3))</f>
        <v>Molli</v>
      </c>
      <c r="H9" s="206"/>
      <c r="I9" s="201" t="str">
        <f>IF($B9="","",VLOOKUP($B9,'L10 ELO'!$A$7:$O$22,4))</f>
        <v>Vasas SC</v>
      </c>
      <c r="J9" s="193"/>
      <c r="K9" s="279">
        <v>2</v>
      </c>
      <c r="L9" s="274" t="e">
        <f>IF(K9="","",CONCATENATE(VLOOKUP($Y$3,$AB$1:$AK$1,K9)," pont"))</f>
        <v>#N/A</v>
      </c>
      <c r="M9" s="280"/>
      <c r="N9" s="211"/>
      <c r="O9" s="211"/>
      <c r="P9" s="211"/>
      <c r="Q9" s="211"/>
      <c r="R9" s="211"/>
      <c r="S9" s="211"/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50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49">
        <v>2</v>
      </c>
      <c r="C11" s="205">
        <f>IF($B11="","",VLOOKUP($B11,'L10 ELO'!$A$7:$O$22,5))</f>
        <v>120127</v>
      </c>
      <c r="D11" s="205">
        <f>IF($B11="","",VLOOKUP($B11,'L10 ELO'!$A$7:$O$22,15))</f>
        <v>0</v>
      </c>
      <c r="E11" s="201" t="str">
        <f>UPPER(IF($B11="","",VLOOKUP($B11,'L10 ELO'!$A$7:$O$22,2)))</f>
        <v>ÉRTÉKES</v>
      </c>
      <c r="F11" s="206"/>
      <c r="G11" s="201" t="str">
        <f>IF($B11="","",VLOOKUP($B11,'L10 ELO'!$A$7:$O$22,3))</f>
        <v>Boglárka</v>
      </c>
      <c r="H11" s="206"/>
      <c r="I11" s="201" t="str">
        <f>IF($B11="","",VLOOKUP($B11,'L10 ELO'!$A$7:$O$22,4))</f>
        <v>HTF CSO-KO</v>
      </c>
      <c r="J11" s="193"/>
      <c r="K11" s="279">
        <v>1</v>
      </c>
      <c r="L11" s="274" t="e">
        <f>IF(K11="","",CONCATENATE(VLOOKUP($Y$3,$AB$1:$AK$1,K11)," pont"))</f>
        <v>#N/A</v>
      </c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8.75" customHeight="1">
      <c r="A18" s="193"/>
      <c r="B18" s="335"/>
      <c r="C18" s="335"/>
      <c r="D18" s="331" t="str">
        <f>E7</f>
        <v>SZABÓ</v>
      </c>
      <c r="E18" s="331"/>
      <c r="F18" s="331" t="str">
        <f>E9</f>
        <v>SCHÖFFER</v>
      </c>
      <c r="G18" s="331"/>
      <c r="H18" s="331" t="str">
        <f>E11</f>
        <v>ÉRTÉKES</v>
      </c>
      <c r="I18" s="331"/>
      <c r="J18" s="193"/>
      <c r="K18" s="193"/>
      <c r="L18" s="193"/>
      <c r="M18" s="193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8.75" customHeight="1">
      <c r="A19" s="251" t="s">
        <v>58</v>
      </c>
      <c r="B19" s="329" t="str">
        <f>E7</f>
        <v>SZABÓ</v>
      </c>
      <c r="C19" s="329"/>
      <c r="D19" s="328"/>
      <c r="E19" s="328"/>
      <c r="F19" s="330">
        <v>14</v>
      </c>
      <c r="G19" s="330"/>
      <c r="H19" s="330">
        <v>14</v>
      </c>
      <c r="I19" s="330"/>
      <c r="J19" s="193"/>
      <c r="K19" s="193"/>
      <c r="L19" s="193"/>
      <c r="M19" s="193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8.75" customHeight="1">
      <c r="A20" s="251" t="s">
        <v>59</v>
      </c>
      <c r="B20" s="329" t="str">
        <f>E9</f>
        <v>SCHÖFFER</v>
      </c>
      <c r="C20" s="329"/>
      <c r="D20" s="330">
        <v>41</v>
      </c>
      <c r="E20" s="330"/>
      <c r="F20" s="328"/>
      <c r="G20" s="328"/>
      <c r="H20" s="343" t="s">
        <v>186</v>
      </c>
      <c r="I20" s="342"/>
      <c r="J20" s="193"/>
      <c r="K20" s="193"/>
      <c r="L20" s="193"/>
      <c r="M20" s="193"/>
      <c r="Y20" s="272"/>
      <c r="Z20" s="272"/>
      <c r="AA20" s="272" t="s">
        <v>85</v>
      </c>
      <c r="AB20" s="272">
        <v>120</v>
      </c>
      <c r="AC20" s="272">
        <v>90</v>
      </c>
      <c r="AD20" s="272">
        <v>65</v>
      </c>
      <c r="AE20" s="272">
        <v>55</v>
      </c>
      <c r="AF20" s="272">
        <v>50</v>
      </c>
      <c r="AG20" s="272">
        <v>45</v>
      </c>
      <c r="AH20" s="272">
        <v>40</v>
      </c>
      <c r="AI20" s="272">
        <v>35</v>
      </c>
      <c r="AJ20" s="272">
        <v>25</v>
      </c>
      <c r="AK20" s="272">
        <v>20</v>
      </c>
    </row>
    <row r="21" spans="1:37" ht="18.75" customHeight="1">
      <c r="A21" s="251" t="s">
        <v>60</v>
      </c>
      <c r="B21" s="329" t="str">
        <f>E11</f>
        <v>ÉRTÉKES</v>
      </c>
      <c r="C21" s="329"/>
      <c r="D21" s="330">
        <v>41</v>
      </c>
      <c r="E21" s="330"/>
      <c r="F21" s="330">
        <v>40</v>
      </c>
      <c r="G21" s="330"/>
      <c r="H21" s="328"/>
      <c r="I21" s="328"/>
      <c r="J21" s="193"/>
      <c r="K21" s="193"/>
      <c r="L21" s="193"/>
      <c r="M21" s="193"/>
      <c r="Y21" s="272"/>
      <c r="Z21" s="272"/>
      <c r="AA21" s="272" t="s">
        <v>86</v>
      </c>
      <c r="AB21" s="272">
        <v>90</v>
      </c>
      <c r="AC21" s="272">
        <v>60</v>
      </c>
      <c r="AD21" s="272">
        <v>45</v>
      </c>
      <c r="AE21" s="272">
        <v>34</v>
      </c>
      <c r="AF21" s="272">
        <v>27</v>
      </c>
      <c r="AG21" s="272">
        <v>22</v>
      </c>
      <c r="AH21" s="272">
        <v>18</v>
      </c>
      <c r="AI21" s="272">
        <v>15</v>
      </c>
      <c r="AJ21" s="272">
        <v>12</v>
      </c>
      <c r="AK21" s="272">
        <v>9</v>
      </c>
    </row>
    <row r="22" spans="1:37" ht="12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2"/>
      <c r="Z22" s="272"/>
      <c r="AA22" s="272" t="s">
        <v>87</v>
      </c>
      <c r="AB22" s="272">
        <v>60</v>
      </c>
      <c r="AC22" s="272">
        <v>40</v>
      </c>
      <c r="AD22" s="272">
        <v>30</v>
      </c>
      <c r="AE22" s="272">
        <v>20</v>
      </c>
      <c r="AF22" s="272">
        <v>18</v>
      </c>
      <c r="AG22" s="272">
        <v>15</v>
      </c>
      <c r="AH22" s="272">
        <v>12</v>
      </c>
      <c r="AI22" s="272">
        <v>10</v>
      </c>
      <c r="AJ22" s="272">
        <v>8</v>
      </c>
      <c r="AK22" s="272">
        <v>6</v>
      </c>
    </row>
    <row r="23" spans="1:37" ht="12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2"/>
      <c r="Z23" s="272"/>
      <c r="AA23" s="272" t="s">
        <v>88</v>
      </c>
      <c r="AB23" s="272">
        <v>40</v>
      </c>
      <c r="AC23" s="272">
        <v>25</v>
      </c>
      <c r="AD23" s="272">
        <v>18</v>
      </c>
      <c r="AE23" s="272">
        <v>13</v>
      </c>
      <c r="AF23" s="272">
        <v>8</v>
      </c>
      <c r="AG23" s="272">
        <v>7</v>
      </c>
      <c r="AH23" s="272">
        <v>6</v>
      </c>
      <c r="AI23" s="272">
        <v>5</v>
      </c>
      <c r="AJ23" s="272">
        <v>4</v>
      </c>
      <c r="AK23" s="272">
        <v>3</v>
      </c>
    </row>
    <row r="24" spans="1:37" ht="12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2"/>
      <c r="Z24" s="272"/>
      <c r="AA24" s="272" t="s">
        <v>89</v>
      </c>
      <c r="AB24" s="272">
        <v>25</v>
      </c>
      <c r="AC24" s="272">
        <v>15</v>
      </c>
      <c r="AD24" s="272">
        <v>13</v>
      </c>
      <c r="AE24" s="272">
        <v>7</v>
      </c>
      <c r="AF24" s="272">
        <v>6</v>
      </c>
      <c r="AG24" s="272">
        <v>5</v>
      </c>
      <c r="AH24" s="272">
        <v>4</v>
      </c>
      <c r="AI24" s="272">
        <v>3</v>
      </c>
      <c r="AJ24" s="272">
        <v>2</v>
      </c>
      <c r="AK24" s="272">
        <v>1</v>
      </c>
    </row>
    <row r="25" spans="1:37" ht="1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2"/>
      <c r="Z25" s="272"/>
      <c r="AA25" s="272" t="s">
        <v>94</v>
      </c>
      <c r="AB25" s="272">
        <v>15</v>
      </c>
      <c r="AC25" s="272">
        <v>10</v>
      </c>
      <c r="AD25" s="272">
        <v>8</v>
      </c>
      <c r="AE25" s="272">
        <v>4</v>
      </c>
      <c r="AF25" s="272">
        <v>3</v>
      </c>
      <c r="AG25" s="272">
        <v>2</v>
      </c>
      <c r="AH25" s="272">
        <v>1</v>
      </c>
      <c r="AI25" s="272">
        <v>0</v>
      </c>
      <c r="AJ25" s="272">
        <v>0</v>
      </c>
      <c r="AK25" s="272">
        <v>0</v>
      </c>
    </row>
    <row r="26" spans="1:37" ht="1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2"/>
      <c r="Z26" s="272"/>
      <c r="AA26" s="272" t="s">
        <v>90</v>
      </c>
      <c r="AB26" s="272">
        <v>10</v>
      </c>
      <c r="AC26" s="272">
        <v>6</v>
      </c>
      <c r="AD26" s="272">
        <v>4</v>
      </c>
      <c r="AE26" s="272">
        <v>2</v>
      </c>
      <c r="AF26" s="272">
        <v>1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</row>
    <row r="27" spans="1:37" ht="1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2"/>
      <c r="Z27" s="272"/>
      <c r="AA27" s="272" t="s">
        <v>91</v>
      </c>
      <c r="AB27" s="272">
        <v>3</v>
      </c>
      <c r="AC27" s="272">
        <v>2</v>
      </c>
      <c r="AD27" s="272">
        <v>1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</row>
    <row r="28" spans="1:13" ht="12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11"/>
      <c r="P32" s="211"/>
      <c r="Q32" s="211"/>
      <c r="R32" s="211"/>
      <c r="S32" s="211"/>
    </row>
    <row r="33" spans="1:19" ht="12">
      <c r="A33" s="110" t="s">
        <v>38</v>
      </c>
      <c r="B33" s="111"/>
      <c r="C33" s="165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13"/>
      <c r="N33" s="312"/>
      <c r="O33" s="211"/>
      <c r="P33" s="220"/>
      <c r="Q33" s="220"/>
      <c r="R33" s="221"/>
      <c r="S33" s="211"/>
    </row>
    <row r="34" spans="1:19" ht="12">
      <c r="A34" s="196" t="s">
        <v>39</v>
      </c>
      <c r="B34" s="197"/>
      <c r="C34" s="198"/>
      <c r="D34" s="228"/>
      <c r="E34" s="333"/>
      <c r="F34" s="333"/>
      <c r="G34" s="239" t="s">
        <v>3</v>
      </c>
      <c r="H34" s="197"/>
      <c r="I34" s="229"/>
      <c r="J34" s="240"/>
      <c r="K34" s="194" t="s">
        <v>41</v>
      </c>
      <c r="L34" s="246"/>
      <c r="M34" s="234"/>
      <c r="O34" s="211"/>
      <c r="P34" s="222"/>
      <c r="Q34" s="222"/>
      <c r="R34" s="223"/>
      <c r="S34" s="211"/>
    </row>
    <row r="35" spans="1:19" ht="12">
      <c r="A35" s="199" t="s">
        <v>48</v>
      </c>
      <c r="B35" s="117"/>
      <c r="C35" s="200"/>
      <c r="D35" s="231"/>
      <c r="E35" s="334"/>
      <c r="F35" s="334"/>
      <c r="G35" s="241" t="s">
        <v>4</v>
      </c>
      <c r="H35" s="232"/>
      <c r="I35" s="233"/>
      <c r="J35" s="82"/>
      <c r="K35" s="243"/>
      <c r="L35" s="192"/>
      <c r="M35" s="238"/>
      <c r="O35" s="211"/>
      <c r="P35" s="223"/>
      <c r="Q35" s="224"/>
      <c r="R35" s="223"/>
      <c r="S35" s="211"/>
    </row>
    <row r="36" spans="1:19" ht="12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4" t="s">
        <v>42</v>
      </c>
      <c r="L36" s="246"/>
      <c r="M36" s="230"/>
      <c r="O36" s="211"/>
      <c r="P36" s="222"/>
      <c r="Q36" s="222"/>
      <c r="R36" s="223"/>
      <c r="S36" s="211"/>
    </row>
    <row r="37" spans="1:19" ht="12">
      <c r="A37" s="112"/>
      <c r="B37" s="163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1"/>
      <c r="P37" s="223"/>
      <c r="Q37" s="224"/>
      <c r="R37" s="223"/>
      <c r="S37" s="211"/>
    </row>
    <row r="38" spans="1:19" ht="12">
      <c r="A38" s="121"/>
      <c r="B38" s="135"/>
      <c r="C38" s="164"/>
      <c r="D38" s="231"/>
      <c r="E38" s="235"/>
      <c r="F38" s="236"/>
      <c r="G38" s="241" t="s">
        <v>7</v>
      </c>
      <c r="H38" s="232"/>
      <c r="I38" s="233"/>
      <c r="J38" s="82"/>
      <c r="K38" s="199"/>
      <c r="L38" s="192"/>
      <c r="M38" s="238"/>
      <c r="O38" s="211"/>
      <c r="P38" s="223"/>
      <c r="Q38" s="224"/>
      <c r="R38" s="223"/>
      <c r="S38" s="211"/>
    </row>
    <row r="39" spans="1:19" ht="12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4" t="s">
        <v>31</v>
      </c>
      <c r="L39" s="246"/>
      <c r="M39" s="230"/>
      <c r="O39" s="211"/>
      <c r="P39" s="222"/>
      <c r="Q39" s="222"/>
      <c r="R39" s="223"/>
      <c r="S39" s="211"/>
    </row>
    <row r="40" spans="1:19" ht="12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1"/>
      <c r="P40" s="223"/>
      <c r="Q40" s="224"/>
      <c r="R40" s="223"/>
      <c r="S40" s="211"/>
    </row>
    <row r="41" spans="1:19" ht="12">
      <c r="A41" s="123"/>
      <c r="B41" s="120"/>
      <c r="C41" s="131"/>
      <c r="D41" s="237"/>
      <c r="E41" s="114"/>
      <c r="F41" s="192"/>
      <c r="G41" s="242" t="s">
        <v>10</v>
      </c>
      <c r="H41" s="117"/>
      <c r="I41" s="195"/>
      <c r="J41" s="115"/>
      <c r="K41" s="199" t="str">
        <f>L4</f>
        <v>Pázmándi Viktor</v>
      </c>
      <c r="L41" s="192"/>
      <c r="M41" s="238"/>
      <c r="O41" s="211"/>
      <c r="P41" s="223"/>
      <c r="Q41" s="224"/>
      <c r="R41" s="225"/>
      <c r="S41" s="211"/>
    </row>
    <row r="42" spans="15:19" ht="12">
      <c r="O42" s="211"/>
      <c r="P42" s="211"/>
      <c r="Q42" s="211"/>
      <c r="R42" s="211"/>
      <c r="S42" s="211"/>
    </row>
    <row r="43" spans="15:19" ht="12">
      <c r="O43" s="211"/>
      <c r="P43" s="211"/>
      <c r="Q43" s="211"/>
      <c r="R43" s="211"/>
      <c r="S43" s="21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4.75">
      <c r="A1" s="40" t="str">
        <f>Altalanos!$A$6</f>
        <v>Match Point Play + Stay kupa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2022.02.05-06.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27" t="s">
        <v>23</v>
      </c>
      <c r="B6" s="327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2.7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S14" sqref="S1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300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Match Point Play + 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85" t="str">
        <f>Altalanos!$A$8</f>
        <v>F8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2022.02.05-06.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Pázmándi Viktor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324" t="s">
        <v>122</v>
      </c>
      <c r="C7" s="324" t="s">
        <v>123</v>
      </c>
      <c r="D7" s="324" t="s">
        <v>124</v>
      </c>
      <c r="E7" s="324">
        <v>140317</v>
      </c>
      <c r="F7" s="286"/>
      <c r="G7" s="287"/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4" t="s">
        <v>125</v>
      </c>
      <c r="C8" s="324" t="s">
        <v>126</v>
      </c>
      <c r="D8" s="324" t="s">
        <v>124</v>
      </c>
      <c r="E8" s="324">
        <v>141004</v>
      </c>
      <c r="F8" s="288"/>
      <c r="G8" s="289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4" t="s">
        <v>127</v>
      </c>
      <c r="C9" s="324" t="s">
        <v>128</v>
      </c>
      <c r="D9" s="324" t="s">
        <v>124</v>
      </c>
      <c r="E9" s="324">
        <v>140901</v>
      </c>
      <c r="F9" s="288"/>
      <c r="G9" s="289"/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324" t="s">
        <v>129</v>
      </c>
      <c r="C10" s="324" t="s">
        <v>130</v>
      </c>
      <c r="D10" s="324" t="s">
        <v>131</v>
      </c>
      <c r="E10" s="324">
        <v>140220</v>
      </c>
      <c r="F10" s="288"/>
      <c r="G10" s="289"/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324" t="s">
        <v>132</v>
      </c>
      <c r="C11" s="324" t="s">
        <v>133</v>
      </c>
      <c r="D11" s="324" t="s">
        <v>134</v>
      </c>
      <c r="E11" s="324">
        <v>150511</v>
      </c>
      <c r="F11" s="288"/>
      <c r="G11" s="289"/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324" t="s">
        <v>135</v>
      </c>
      <c r="C12" s="324" t="s">
        <v>136</v>
      </c>
      <c r="D12" s="324" t="s">
        <v>124</v>
      </c>
      <c r="E12" s="324">
        <v>141221</v>
      </c>
      <c r="F12" s="288"/>
      <c r="G12" s="289"/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90" t="s">
        <v>137</v>
      </c>
      <c r="C13" s="90" t="s">
        <v>138</v>
      </c>
      <c r="D13" s="91" t="s">
        <v>134</v>
      </c>
      <c r="E13" s="162" t="s">
        <v>139</v>
      </c>
      <c r="F13" s="288"/>
      <c r="G13" s="289"/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90"/>
      <c r="C14" s="90"/>
      <c r="D14" s="91"/>
      <c r="E14" s="162"/>
      <c r="F14" s="288"/>
      <c r="G14" s="289"/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71">IF(Q40="",999,Q40)</f>
        <v>999</v>
      </c>
      <c r="M40" s="169">
        <f aca="true" t="shared" si="1" ref="M40:M71">IF(P40=999,999,1)</f>
        <v>999</v>
      </c>
      <c r="N40" s="167"/>
      <c r="O40" s="140"/>
      <c r="P40" s="108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aca="true" t="shared" si="3" ref="L72:L100">IF(Q72="",999,Q72)</f>
        <v>999</v>
      </c>
      <c r="M72" s="169">
        <f aca="true" t="shared" si="4" ref="M72:M100">IF(P72=999,999,1)</f>
        <v>999</v>
      </c>
      <c r="N72" s="167"/>
      <c r="O72" s="140"/>
      <c r="P72" s="108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aca="true" t="shared" si="6" ref="L101:L134">IF(Q101="",999,Q101)</f>
        <v>999</v>
      </c>
      <c r="M101" s="169">
        <f aca="true" t="shared" si="7" ref="M101:M134">IF(P101=999,999,1)</f>
        <v>999</v>
      </c>
      <c r="N101" s="167"/>
      <c r="O101" s="140"/>
      <c r="P101" s="108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 ht="12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aca="true" t="shared" si="9" ref="L135:L156">IF(Q135="",999,Q135)</f>
        <v>999</v>
      </c>
      <c r="M135" s="169">
        <f aca="true" t="shared" si="10" ref="M135:M156">IF(P135=999,999,1)</f>
        <v>999</v>
      </c>
      <c r="N135" s="167"/>
      <c r="O135" s="140"/>
      <c r="P135" s="108">
        <f aca="true" t="shared" si="11" ref="P135:P156">IF(N135="DA",1,IF(N135="WC",2,IF(N135="SE",3,IF(N135="Q",4,IF(N135="LL",5,999)))))</f>
        <v>999</v>
      </c>
      <c r="Q135" s="92"/>
    </row>
    <row r="136" spans="1:17" ht="12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 ht="12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 ht="12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 ht="12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 ht="12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 ht="12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 ht="12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 ht="12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 ht="12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 ht="12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 ht="12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 ht="12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 ht="12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 ht="12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 ht="12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 ht="12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 ht="12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 ht="12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 ht="12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 ht="12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 ht="12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sheetProtection/>
  <conditionalFormatting sqref="E14:E156">
    <cfRule type="expression" priority="30" dxfId="5" stopIfTrue="1">
      <formula>AND(ROUNDDOWN(($A$4-E14)/365.25,0)&lt;=13,G14&lt;&gt;"OK")</formula>
    </cfRule>
    <cfRule type="expression" priority="31" dxfId="4" stopIfTrue="1">
      <formula>AND(ROUNDDOWN(($A$4-E14)/365.25,0)&lt;=14,G14&lt;&gt;"OK")</formula>
    </cfRule>
    <cfRule type="expression" priority="32" dxfId="3" stopIfTrue="1">
      <formula>AND(ROUNDDOWN(($A$4-E14)/365.25,0)&lt;=17,G14&lt;&gt;"OK")</formula>
    </cfRule>
  </conditionalFormatting>
  <conditionalFormatting sqref="J7:J156">
    <cfRule type="cellIs" priority="33" dxfId="11" operator="equal" stopIfTrue="1">
      <formula>"Z"</formula>
    </cfRule>
  </conditionalFormatting>
  <conditionalFormatting sqref="A14:D156 A7:A13">
    <cfRule type="expression" priority="34" dxfId="2" stopIfTrue="1">
      <formula>$Q7&gt;=1</formula>
    </cfRule>
  </conditionalFormatting>
  <conditionalFormatting sqref="E14">
    <cfRule type="expression" priority="27" dxfId="5" stopIfTrue="1">
      <formula>AND(ROUNDDOWN(($A$4-E14)/365.25,0)&lt;=13,G14&lt;&gt;"OK")</formula>
    </cfRule>
    <cfRule type="expression" priority="28" dxfId="4" stopIfTrue="1">
      <formula>AND(ROUNDDOWN(($A$4-E14)/365.25,0)&lt;=14,G14&lt;&gt;"OK")</formula>
    </cfRule>
    <cfRule type="expression" priority="29" dxfId="3" stopIfTrue="1">
      <formula>AND(ROUNDDOWN(($A$4-E14)/365.25,0)&lt;=17,G14&lt;&gt;"OK")</formula>
    </cfRule>
  </conditionalFormatting>
  <conditionalFormatting sqref="J7:J14">
    <cfRule type="cellIs" priority="26" dxfId="11" operator="equal" stopIfTrue="1">
      <formula>"Z"</formula>
    </cfRule>
  </conditionalFormatting>
  <conditionalFormatting sqref="B14:D14">
    <cfRule type="expression" priority="25" dxfId="2" stopIfTrue="1">
      <formula>$Q14&gt;=1</formula>
    </cfRule>
  </conditionalFormatting>
  <conditionalFormatting sqref="E14">
    <cfRule type="expression" priority="22" dxfId="5" stopIfTrue="1">
      <formula>AND(ROUNDDOWN(($A$4-E14)/365.25,0)&lt;=13,G14&lt;&gt;"OK")</formula>
    </cfRule>
    <cfRule type="expression" priority="23" dxfId="4" stopIfTrue="1">
      <formula>AND(ROUNDDOWN(($A$4-E14)/365.25,0)&lt;=14,G14&lt;&gt;"OK")</formula>
    </cfRule>
    <cfRule type="expression" priority="24" dxfId="3" stopIfTrue="1">
      <formula>AND(ROUNDDOWN(($A$4-E14)/365.25,0)&lt;=17,G14&lt;&gt;"OK")</formula>
    </cfRule>
  </conditionalFormatting>
  <conditionalFormatting sqref="B14:D14">
    <cfRule type="expression" priority="21" dxfId="2" stopIfTrue="1">
      <formula>$Q14&gt;=1</formula>
    </cfRule>
  </conditionalFormatting>
  <conditionalFormatting sqref="E14:E27 E29:E37">
    <cfRule type="expression" priority="18" dxfId="5" stopIfTrue="1">
      <formula>AND(ROUNDDOWN(($A$4-E14)/365.25,0)&lt;=13,G14&lt;&gt;"OK")</formula>
    </cfRule>
    <cfRule type="expression" priority="19" dxfId="4" stopIfTrue="1">
      <formula>AND(ROUNDDOWN(($A$4-E14)/365.25,0)&lt;=14,G14&lt;&gt;"OK")</formula>
    </cfRule>
    <cfRule type="expression" priority="20" dxfId="3" stopIfTrue="1">
      <formula>AND(ROUNDDOWN(($A$4-E14)/365.25,0)&lt;=17,G14&lt;&gt;"OK")</formula>
    </cfRule>
  </conditionalFormatting>
  <conditionalFormatting sqref="B14:D37">
    <cfRule type="expression" priority="17" dxfId="2" stopIfTrue="1">
      <formula>$Q14&gt;=1</formula>
    </cfRule>
  </conditionalFormatting>
  <conditionalFormatting sqref="E13">
    <cfRule type="expression" priority="13" dxfId="5" stopIfTrue="1">
      <formula>AND(ROUNDDOWN(($A$4-E13)/365.25,0)&lt;=13,G13&lt;&gt;"OK")</formula>
    </cfRule>
    <cfRule type="expression" priority="14" dxfId="4" stopIfTrue="1">
      <formula>AND(ROUNDDOWN(($A$4-E13)/365.25,0)&lt;=14,G13&lt;&gt;"OK")</formula>
    </cfRule>
    <cfRule type="expression" priority="15" dxfId="3" stopIfTrue="1">
      <formula>AND(ROUNDDOWN(($A$4-E13)/365.25,0)&lt;=17,G13&lt;&gt;"OK")</formula>
    </cfRule>
  </conditionalFormatting>
  <conditionalFormatting sqref="B13:D13">
    <cfRule type="expression" priority="16" dxfId="2" stopIfTrue="1">
      <formula>$Q13&gt;=1</formula>
    </cfRule>
  </conditionalFormatting>
  <conditionalFormatting sqref="E13">
    <cfRule type="expression" priority="10" dxfId="5" stopIfTrue="1">
      <formula>AND(ROUNDDOWN(($A$4-E13)/365.25,0)&lt;=13,G13&lt;&gt;"OK")</formula>
    </cfRule>
    <cfRule type="expression" priority="11" dxfId="4" stopIfTrue="1">
      <formula>AND(ROUNDDOWN(($A$4-E13)/365.25,0)&lt;=14,G13&lt;&gt;"OK")</formula>
    </cfRule>
    <cfRule type="expression" priority="12" dxfId="3" stopIfTrue="1">
      <formula>AND(ROUNDDOWN(($A$4-E13)/365.25,0)&lt;=17,G13&lt;&gt;"OK")</formula>
    </cfRule>
  </conditionalFormatting>
  <conditionalFormatting sqref="B13:D13">
    <cfRule type="expression" priority="9" dxfId="2" stopIfTrue="1">
      <formula>$Q13&gt;=1</formula>
    </cfRule>
  </conditionalFormatting>
  <conditionalFormatting sqref="E13">
    <cfRule type="expression" priority="6" dxfId="5" stopIfTrue="1">
      <formula>AND(ROUNDDOWN(($A$4-E13)/365.25,0)&lt;=13,G13&lt;&gt;"OK")</formula>
    </cfRule>
    <cfRule type="expression" priority="7" dxfId="4" stopIfTrue="1">
      <formula>AND(ROUNDDOWN(($A$4-E13)/365.25,0)&lt;=14,G13&lt;&gt;"OK")</formula>
    </cfRule>
    <cfRule type="expression" priority="8" dxfId="3" stopIfTrue="1">
      <formula>AND(ROUNDDOWN(($A$4-E13)/365.25,0)&lt;=17,G13&lt;&gt;"OK")</formula>
    </cfRule>
  </conditionalFormatting>
  <conditionalFormatting sqref="B13:D13">
    <cfRule type="expression" priority="5" dxfId="2" stopIfTrue="1">
      <formula>$Q13&gt;=1</formula>
    </cfRule>
  </conditionalFormatting>
  <conditionalFormatting sqref="E13">
    <cfRule type="expression" priority="2" dxfId="5" stopIfTrue="1">
      <formula>AND(ROUNDDOWN(($A$4-E13)/365.25,0)&lt;=13,G13&lt;&gt;"OK")</formula>
    </cfRule>
    <cfRule type="expression" priority="3" dxfId="4" stopIfTrue="1">
      <formula>AND(ROUNDDOWN(($A$4-E13)/365.25,0)&lt;=14,G13&lt;&gt;"OK")</formula>
    </cfRule>
    <cfRule type="expression" priority="4" dxfId="3" stopIfTrue="1">
      <formula>AND(ROUNDDOWN(($A$4-E13)/365.25,0)&lt;=17,G13&lt;&gt;"OK")</formula>
    </cfRule>
  </conditionalFormatting>
  <conditionalFormatting sqref="B13:D13">
    <cfRule type="expression" priority="1" dxfId="2" stopIfTrue="1">
      <formula>$Q13&gt;=1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indexed="11"/>
  </sheetPr>
  <dimension ref="A1:AK51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6" t="str">
        <f>Altalanos!$A$6</f>
        <v>Match Point Play + Stay kupa</v>
      </c>
      <c r="B1" s="336"/>
      <c r="C1" s="336"/>
      <c r="D1" s="336"/>
      <c r="E1" s="336"/>
      <c r="F1" s="336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78" t="e">
        <f>IF(Y5=1,CONCATENATE(VLOOKUP(Y3,AA16:AH27,2)),CONCATENATE(VLOOKUP(Y3,AA2:AK13,2)))</f>
        <v>#N/A</v>
      </c>
      <c r="AC1" s="278" t="e">
        <f>IF(Y5=1,CONCATENATE(VLOOKUP(Y3,AA16:AK27,3)),CONCATENATE(VLOOKUP(Y3,AA2:AK13,3)))</f>
        <v>#N/A</v>
      </c>
      <c r="AD1" s="278" t="e">
        <f>IF(Y5=1,CONCATENATE(VLOOKUP(Y3,AA16:AK27,4)),CONCATENATE(VLOOKUP(Y3,AA2:AK13,4)))</f>
        <v>#N/A</v>
      </c>
      <c r="AE1" s="278" t="e">
        <f>IF(Y5=1,CONCATENATE(VLOOKUP(Y3,AA16:AK27,5)),CONCATENATE(VLOOKUP(Y3,AA2:AK13,5)))</f>
        <v>#N/A</v>
      </c>
      <c r="AF1" s="278" t="e">
        <f>IF(Y5=1,CONCATENATE(VLOOKUP(Y3,AA16:AK27,6)),CONCATENATE(VLOOKUP(Y3,AA2:AK13,6)))</f>
        <v>#N/A</v>
      </c>
      <c r="AG1" s="278" t="e">
        <f>IF(Y5=1,CONCATENATE(VLOOKUP(Y3,AA16:AK27,7)),CONCATENATE(VLOOKUP(Y3,AA2:AK13,7)))</f>
        <v>#N/A</v>
      </c>
      <c r="AH1" s="278" t="e">
        <f>IF(Y5=1,CONCATENATE(VLOOKUP(Y3,AA16:AK27,8)),CONCATENATE(VLOOKUP(Y3,AA2:AK13,8)))</f>
        <v>#N/A</v>
      </c>
      <c r="AI1" s="278" t="e">
        <f>IF(Y5=1,CONCATENATE(VLOOKUP(Y3,AA16:AK27,9)),CONCATENATE(VLOOKUP(Y3,AA2:AK13,9)))</f>
        <v>#N/A</v>
      </c>
      <c r="AJ1" s="278" t="e">
        <f>IF(Y5=1,CONCATENATE(VLOOKUP(Y3,AA16:AK27,10)),CONCATENATE(VLOOKUP(Y3,AA2:AK13,10)))</f>
        <v>#N/A</v>
      </c>
      <c r="AK1" s="278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183" t="str">
        <f>Altalanos!$A$8</f>
        <v>F8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0" t="s">
        <v>72</v>
      </c>
      <c r="R3" s="261" t="s">
        <v>78</v>
      </c>
      <c r="S3" s="261"/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2.75" thickBot="1">
      <c r="A4" s="337" t="str">
        <f>Altalanos!$A$10</f>
        <v>2022.02.05-06.</v>
      </c>
      <c r="B4" s="337"/>
      <c r="C4" s="337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Pázmándi Viktor</v>
      </c>
      <c r="M4" s="190"/>
      <c r="N4" s="216"/>
      <c r="O4" s="217"/>
      <c r="P4" s="216"/>
      <c r="Q4" s="262" t="s">
        <v>79</v>
      </c>
      <c r="R4" s="263" t="s">
        <v>74</v>
      </c>
      <c r="S4" s="263"/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4" t="s">
        <v>80</v>
      </c>
      <c r="R5" s="265" t="s">
        <v>76</v>
      </c>
      <c r="S5" s="265"/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52" t="s">
        <v>58</v>
      </c>
      <c r="B7" s="266">
        <v>2</v>
      </c>
      <c r="C7" s="205">
        <f>IF($B7="","",VLOOKUP($B7,'F8 ELO'!$A$7:$O$22,5))</f>
        <v>141004</v>
      </c>
      <c r="D7" s="205">
        <f>IF($B7="","",VLOOKUP($B7,'F8 ELO'!$A$7:$O$22,15))</f>
        <v>0</v>
      </c>
      <c r="E7" s="202" t="str">
        <f>UPPER(IF($B7="","",VLOOKUP($B7,'F8 ELO'!$A$7:$O$22,2)))</f>
        <v>HOLLÓSY</v>
      </c>
      <c r="F7" s="204"/>
      <c r="G7" s="202" t="str">
        <f>IF($B7="","",VLOOKUP($B7,'F8 ELO'!$A$7:$O$22,3))</f>
        <v>Nimród</v>
      </c>
      <c r="H7" s="204"/>
      <c r="I7" s="202" t="str">
        <f>IF($B7="","",VLOOKUP($B7,'F8 ELO'!$A$7:$O$22,4))</f>
        <v>Ten. Műhely</v>
      </c>
      <c r="J7" s="193"/>
      <c r="K7" s="279">
        <v>2</v>
      </c>
      <c r="L7" s="274" t="e">
        <f>IF(K7="","",CONCATENATE(VLOOKUP($Y$3,$AB$1:$AK$1,K7)," pont"))</f>
        <v>#N/A</v>
      </c>
      <c r="M7" s="280"/>
      <c r="N7" s="211"/>
      <c r="O7" s="211"/>
      <c r="P7" s="211"/>
      <c r="Q7" s="260" t="s">
        <v>72</v>
      </c>
      <c r="R7" s="314" t="s">
        <v>104</v>
      </c>
      <c r="S7" s="314" t="s">
        <v>106</v>
      </c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67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62" t="s">
        <v>79</v>
      </c>
      <c r="R8" s="315" t="s">
        <v>105</v>
      </c>
      <c r="S8" s="315" t="s">
        <v>107</v>
      </c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68">
        <v>6</v>
      </c>
      <c r="C9" s="205">
        <f>IF($B9="","",VLOOKUP($B9,'F8 ELO'!$A$7:$O$22,5))</f>
        <v>141221</v>
      </c>
      <c r="D9" s="205">
        <f>IF($B9="","",VLOOKUP($B9,'F8 ELO'!$A$7:$O$22,15))</f>
        <v>0</v>
      </c>
      <c r="E9" s="201" t="str">
        <f>UPPER(IF($B9="","",VLOOKUP($B9,'F8 ELO'!$A$7:$O$22,2)))</f>
        <v>GONZALES</v>
      </c>
      <c r="F9" s="206"/>
      <c r="G9" s="201" t="str">
        <f>IF($B9="","",VLOOKUP($B9,'F8 ELO'!$A$7:$O$22,3))</f>
        <v>Miron Ámon</v>
      </c>
      <c r="H9" s="206"/>
      <c r="I9" s="201" t="str">
        <f>IF($B9="","",VLOOKUP($B9,'F8 ELO'!$A$7:$O$22,4))</f>
        <v>Ten. Műhely</v>
      </c>
      <c r="J9" s="193"/>
      <c r="K9" s="279">
        <v>3</v>
      </c>
      <c r="L9" s="274" t="e">
        <f>IF(K9="","",CONCATENATE(VLOOKUP($Y$3,$AB$1:$AK$1,K9)," pont"))</f>
        <v>#N/A</v>
      </c>
      <c r="M9" s="280"/>
      <c r="N9" s="211"/>
      <c r="O9" s="211"/>
      <c r="P9" s="211"/>
      <c r="Q9" s="264" t="s">
        <v>80</v>
      </c>
      <c r="R9" s="316" t="s">
        <v>81</v>
      </c>
      <c r="S9" s="326" t="s">
        <v>108</v>
      </c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67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68">
        <v>5</v>
      </c>
      <c r="C11" s="205">
        <f>IF($B11="","",VLOOKUP($B11,'F8 ELO'!$A$7:$O$22,5))</f>
        <v>150511</v>
      </c>
      <c r="D11" s="205">
        <f>IF($B11="","",VLOOKUP($B11,'F8 ELO'!$A$7:$O$22,15))</f>
        <v>0</v>
      </c>
      <c r="E11" s="201" t="str">
        <f>UPPER(IF($B11="","",VLOOKUP($B11,'F8 ELO'!$A$7:$O$22,2)))</f>
        <v>SZABÓ</v>
      </c>
      <c r="F11" s="206"/>
      <c r="G11" s="201" t="str">
        <f>IF($B11="","",VLOOKUP($B11,'F8 ELO'!$A$7:$O$22,3))</f>
        <v>Tamás Dominik</v>
      </c>
      <c r="H11" s="206"/>
      <c r="I11" s="201" t="str">
        <f>IF($B11="","",VLOOKUP($B11,'F8 ELO'!$A$7:$O$22,4))</f>
        <v>Fehérvár Kiskút TK</v>
      </c>
      <c r="J11" s="193"/>
      <c r="K11" s="279">
        <v>5</v>
      </c>
      <c r="L11" s="274" t="e">
        <f>IF(K11="","",CONCATENATE(VLOOKUP($Y$3,$AB$1:$AK$1,K11)," pont"))</f>
        <v>#N/A</v>
      </c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.75">
      <c r="A12" s="193"/>
      <c r="B12" s="252"/>
      <c r="C12" s="247"/>
      <c r="D12" s="193"/>
      <c r="E12" s="193"/>
      <c r="F12" s="193"/>
      <c r="G12" s="193"/>
      <c r="H12" s="193"/>
      <c r="I12" s="193"/>
      <c r="J12" s="193"/>
      <c r="K12" s="247"/>
      <c r="L12" s="247"/>
      <c r="M12" s="282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.75">
      <c r="A13" s="252" t="s">
        <v>65</v>
      </c>
      <c r="B13" s="266">
        <v>1</v>
      </c>
      <c r="C13" s="205">
        <f>IF($B13="","",VLOOKUP($B13,'F8 ELO'!$A$7:$O$22,5))</f>
        <v>140317</v>
      </c>
      <c r="D13" s="205">
        <f>IF($B13="","",VLOOKUP($B13,'F8 ELO'!$A$7:$O$22,15))</f>
        <v>0</v>
      </c>
      <c r="E13" s="202" t="str">
        <f>UPPER(IF($B13="","",VLOOKUP($B13,'F8 ELO'!$A$7:$O$22,2)))</f>
        <v>TAMÁSI</v>
      </c>
      <c r="F13" s="204"/>
      <c r="G13" s="202" t="str">
        <f>IF($B13="","",VLOOKUP($B13,'F8 ELO'!$A$7:$O$22,3))</f>
        <v>Patrik</v>
      </c>
      <c r="H13" s="204"/>
      <c r="I13" s="202" t="str">
        <f>IF($B13="","",VLOOKUP($B13,'F8 ELO'!$A$7:$O$22,4))</f>
        <v>Ten. Műhely</v>
      </c>
      <c r="J13" s="193"/>
      <c r="K13" s="279">
        <v>6</v>
      </c>
      <c r="L13" s="274" t="e">
        <f>IF(K13="","",CONCATENATE(VLOOKUP($Y$3,$AB$1:$AK$1,K13)," pont"))</f>
        <v>#N/A</v>
      </c>
      <c r="M13" s="280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.75">
      <c r="A14" s="218"/>
      <c r="B14" s="267"/>
      <c r="C14" s="219"/>
      <c r="D14" s="219"/>
      <c r="E14" s="219"/>
      <c r="F14" s="219"/>
      <c r="G14" s="219"/>
      <c r="H14" s="219"/>
      <c r="I14" s="219"/>
      <c r="J14" s="193"/>
      <c r="K14" s="218"/>
      <c r="L14" s="218"/>
      <c r="M14" s="281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.75">
      <c r="A15" s="218" t="s">
        <v>66</v>
      </c>
      <c r="B15" s="268">
        <v>4</v>
      </c>
      <c r="C15" s="205">
        <f>IF($B15="","",VLOOKUP($B15,'F8 ELO'!$A$7:$O$22,5))</f>
        <v>140220</v>
      </c>
      <c r="D15" s="205">
        <f>IF($B15="","",VLOOKUP($B15,'F8 ELO'!$A$7:$O$22,15))</f>
        <v>0</v>
      </c>
      <c r="E15" s="201" t="str">
        <f>UPPER(IF($B15="","",VLOOKUP($B15,'F8 ELO'!$A$7:$O$22,2)))</f>
        <v>ALMAI</v>
      </c>
      <c r="F15" s="206"/>
      <c r="G15" s="201" t="str">
        <f>IF($B15="","",VLOOKUP($B15,'F8 ELO'!$A$7:$O$22,3))</f>
        <v>Sámuel</v>
      </c>
      <c r="H15" s="206"/>
      <c r="I15" s="201" t="str">
        <f>IF($B15="","",VLOOKUP($B15,'F8 ELO'!$A$7:$O$22,4))</f>
        <v>MTK</v>
      </c>
      <c r="J15" s="193"/>
      <c r="K15" s="279">
        <v>1</v>
      </c>
      <c r="L15" s="274" t="e">
        <f>IF(K15="","",CONCATENATE(VLOOKUP($Y$3,$AB$1:$AK$1,K15)," pont"))</f>
        <v>#N/A</v>
      </c>
      <c r="M15" s="280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.75">
      <c r="A16" s="218"/>
      <c r="B16" s="267"/>
      <c r="C16" s="219"/>
      <c r="D16" s="219"/>
      <c r="E16" s="219"/>
      <c r="F16" s="219"/>
      <c r="G16" s="219"/>
      <c r="H16" s="219"/>
      <c r="I16" s="219"/>
      <c r="J16" s="193"/>
      <c r="K16" s="218"/>
      <c r="L16" s="218"/>
      <c r="M16" s="281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.75">
      <c r="A17" s="218" t="s">
        <v>67</v>
      </c>
      <c r="B17" s="268">
        <v>3</v>
      </c>
      <c r="C17" s="205">
        <f>IF($B17="","",VLOOKUP($B17,'F8 ELO'!$A$7:$O$22,5))</f>
        <v>140901</v>
      </c>
      <c r="D17" s="205">
        <f>IF($B17="","",VLOOKUP($B17,'F8 ELO'!$A$7:$O$22,15))</f>
        <v>0</v>
      </c>
      <c r="E17" s="201" t="str">
        <f>UPPER(IF($B17="","",VLOOKUP($B17,'F8 ELO'!$A$7:$O$22,2)))</f>
        <v>HAJDÚ</v>
      </c>
      <c r="F17" s="206"/>
      <c r="G17" s="201" t="str">
        <f>IF($B17="","",VLOOKUP($B17,'F8 ELO'!$A$7:$O$22,3))</f>
        <v>Bálint</v>
      </c>
      <c r="H17" s="206"/>
      <c r="I17" s="201" t="str">
        <f>IF($B17="","",VLOOKUP($B17,'F8 ELO'!$A$7:$O$22,4))</f>
        <v>Ten. Műhely</v>
      </c>
      <c r="J17" s="193"/>
      <c r="K17" s="279">
        <v>7</v>
      </c>
      <c r="L17" s="274" t="e">
        <f>IF(K17="","",CONCATENATE(VLOOKUP($Y$3,$AB$1:$AK$1,K17)," pont"))</f>
        <v>#N/A</v>
      </c>
      <c r="M17" s="280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2.75">
      <c r="A18" s="218"/>
      <c r="B18" s="267"/>
      <c r="C18" s="219"/>
      <c r="D18" s="219"/>
      <c r="E18" s="219"/>
      <c r="F18" s="219"/>
      <c r="G18" s="219"/>
      <c r="H18" s="219"/>
      <c r="I18" s="219"/>
      <c r="J18" s="193"/>
      <c r="K18" s="218"/>
      <c r="L18" s="218"/>
      <c r="M18" s="281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2.75">
      <c r="A19" s="218" t="s">
        <v>71</v>
      </c>
      <c r="B19" s="268">
        <v>7</v>
      </c>
      <c r="C19" s="205" t="str">
        <f>IF($B19="","",VLOOKUP($B19,'F8 ELO'!$A$7:$O$22,5))</f>
        <v>140902</v>
      </c>
      <c r="D19" s="205">
        <f>IF($B19="","",VLOOKUP($B19,'F8 ELO'!$A$7:$O$22,15))</f>
        <v>0</v>
      </c>
      <c r="E19" s="201" t="str">
        <f>UPPER(IF($B19="","",VLOOKUP($B19,'F8 ELO'!$A$7:$O$22,2)))</f>
        <v>ZSIRAI </v>
      </c>
      <c r="F19" s="206"/>
      <c r="G19" s="201" t="str">
        <f>IF($B19="","",VLOOKUP($B19,'F8 ELO'!$A$7:$O$22,3))</f>
        <v>Noé</v>
      </c>
      <c r="H19" s="206"/>
      <c r="I19" s="201" t="str">
        <f>IF($B19="","",VLOOKUP($B19,'F8 ELO'!$A$7:$O$22,4))</f>
        <v>Fehérvár Kiskút TK</v>
      </c>
      <c r="J19" s="193"/>
      <c r="K19" s="279">
        <v>4</v>
      </c>
      <c r="L19" s="274" t="e">
        <f>IF(K19="","",CONCATENATE(VLOOKUP($Y$3,$AB$1:$AK$1,K19)," pont"))</f>
        <v>#N/A</v>
      </c>
      <c r="M19" s="280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2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2"/>
      <c r="Z20" s="272"/>
      <c r="AA20" s="272" t="s">
        <v>85</v>
      </c>
      <c r="AB20" s="272">
        <v>120</v>
      </c>
      <c r="AC20" s="272">
        <v>90</v>
      </c>
      <c r="AD20" s="272">
        <v>65</v>
      </c>
      <c r="AE20" s="272">
        <v>55</v>
      </c>
      <c r="AF20" s="272">
        <v>50</v>
      </c>
      <c r="AG20" s="272">
        <v>45</v>
      </c>
      <c r="AH20" s="272">
        <v>40</v>
      </c>
      <c r="AI20" s="272">
        <v>35</v>
      </c>
      <c r="AJ20" s="272">
        <v>25</v>
      </c>
      <c r="AK20" s="272">
        <v>20</v>
      </c>
    </row>
    <row r="21" spans="1:37" ht="12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2"/>
      <c r="Z21" s="272"/>
      <c r="AA21" s="272" t="s">
        <v>86</v>
      </c>
      <c r="AB21" s="272">
        <v>90</v>
      </c>
      <c r="AC21" s="272">
        <v>60</v>
      </c>
      <c r="AD21" s="272">
        <v>45</v>
      </c>
      <c r="AE21" s="272">
        <v>34</v>
      </c>
      <c r="AF21" s="272">
        <v>27</v>
      </c>
      <c r="AG21" s="272">
        <v>22</v>
      </c>
      <c r="AH21" s="272">
        <v>18</v>
      </c>
      <c r="AI21" s="272">
        <v>15</v>
      </c>
      <c r="AJ21" s="272">
        <v>12</v>
      </c>
      <c r="AK21" s="272">
        <v>9</v>
      </c>
    </row>
    <row r="22" spans="1:37" ht="18.75" customHeight="1">
      <c r="A22" s="193"/>
      <c r="B22" s="335"/>
      <c r="C22" s="335"/>
      <c r="D22" s="331" t="str">
        <f>E7</f>
        <v>HOLLÓSY</v>
      </c>
      <c r="E22" s="331"/>
      <c r="F22" s="331" t="str">
        <f>E9</f>
        <v>GONZALES</v>
      </c>
      <c r="G22" s="331"/>
      <c r="H22" s="331" t="str">
        <f>E11</f>
        <v>SZABÓ</v>
      </c>
      <c r="I22" s="331"/>
      <c r="J22" s="193"/>
      <c r="K22" s="193"/>
      <c r="L22" s="193"/>
      <c r="M22" s="253" t="s">
        <v>62</v>
      </c>
      <c r="Y22" s="272"/>
      <c r="Z22" s="272"/>
      <c r="AA22" s="272" t="s">
        <v>87</v>
      </c>
      <c r="AB22" s="272">
        <v>60</v>
      </c>
      <c r="AC22" s="272">
        <v>40</v>
      </c>
      <c r="AD22" s="272">
        <v>30</v>
      </c>
      <c r="AE22" s="272">
        <v>20</v>
      </c>
      <c r="AF22" s="272">
        <v>18</v>
      </c>
      <c r="AG22" s="272">
        <v>15</v>
      </c>
      <c r="AH22" s="272">
        <v>12</v>
      </c>
      <c r="AI22" s="272">
        <v>10</v>
      </c>
      <c r="AJ22" s="272">
        <v>8</v>
      </c>
      <c r="AK22" s="272">
        <v>6</v>
      </c>
    </row>
    <row r="23" spans="1:37" ht="18.75" customHeight="1">
      <c r="A23" s="251" t="s">
        <v>58</v>
      </c>
      <c r="B23" s="329" t="str">
        <f>E7</f>
        <v>HOLLÓSY</v>
      </c>
      <c r="C23" s="329"/>
      <c r="D23" s="328"/>
      <c r="E23" s="328"/>
      <c r="F23" s="330">
        <v>1513</v>
      </c>
      <c r="G23" s="330"/>
      <c r="H23" s="330">
        <v>154</v>
      </c>
      <c r="I23" s="330"/>
      <c r="J23" s="193"/>
      <c r="K23" s="193"/>
      <c r="L23" s="193"/>
      <c r="M23" s="255">
        <v>1</v>
      </c>
      <c r="Y23" s="272"/>
      <c r="Z23" s="272"/>
      <c r="AA23" s="272" t="s">
        <v>88</v>
      </c>
      <c r="AB23" s="272">
        <v>40</v>
      </c>
      <c r="AC23" s="272">
        <v>25</v>
      </c>
      <c r="AD23" s="272">
        <v>18</v>
      </c>
      <c r="AE23" s="272">
        <v>13</v>
      </c>
      <c r="AF23" s="272">
        <v>8</v>
      </c>
      <c r="AG23" s="272">
        <v>7</v>
      </c>
      <c r="AH23" s="272">
        <v>6</v>
      </c>
      <c r="AI23" s="272">
        <v>5</v>
      </c>
      <c r="AJ23" s="272">
        <v>4</v>
      </c>
      <c r="AK23" s="272">
        <v>3</v>
      </c>
    </row>
    <row r="24" spans="1:37" ht="18.75" customHeight="1">
      <c r="A24" s="251" t="s">
        <v>59</v>
      </c>
      <c r="B24" s="329" t="str">
        <f>E9</f>
        <v>GONZALES</v>
      </c>
      <c r="C24" s="329"/>
      <c r="D24" s="330">
        <v>1315</v>
      </c>
      <c r="E24" s="330"/>
      <c r="F24" s="328"/>
      <c r="G24" s="328"/>
      <c r="H24" s="330">
        <v>156</v>
      </c>
      <c r="I24" s="330"/>
      <c r="J24" s="193"/>
      <c r="K24" s="193"/>
      <c r="L24" s="193"/>
      <c r="M24" s="255">
        <v>2</v>
      </c>
      <c r="Y24" s="272"/>
      <c r="Z24" s="272"/>
      <c r="AA24" s="272" t="s">
        <v>89</v>
      </c>
      <c r="AB24" s="272">
        <v>25</v>
      </c>
      <c r="AC24" s="272">
        <v>15</v>
      </c>
      <c r="AD24" s="272">
        <v>13</v>
      </c>
      <c r="AE24" s="272">
        <v>7</v>
      </c>
      <c r="AF24" s="272">
        <v>6</v>
      </c>
      <c r="AG24" s="272">
        <v>5</v>
      </c>
      <c r="AH24" s="272">
        <v>4</v>
      </c>
      <c r="AI24" s="272">
        <v>3</v>
      </c>
      <c r="AJ24" s="272">
        <v>2</v>
      </c>
      <c r="AK24" s="272">
        <v>1</v>
      </c>
    </row>
    <row r="25" spans="1:37" ht="18.75" customHeight="1">
      <c r="A25" s="251" t="s">
        <v>60</v>
      </c>
      <c r="B25" s="329" t="str">
        <f>E11</f>
        <v>SZABÓ</v>
      </c>
      <c r="C25" s="329"/>
      <c r="D25" s="330">
        <v>415</v>
      </c>
      <c r="E25" s="330"/>
      <c r="F25" s="330">
        <v>615</v>
      </c>
      <c r="G25" s="330"/>
      <c r="H25" s="328"/>
      <c r="I25" s="328"/>
      <c r="J25" s="193"/>
      <c r="K25" s="193"/>
      <c r="L25" s="193"/>
      <c r="M25" s="255">
        <v>3</v>
      </c>
      <c r="Y25" s="272"/>
      <c r="Z25" s="272"/>
      <c r="AA25" s="272" t="s">
        <v>94</v>
      </c>
      <c r="AB25" s="272">
        <v>15</v>
      </c>
      <c r="AC25" s="272">
        <v>10</v>
      </c>
      <c r="AD25" s="272">
        <v>8</v>
      </c>
      <c r="AE25" s="272">
        <v>4</v>
      </c>
      <c r="AF25" s="272">
        <v>3</v>
      </c>
      <c r="AG25" s="272">
        <v>2</v>
      </c>
      <c r="AH25" s="272">
        <v>1</v>
      </c>
      <c r="AI25" s="272">
        <v>0</v>
      </c>
      <c r="AJ25" s="272">
        <v>0</v>
      </c>
      <c r="AK25" s="272">
        <v>0</v>
      </c>
    </row>
    <row r="26" spans="1:37" ht="1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56"/>
      <c r="Y26" s="272"/>
      <c r="Z26" s="272"/>
      <c r="AA26" s="272" t="s">
        <v>90</v>
      </c>
      <c r="AB26" s="272">
        <v>10</v>
      </c>
      <c r="AC26" s="272">
        <v>6</v>
      </c>
      <c r="AD26" s="272">
        <v>4</v>
      </c>
      <c r="AE26" s="272">
        <v>2</v>
      </c>
      <c r="AF26" s="272">
        <v>1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</row>
    <row r="27" spans="1:37" ht="18.75" customHeight="1">
      <c r="A27" s="193"/>
      <c r="B27" s="335"/>
      <c r="C27" s="335"/>
      <c r="D27" s="331" t="str">
        <f>E13</f>
        <v>TAMÁSI</v>
      </c>
      <c r="E27" s="331"/>
      <c r="F27" s="331" t="str">
        <f>E15</f>
        <v>ALMAI</v>
      </c>
      <c r="G27" s="331"/>
      <c r="H27" s="331" t="str">
        <f>E17</f>
        <v>HAJDÚ</v>
      </c>
      <c r="I27" s="331"/>
      <c r="J27" s="331" t="str">
        <f>E19</f>
        <v>ZSIRAI </v>
      </c>
      <c r="K27" s="331"/>
      <c r="L27" s="193"/>
      <c r="M27" s="256"/>
      <c r="Y27" s="272"/>
      <c r="Z27" s="272"/>
      <c r="AA27" s="272" t="s">
        <v>91</v>
      </c>
      <c r="AB27" s="272">
        <v>3</v>
      </c>
      <c r="AC27" s="272">
        <v>2</v>
      </c>
      <c r="AD27" s="272">
        <v>1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</row>
    <row r="28" spans="1:13" ht="18.75" customHeight="1">
      <c r="A28" s="251" t="s">
        <v>65</v>
      </c>
      <c r="B28" s="329" t="str">
        <f>E13</f>
        <v>TAMÁSI</v>
      </c>
      <c r="C28" s="329"/>
      <c r="D28" s="328"/>
      <c r="E28" s="328"/>
      <c r="F28" s="343" t="s">
        <v>181</v>
      </c>
      <c r="G28" s="342"/>
      <c r="H28" s="330">
        <v>1511</v>
      </c>
      <c r="I28" s="330"/>
      <c r="J28" s="331">
        <v>1015</v>
      </c>
      <c r="K28" s="331"/>
      <c r="L28" s="193"/>
      <c r="M28" s="255">
        <v>3</v>
      </c>
    </row>
    <row r="29" spans="1:13" ht="18.75" customHeight="1">
      <c r="A29" s="251" t="s">
        <v>66</v>
      </c>
      <c r="B29" s="329" t="str">
        <f>E15</f>
        <v>ALMAI</v>
      </c>
      <c r="C29" s="329"/>
      <c r="D29" s="330">
        <v>150</v>
      </c>
      <c r="E29" s="330"/>
      <c r="F29" s="328"/>
      <c r="G29" s="328"/>
      <c r="H29" s="330">
        <v>151</v>
      </c>
      <c r="I29" s="330"/>
      <c r="J29" s="330">
        <v>150</v>
      </c>
      <c r="K29" s="330"/>
      <c r="L29" s="193"/>
      <c r="M29" s="255">
        <v>1</v>
      </c>
    </row>
    <row r="30" spans="1:13" ht="18.75" customHeight="1">
      <c r="A30" s="251" t="s">
        <v>67</v>
      </c>
      <c r="B30" s="329" t="str">
        <f>E17</f>
        <v>HAJDÚ</v>
      </c>
      <c r="C30" s="329"/>
      <c r="D30" s="330">
        <v>1115</v>
      </c>
      <c r="E30" s="330"/>
      <c r="F30" s="330">
        <v>115</v>
      </c>
      <c r="G30" s="330"/>
      <c r="H30" s="328"/>
      <c r="I30" s="328"/>
      <c r="J30" s="330">
        <v>615</v>
      </c>
      <c r="K30" s="330"/>
      <c r="L30" s="193"/>
      <c r="M30" s="255">
        <v>4</v>
      </c>
    </row>
    <row r="31" spans="1:13" ht="18.75" customHeight="1">
      <c r="A31" s="251" t="s">
        <v>71</v>
      </c>
      <c r="B31" s="329" t="str">
        <f>E19</f>
        <v>ZSIRAI </v>
      </c>
      <c r="C31" s="329"/>
      <c r="D31" s="330">
        <v>1510</v>
      </c>
      <c r="E31" s="330"/>
      <c r="F31" s="343" t="s">
        <v>181</v>
      </c>
      <c r="G31" s="342"/>
      <c r="H31" s="331">
        <v>156</v>
      </c>
      <c r="I31" s="331"/>
      <c r="J31" s="328"/>
      <c r="K31" s="328"/>
      <c r="L31" s="193"/>
      <c r="M31" s="255">
        <v>2</v>
      </c>
    </row>
    <row r="32" spans="1:13" ht="18.75" customHeight="1">
      <c r="A32" s="257"/>
      <c r="B32" s="258"/>
      <c r="C32" s="258"/>
      <c r="D32" s="257"/>
      <c r="E32" s="257"/>
      <c r="F32" s="257"/>
      <c r="G32" s="257"/>
      <c r="H32" s="257"/>
      <c r="I32" s="257"/>
      <c r="J32" s="193"/>
      <c r="K32" s="193"/>
      <c r="L32" s="193"/>
      <c r="M32" s="259"/>
    </row>
    <row r="33" spans="1:13" ht="12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13" ht="12">
      <c r="A34" s="193" t="s">
        <v>52</v>
      </c>
      <c r="B34" s="193"/>
      <c r="C34" s="332" t="str">
        <f>IF(M23=1,B23,IF(M24=1,B24,IF(M25=1,B25,"")))</f>
        <v>HOLLÓSY</v>
      </c>
      <c r="D34" s="332"/>
      <c r="E34" s="218" t="s">
        <v>69</v>
      </c>
      <c r="F34" s="332" t="str">
        <f>IF(M28=1,B28,IF(M29=1,B29,IF(M30=1,B30,IF(M31=1,B31,""))))</f>
        <v>ALMAI</v>
      </c>
      <c r="G34" s="332"/>
      <c r="H34" s="193"/>
      <c r="I34" s="192">
        <v>615</v>
      </c>
      <c r="J34" s="193"/>
      <c r="K34" s="193"/>
      <c r="L34" s="193"/>
      <c r="M34" s="193"/>
    </row>
    <row r="35" spans="1:13" ht="12">
      <c r="A35" s="193"/>
      <c r="B35" s="193"/>
      <c r="C35" s="193"/>
      <c r="D35" s="193"/>
      <c r="E35" s="193"/>
      <c r="F35" s="218"/>
      <c r="G35" s="218"/>
      <c r="H35" s="193"/>
      <c r="I35" s="193"/>
      <c r="J35" s="193"/>
      <c r="K35" s="193"/>
      <c r="L35" s="193"/>
      <c r="M35" s="193"/>
    </row>
    <row r="36" spans="1:13" ht="12">
      <c r="A36" s="193" t="s">
        <v>68</v>
      </c>
      <c r="B36" s="193"/>
      <c r="C36" s="332" t="str">
        <f>IF(M23=2,B23,IF(M24=2,B24,IF(M25=2,B25,"")))</f>
        <v>GONZALES</v>
      </c>
      <c r="D36" s="332"/>
      <c r="E36" s="218" t="s">
        <v>69</v>
      </c>
      <c r="F36" s="332" t="str">
        <f>IF(M28=2,B28,IF(M29=2,B29,IF(M30=2,B30,IF(M31=2,B31,""))))</f>
        <v>ZSIRAI </v>
      </c>
      <c r="G36" s="332"/>
      <c r="H36" s="193"/>
      <c r="I36" s="192">
        <v>155</v>
      </c>
      <c r="J36" s="193"/>
      <c r="K36" s="193"/>
      <c r="L36" s="193"/>
      <c r="M36" s="193"/>
    </row>
    <row r="37" spans="1:13" ht="12">
      <c r="A37" s="193"/>
      <c r="B37" s="193"/>
      <c r="C37" s="254"/>
      <c r="D37" s="254"/>
      <c r="E37" s="218"/>
      <c r="F37" s="254"/>
      <c r="G37" s="254"/>
      <c r="H37" s="193"/>
      <c r="I37" s="193"/>
      <c r="J37" s="193"/>
      <c r="K37" s="193"/>
      <c r="L37" s="193"/>
      <c r="M37" s="193"/>
    </row>
    <row r="38" spans="1:13" ht="12">
      <c r="A38" s="193" t="s">
        <v>70</v>
      </c>
      <c r="B38" s="193"/>
      <c r="C38" s="332" t="str">
        <f>IF(M23=3,B23,IF(M24=3,B24,IF(M25=3,B25,"")))</f>
        <v>SZABÓ</v>
      </c>
      <c r="D38" s="332"/>
      <c r="E38" s="218" t="s">
        <v>69</v>
      </c>
      <c r="F38" s="332" t="str">
        <f>IF(M28=3,B28,IF(M29=3,B29,IF(M30=3,B30,IF(M31=3,B31,""))))</f>
        <v>TAMÁSI</v>
      </c>
      <c r="G38" s="332"/>
      <c r="H38" s="193"/>
      <c r="I38" s="192">
        <v>1715</v>
      </c>
      <c r="J38" s="193"/>
      <c r="K38" s="193"/>
      <c r="L38" s="193"/>
      <c r="M38" s="193"/>
    </row>
    <row r="39" spans="1:13" ht="12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9" ht="12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2"/>
      <c r="M40" s="193"/>
      <c r="O40" s="211"/>
      <c r="P40" s="211"/>
      <c r="Q40" s="211"/>
      <c r="R40" s="211"/>
      <c r="S40" s="211"/>
    </row>
    <row r="41" spans="1:19" ht="12">
      <c r="A41" s="110" t="s">
        <v>38</v>
      </c>
      <c r="B41" s="111"/>
      <c r="C41" s="165"/>
      <c r="D41" s="226" t="s">
        <v>2</v>
      </c>
      <c r="E41" s="227" t="s">
        <v>40</v>
      </c>
      <c r="F41" s="245"/>
      <c r="G41" s="226" t="s">
        <v>2</v>
      </c>
      <c r="H41" s="227" t="s">
        <v>49</v>
      </c>
      <c r="I41" s="119"/>
      <c r="J41" s="227" t="s">
        <v>50</v>
      </c>
      <c r="K41" s="118" t="s">
        <v>51</v>
      </c>
      <c r="L41" s="31"/>
      <c r="M41" s="245"/>
      <c r="O41" s="211"/>
      <c r="P41" s="220"/>
      <c r="Q41" s="220"/>
      <c r="R41" s="221"/>
      <c r="S41" s="211"/>
    </row>
    <row r="42" spans="1:19" ht="12">
      <c r="A42" s="196" t="s">
        <v>39</v>
      </c>
      <c r="B42" s="197"/>
      <c r="C42" s="198"/>
      <c r="D42" s="228">
        <v>1</v>
      </c>
      <c r="E42" s="333" t="str">
        <f>IF(D42&gt;$R$44,,UPPER(VLOOKUP(D42,'F8 ELO'!$A$7:$Q$134,2)))</f>
        <v>TAMÁSI</v>
      </c>
      <c r="F42" s="333"/>
      <c r="G42" s="239" t="s">
        <v>3</v>
      </c>
      <c r="H42" s="197"/>
      <c r="I42" s="229"/>
      <c r="J42" s="240"/>
      <c r="K42" s="194" t="s">
        <v>41</v>
      </c>
      <c r="L42" s="246"/>
      <c r="M42" s="230"/>
      <c r="O42" s="211"/>
      <c r="P42" s="222"/>
      <c r="Q42" s="222"/>
      <c r="R42" s="223"/>
      <c r="S42" s="211"/>
    </row>
    <row r="43" spans="1:19" ht="12">
      <c r="A43" s="199" t="s">
        <v>48</v>
      </c>
      <c r="B43" s="117"/>
      <c r="C43" s="200"/>
      <c r="D43" s="231">
        <v>2</v>
      </c>
      <c r="E43" s="334" t="str">
        <f>IF(D43&gt;$R$44,,UPPER(VLOOKUP(D43,'F8 ELO'!$A$7:$Q$134,2)))</f>
        <v>HOLLÓSY</v>
      </c>
      <c r="F43" s="334"/>
      <c r="G43" s="241" t="s">
        <v>4</v>
      </c>
      <c r="H43" s="232"/>
      <c r="I43" s="233"/>
      <c r="J43" s="82"/>
      <c r="K43" s="243"/>
      <c r="L43" s="192"/>
      <c r="M43" s="238"/>
      <c r="O43" s="211"/>
      <c r="P43" s="223"/>
      <c r="Q43" s="224"/>
      <c r="R43" s="223"/>
      <c r="S43" s="211"/>
    </row>
    <row r="44" spans="1:19" ht="12">
      <c r="A44" s="132"/>
      <c r="B44" s="133"/>
      <c r="C44" s="134"/>
      <c r="D44" s="231"/>
      <c r="E44" s="235"/>
      <c r="F44" s="236"/>
      <c r="G44" s="241" t="s">
        <v>5</v>
      </c>
      <c r="H44" s="232"/>
      <c r="I44" s="233"/>
      <c r="J44" s="82"/>
      <c r="K44" s="194" t="s">
        <v>42</v>
      </c>
      <c r="L44" s="246"/>
      <c r="M44" s="230"/>
      <c r="O44" s="211"/>
      <c r="P44" s="222"/>
      <c r="Q44" s="222"/>
      <c r="R44" s="225">
        <f>MIN(4,'F8 ELO'!Q2)</f>
        <v>4</v>
      </c>
      <c r="S44" s="211"/>
    </row>
    <row r="45" spans="1:19" ht="12">
      <c r="A45" s="112"/>
      <c r="B45" s="163"/>
      <c r="C45" s="113"/>
      <c r="D45" s="231"/>
      <c r="E45" s="235"/>
      <c r="F45" s="236"/>
      <c r="G45" s="241" t="s">
        <v>6</v>
      </c>
      <c r="H45" s="232"/>
      <c r="I45" s="233"/>
      <c r="J45" s="82"/>
      <c r="K45" s="244"/>
      <c r="L45" s="236"/>
      <c r="M45" s="234"/>
      <c r="O45" s="211"/>
      <c r="P45" s="223"/>
      <c r="Q45" s="224"/>
      <c r="R45" s="223"/>
      <c r="S45" s="211"/>
    </row>
    <row r="46" spans="1:19" ht="12">
      <c r="A46" s="121"/>
      <c r="B46" s="135"/>
      <c r="C46" s="164"/>
      <c r="D46" s="231"/>
      <c r="E46" s="235"/>
      <c r="F46" s="236"/>
      <c r="G46" s="241" t="s">
        <v>7</v>
      </c>
      <c r="H46" s="232"/>
      <c r="I46" s="233"/>
      <c r="J46" s="82"/>
      <c r="K46" s="199"/>
      <c r="L46" s="192"/>
      <c r="M46" s="238"/>
      <c r="O46" s="211"/>
      <c r="P46" s="223"/>
      <c r="Q46" s="224"/>
      <c r="R46" s="223"/>
      <c r="S46" s="211"/>
    </row>
    <row r="47" spans="1:19" ht="12">
      <c r="A47" s="122"/>
      <c r="B47" s="138"/>
      <c r="C47" s="113"/>
      <c r="D47" s="231"/>
      <c r="E47" s="235"/>
      <c r="F47" s="236"/>
      <c r="G47" s="241" t="s">
        <v>8</v>
      </c>
      <c r="H47" s="232"/>
      <c r="I47" s="233"/>
      <c r="J47" s="82"/>
      <c r="K47" s="194" t="s">
        <v>31</v>
      </c>
      <c r="L47" s="246"/>
      <c r="M47" s="230"/>
      <c r="O47" s="211"/>
      <c r="P47" s="222"/>
      <c r="Q47" s="222"/>
      <c r="R47" s="223"/>
      <c r="S47" s="211"/>
    </row>
    <row r="48" spans="1:19" ht="12">
      <c r="A48" s="122"/>
      <c r="B48" s="138"/>
      <c r="C48" s="130"/>
      <c r="D48" s="231"/>
      <c r="E48" s="235"/>
      <c r="F48" s="236"/>
      <c r="G48" s="241" t="s">
        <v>9</v>
      </c>
      <c r="H48" s="232"/>
      <c r="I48" s="233"/>
      <c r="J48" s="82"/>
      <c r="K48" s="244"/>
      <c r="L48" s="236"/>
      <c r="M48" s="234"/>
      <c r="O48" s="211"/>
      <c r="P48" s="223"/>
      <c r="Q48" s="224"/>
      <c r="R48" s="223"/>
      <c r="S48" s="211"/>
    </row>
    <row r="49" spans="1:19" ht="12">
      <c r="A49" s="123"/>
      <c r="B49" s="120"/>
      <c r="C49" s="131"/>
      <c r="D49" s="237"/>
      <c r="E49" s="114"/>
      <c r="F49" s="192"/>
      <c r="G49" s="242" t="s">
        <v>10</v>
      </c>
      <c r="H49" s="117"/>
      <c r="I49" s="195"/>
      <c r="J49" s="115"/>
      <c r="K49" s="199" t="str">
        <f>L4</f>
        <v>Pázmándi Viktor</v>
      </c>
      <c r="L49" s="192"/>
      <c r="M49" s="238"/>
      <c r="O49" s="211"/>
      <c r="P49" s="223"/>
      <c r="Q49" s="224"/>
      <c r="R49" s="225"/>
      <c r="S49" s="211"/>
    </row>
    <row r="50" spans="15:19" ht="12">
      <c r="O50" s="211"/>
      <c r="P50" s="211"/>
      <c r="Q50" s="211"/>
      <c r="R50" s="211"/>
      <c r="S50" s="211"/>
    </row>
    <row r="51" spans="15:19" ht="12">
      <c r="O51" s="211"/>
      <c r="P51" s="211"/>
      <c r="Q51" s="211"/>
      <c r="R51" s="211"/>
      <c r="S51" s="211"/>
    </row>
  </sheetData>
  <sheetProtection/>
  <mergeCells count="51"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  <mergeCell ref="B25:C25"/>
    <mergeCell ref="D25:E25"/>
    <mergeCell ref="F25:G25"/>
    <mergeCell ref="H25:I25"/>
    <mergeCell ref="B24:C24"/>
    <mergeCell ref="D24:E24"/>
    <mergeCell ref="F24:G24"/>
    <mergeCell ref="H24:I24"/>
    <mergeCell ref="B28:C28"/>
    <mergeCell ref="D28:E28"/>
    <mergeCell ref="F28:G28"/>
    <mergeCell ref="H28:I28"/>
    <mergeCell ref="B27:C27"/>
    <mergeCell ref="D27:E27"/>
    <mergeCell ref="F27:G27"/>
    <mergeCell ref="H27:I27"/>
    <mergeCell ref="D30:E30"/>
    <mergeCell ref="F30:G30"/>
    <mergeCell ref="H30:I30"/>
    <mergeCell ref="B29:C29"/>
    <mergeCell ref="D29:E29"/>
    <mergeCell ref="F29:G29"/>
    <mergeCell ref="H29:I29"/>
    <mergeCell ref="C38:D38"/>
    <mergeCell ref="F38:G38"/>
    <mergeCell ref="E42:F42"/>
    <mergeCell ref="E43:F43"/>
    <mergeCell ref="C34:D34"/>
    <mergeCell ref="F34:G34"/>
    <mergeCell ref="C36:D36"/>
    <mergeCell ref="F36:G36"/>
    <mergeCell ref="J31:K31"/>
    <mergeCell ref="B31:C31"/>
    <mergeCell ref="D31:E31"/>
    <mergeCell ref="F31:G31"/>
    <mergeCell ref="H31:I31"/>
    <mergeCell ref="J27:K27"/>
    <mergeCell ref="J28:K28"/>
    <mergeCell ref="J29:K29"/>
    <mergeCell ref="J30:K30"/>
    <mergeCell ref="B30:C30"/>
  </mergeCells>
  <conditionalFormatting sqref="R49 R44">
    <cfRule type="expression" priority="1" dxfId="0" stopIfTrue="1">
      <formula>$O$1="CU"</formula>
    </cfRule>
  </conditionalFormatting>
  <conditionalFormatting sqref="E7 E9 E11 E13 E15 E17 E19">
    <cfRule type="cellIs" priority="2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C9" sqref="C9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300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Match Point Play + 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21" t="str">
        <f>Altalanos!$B$8</f>
        <v>L8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2022.02.05-06.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Pázmándi Viktor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324" t="s">
        <v>140</v>
      </c>
      <c r="C7" s="324" t="s">
        <v>141</v>
      </c>
      <c r="D7" s="324" t="s">
        <v>142</v>
      </c>
      <c r="E7" s="324">
        <v>150311</v>
      </c>
      <c r="F7" s="286"/>
      <c r="G7" s="287"/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4" t="s">
        <v>143</v>
      </c>
      <c r="C8" s="345" t="s">
        <v>185</v>
      </c>
      <c r="D8" s="324" t="s">
        <v>124</v>
      </c>
      <c r="E8" s="324">
        <v>150904</v>
      </c>
      <c r="F8" s="288"/>
      <c r="G8" s="289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4" t="s">
        <v>144</v>
      </c>
      <c r="C9" s="324" t="s">
        <v>145</v>
      </c>
      <c r="D9" s="324" t="s">
        <v>131</v>
      </c>
      <c r="E9" s="324">
        <v>141220</v>
      </c>
      <c r="F9" s="288"/>
      <c r="G9" s="289"/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324" t="s">
        <v>146</v>
      </c>
      <c r="C10" s="324" t="s">
        <v>147</v>
      </c>
      <c r="D10" s="324" t="s">
        <v>124</v>
      </c>
      <c r="E10" s="324">
        <v>140714</v>
      </c>
      <c r="F10" s="288"/>
      <c r="G10" s="289"/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324" t="s">
        <v>148</v>
      </c>
      <c r="C11" s="324" t="s">
        <v>149</v>
      </c>
      <c r="D11" s="324" t="s">
        <v>150</v>
      </c>
      <c r="E11" s="324">
        <v>140319</v>
      </c>
      <c r="F11" s="288"/>
      <c r="G11" s="289"/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324" t="s">
        <v>151</v>
      </c>
      <c r="C12" s="324" t="s">
        <v>152</v>
      </c>
      <c r="D12" s="324" t="s">
        <v>153</v>
      </c>
      <c r="E12" s="324">
        <v>140711</v>
      </c>
      <c r="F12" s="288"/>
      <c r="G12" s="289"/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90"/>
      <c r="C13" s="90"/>
      <c r="D13" s="91"/>
      <c r="E13" s="162"/>
      <c r="F13" s="288"/>
      <c r="G13" s="289"/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90"/>
      <c r="C14" s="90"/>
      <c r="D14" s="91"/>
      <c r="E14" s="162"/>
      <c r="F14" s="288"/>
      <c r="G14" s="289"/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13:E156">
    <cfRule type="expression" priority="16" dxfId="5" stopIfTrue="1">
      <formula>AND(ROUNDDOWN(($A$4-E13)/365.25,0)&lt;=13,G13&lt;&gt;"OK")</formula>
    </cfRule>
    <cfRule type="expression" priority="17" dxfId="4" stopIfTrue="1">
      <formula>AND(ROUNDDOWN(($A$4-E13)/365.25,0)&lt;=14,G13&lt;&gt;"OK")</formula>
    </cfRule>
    <cfRule type="expression" priority="18" dxfId="3" stopIfTrue="1">
      <formula>AND(ROUNDDOWN(($A$4-E13)/365.25,0)&lt;=17,G13&lt;&gt;"OK")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13:D156 A7:A12">
    <cfRule type="expression" priority="14" dxfId="2" stopIfTrue="1">
      <formula>$Q7&gt;=1</formula>
    </cfRule>
  </conditionalFormatting>
  <conditionalFormatting sqref="E13:E14">
    <cfRule type="expression" priority="11" dxfId="5" stopIfTrue="1">
      <formula>AND(ROUNDDOWN(($A$4-E13)/365.25,0)&lt;=13,G13&lt;&gt;"OK")</formula>
    </cfRule>
    <cfRule type="expression" priority="12" dxfId="4" stopIfTrue="1">
      <formula>AND(ROUNDDOWN(($A$4-E13)/365.25,0)&lt;=14,G13&lt;&gt;"OK")</formula>
    </cfRule>
    <cfRule type="expression" priority="13" dxfId="3" stopIfTrue="1">
      <formula>AND(ROUNDDOWN(($A$4-E13)/365.25,0)&lt;=17,G13&lt;&gt;"OK")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13:D14">
    <cfRule type="expression" priority="9" dxfId="2" stopIfTrue="1">
      <formula>$Q13&gt;=1</formula>
    </cfRule>
  </conditionalFormatting>
  <conditionalFormatting sqref="E13:E14">
    <cfRule type="expression" priority="6" dxfId="5" stopIfTrue="1">
      <formula>AND(ROUNDDOWN(($A$4-E13)/365.25,0)&lt;=13,G13&lt;&gt;"OK")</formula>
    </cfRule>
    <cfRule type="expression" priority="7" dxfId="4" stopIfTrue="1">
      <formula>AND(ROUNDDOWN(($A$4-E13)/365.25,0)&lt;=14,G13&lt;&gt;"OK")</formula>
    </cfRule>
    <cfRule type="expression" priority="8" dxfId="3" stopIfTrue="1">
      <formula>AND(ROUNDDOWN(($A$4-E13)/365.25,0)&lt;=17,G13&lt;&gt;"OK")</formula>
    </cfRule>
  </conditionalFormatting>
  <conditionalFormatting sqref="B13:D14">
    <cfRule type="expression" priority="5" dxfId="2" stopIfTrue="1">
      <formula>$Q13&gt;=1</formula>
    </cfRule>
  </conditionalFormatting>
  <conditionalFormatting sqref="E13:E27 E29:E37">
    <cfRule type="expression" priority="2" dxfId="5" stopIfTrue="1">
      <formula>AND(ROUNDDOWN(($A$4-E13)/365.25,0)&lt;=13,G13&lt;&gt;"OK")</formula>
    </cfRule>
    <cfRule type="expression" priority="3" dxfId="4" stopIfTrue="1">
      <formula>AND(ROUNDDOWN(($A$4-E13)/365.25,0)&lt;=14,G13&lt;&gt;"OK")</formula>
    </cfRule>
    <cfRule type="expression" priority="4" dxfId="3" stopIfTrue="1">
      <formula>AND(ROUNDDOWN(($A$4-E13)/365.25,0)&lt;=17,G13&lt;&gt;"OK")</formula>
    </cfRule>
  </conditionalFormatting>
  <conditionalFormatting sqref="B13:D37">
    <cfRule type="expression" priority="1" dxfId="2" stopIfTrue="1">
      <formula>$Q13&gt;=1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5">
    <tabColor indexed="11"/>
  </sheetPr>
  <dimension ref="A1:AK4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6" t="str">
        <f>Altalanos!$A$6</f>
        <v>Match Point Play + Stay kupa</v>
      </c>
      <c r="B1" s="336"/>
      <c r="C1" s="336"/>
      <c r="D1" s="336"/>
      <c r="E1" s="336"/>
      <c r="F1" s="336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78" t="e">
        <f>IF(Y5=1,CONCATENATE(VLOOKUP(Y3,AA16:AH27,2)),CONCATENATE(VLOOKUP(Y3,AA2:AK13,2)))</f>
        <v>#N/A</v>
      </c>
      <c r="AC1" s="278" t="e">
        <f>IF(Y5=1,CONCATENATE(VLOOKUP(Y3,AA16:AK27,3)),CONCATENATE(VLOOKUP(Y3,AA2:AK13,3)))</f>
        <v>#N/A</v>
      </c>
      <c r="AD1" s="278" t="e">
        <f>IF(Y5=1,CONCATENATE(VLOOKUP(Y3,AA16:AK27,4)),CONCATENATE(VLOOKUP(Y3,AA2:AK13,4)))</f>
        <v>#N/A</v>
      </c>
      <c r="AE1" s="278" t="e">
        <f>IF(Y5=1,CONCATENATE(VLOOKUP(Y3,AA16:AK27,5)),CONCATENATE(VLOOKUP(Y3,AA2:AK13,5)))</f>
        <v>#N/A</v>
      </c>
      <c r="AF1" s="278" t="e">
        <f>IF(Y5=1,CONCATENATE(VLOOKUP(Y3,AA16:AK27,6)),CONCATENATE(VLOOKUP(Y3,AA2:AK13,6)))</f>
        <v>#N/A</v>
      </c>
      <c r="AG1" s="278" t="e">
        <f>IF(Y5=1,CONCATENATE(VLOOKUP(Y3,AA16:AK27,7)),CONCATENATE(VLOOKUP(Y3,AA2:AK13,7)))</f>
        <v>#N/A</v>
      </c>
      <c r="AH1" s="278" t="e">
        <f>IF(Y5=1,CONCATENATE(VLOOKUP(Y3,AA16:AK27,8)),CONCATENATE(VLOOKUP(Y3,AA2:AK13,8)))</f>
        <v>#N/A</v>
      </c>
      <c r="AI1" s="278" t="e">
        <f>IF(Y5=1,CONCATENATE(VLOOKUP(Y3,AA16:AK27,9)),CONCATENATE(VLOOKUP(Y3,AA2:AK13,9)))</f>
        <v>#N/A</v>
      </c>
      <c r="AJ1" s="278" t="e">
        <f>IF(Y5=1,CONCATENATE(VLOOKUP(Y3,AA16:AK27,10)),CONCATENATE(VLOOKUP(Y3,AA2:AK13,10)))</f>
        <v>#N/A</v>
      </c>
      <c r="AK1" s="278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22" t="str">
        <f>Altalanos!$B$8</f>
        <v>L8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2.75" thickBot="1">
      <c r="A4" s="337" t="str">
        <f>Altalanos!$A$10</f>
        <v>2022.02.05-06.</v>
      </c>
      <c r="B4" s="337"/>
      <c r="C4" s="337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Pázmándi Viktor</v>
      </c>
      <c r="M4" s="190"/>
      <c r="N4" s="216"/>
      <c r="O4" s="217"/>
      <c r="P4" s="216"/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60" t="s">
        <v>72</v>
      </c>
      <c r="P5" s="261" t="s">
        <v>78</v>
      </c>
      <c r="Q5" s="211"/>
      <c r="R5" s="260" t="s">
        <v>72</v>
      </c>
      <c r="S5" s="314" t="s">
        <v>104</v>
      </c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62" t="s">
        <v>79</v>
      </c>
      <c r="P6" s="263" t="s">
        <v>74</v>
      </c>
      <c r="Q6" s="211"/>
      <c r="R6" s="262" t="s">
        <v>79</v>
      </c>
      <c r="S6" s="315" t="s">
        <v>105</v>
      </c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52" t="s">
        <v>58</v>
      </c>
      <c r="B7" s="266">
        <v>5</v>
      </c>
      <c r="C7" s="205">
        <f>IF($B7="","",VLOOKUP($B7,'L8 ELO'!$A$7:$O$22,5))</f>
        <v>140319</v>
      </c>
      <c r="D7" s="205">
        <f>IF($B7="","",VLOOKUP($B7,'L8 ELO'!$A$7:$O$22,15))</f>
        <v>0</v>
      </c>
      <c r="E7" s="202" t="str">
        <f>UPPER(IF($B7="","",VLOOKUP($B7,'L8 ELO'!$A$7:$O$22,2)))</f>
        <v>HUANG</v>
      </c>
      <c r="F7" s="204"/>
      <c r="G7" s="202" t="str">
        <f>IF($B7="","",VLOOKUP($B7,'L8 ELO'!$A$7:$O$22,3))</f>
        <v>Sio Hei</v>
      </c>
      <c r="H7" s="204"/>
      <c r="I7" s="202" t="str">
        <f>IF($B7="","",VLOOKUP($B7,'L8 ELO'!$A$7:$O$22,4))</f>
        <v>Dunakeszi TK</v>
      </c>
      <c r="J7" s="193"/>
      <c r="K7" s="279">
        <v>3</v>
      </c>
      <c r="L7" s="274" t="e">
        <f>IF(K7="","",CONCATENATE(VLOOKUP($Y$3,$AB$1:$AK$1,K7)," pont"))</f>
        <v>#N/A</v>
      </c>
      <c r="M7" s="280"/>
      <c r="N7" s="211"/>
      <c r="O7" s="264" t="s">
        <v>80</v>
      </c>
      <c r="P7" s="265" t="s">
        <v>76</v>
      </c>
      <c r="Q7" s="211"/>
      <c r="R7" s="264" t="s">
        <v>80</v>
      </c>
      <c r="S7" s="316" t="s">
        <v>81</v>
      </c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67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11"/>
      <c r="R8" s="211"/>
      <c r="S8" s="211"/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68">
        <v>6</v>
      </c>
      <c r="C9" s="205">
        <f>IF($B9="","",VLOOKUP($B9,'L8 ELO'!$A$7:$O$22,5))</f>
        <v>140711</v>
      </c>
      <c r="D9" s="205">
        <f>IF($B9="","",VLOOKUP($B9,'L8 ELO'!$A$7:$O$22,15))</f>
        <v>0</v>
      </c>
      <c r="E9" s="201" t="str">
        <f>UPPER(IF($B9="","",VLOOKUP($B9,'L8 ELO'!$A$7:$O$22,2)))</f>
        <v>KOCSIS- MIREISZ</v>
      </c>
      <c r="F9" s="206"/>
      <c r="G9" s="201" t="str">
        <f>IF($B9="","",VLOOKUP($B9,'L8 ELO'!$A$7:$O$22,3))</f>
        <v>Hanga</v>
      </c>
      <c r="H9" s="206"/>
      <c r="I9" s="201" t="str">
        <f>IF($B9="","",VLOOKUP($B9,'L8 ELO'!$A$7:$O$22,4))</f>
        <v>Optofit SE</v>
      </c>
      <c r="J9" s="193"/>
      <c r="K9" s="279">
        <v>1</v>
      </c>
      <c r="L9" s="274" t="e">
        <f>IF(K9="","",CONCATENATE(VLOOKUP($Y$3,$AB$1:$AK$1,K9)," pont"))</f>
        <v>#N/A</v>
      </c>
      <c r="M9" s="280"/>
      <c r="N9" s="211"/>
      <c r="O9" s="211"/>
      <c r="P9" s="211"/>
      <c r="Q9" s="211"/>
      <c r="R9" s="211"/>
      <c r="S9" s="211"/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67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68">
        <v>2</v>
      </c>
      <c r="C11" s="205">
        <f>IF($B11="","",VLOOKUP($B11,'L8 ELO'!$A$7:$O$22,5))</f>
        <v>150904</v>
      </c>
      <c r="D11" s="205">
        <f>IF($B11="","",VLOOKUP($B11,'L8 ELO'!$A$7:$O$22,15))</f>
        <v>0</v>
      </c>
      <c r="E11" s="201" t="str">
        <f>UPPER(IF($B11="","",VLOOKUP($B11,'L8 ELO'!$A$7:$O$22,2)))</f>
        <v>BEVIZ</v>
      </c>
      <c r="F11" s="206"/>
      <c r="G11" s="201" t="str">
        <f>IF($B11="","",VLOOKUP($B11,'L8 ELO'!$A$7:$O$22,3))</f>
        <v>Natasa</v>
      </c>
      <c r="H11" s="206"/>
      <c r="I11" s="201" t="str">
        <f>IF($B11="","",VLOOKUP($B11,'L8 ELO'!$A$7:$O$22,4))</f>
        <v>Ten. Műhely</v>
      </c>
      <c r="J11" s="193"/>
      <c r="K11" s="279">
        <v>6</v>
      </c>
      <c r="L11" s="274" t="e">
        <f>IF(K11="","",CONCATENATE(VLOOKUP($Y$3,$AB$1:$AK$1,K11)," pont"))</f>
        <v>#N/A</v>
      </c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.75">
      <c r="A12" s="193"/>
      <c r="B12" s="252"/>
      <c r="C12" s="247"/>
      <c r="D12" s="193"/>
      <c r="E12" s="193"/>
      <c r="F12" s="193"/>
      <c r="G12" s="193"/>
      <c r="H12" s="193"/>
      <c r="I12" s="193"/>
      <c r="J12" s="193"/>
      <c r="K12" s="247"/>
      <c r="L12" s="247"/>
      <c r="M12" s="282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.75">
      <c r="A13" s="252" t="s">
        <v>65</v>
      </c>
      <c r="B13" s="266">
        <v>1</v>
      </c>
      <c r="C13" s="205">
        <f>IF($B13="","",VLOOKUP($B13,'L8 ELO'!$A$7:$O$22,5))</f>
        <v>150311</v>
      </c>
      <c r="D13" s="205">
        <f>IF($B13="","",VLOOKUP($B13,'L8 ELO'!$A$7:$O$22,15))</f>
        <v>0</v>
      </c>
      <c r="E13" s="202" t="str">
        <f>UPPER(IF($B13="","",VLOOKUP($B13,'L8 ELO'!$A$7:$O$22,2)))</f>
        <v>VARGA</v>
      </c>
      <c r="F13" s="204"/>
      <c r="G13" s="202" t="str">
        <f>IF($B13="","",VLOOKUP($B13,'L8 ELO'!$A$7:$O$22,3))</f>
        <v>Karolina</v>
      </c>
      <c r="H13" s="204"/>
      <c r="I13" s="202" t="str">
        <f>IF($B13="","",VLOOKUP($B13,'L8 ELO'!$A$7:$O$22,4))</f>
        <v>Bíbic TC</v>
      </c>
      <c r="J13" s="193"/>
      <c r="K13" s="279">
        <v>2</v>
      </c>
      <c r="L13" s="274" t="e">
        <f>IF(K13="","",CONCATENATE(VLOOKUP($Y$3,$AB$1:$AK$1,K13)," pont"))</f>
        <v>#N/A</v>
      </c>
      <c r="M13" s="280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.75">
      <c r="A14" s="218"/>
      <c r="B14" s="267"/>
      <c r="C14" s="219"/>
      <c r="D14" s="219"/>
      <c r="E14" s="219"/>
      <c r="F14" s="219"/>
      <c r="G14" s="219"/>
      <c r="H14" s="219"/>
      <c r="I14" s="219"/>
      <c r="J14" s="193"/>
      <c r="K14" s="218"/>
      <c r="L14" s="218"/>
      <c r="M14" s="281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.75">
      <c r="A15" s="218" t="s">
        <v>66</v>
      </c>
      <c r="B15" s="268">
        <v>4</v>
      </c>
      <c r="C15" s="205">
        <f>IF($B15="","",VLOOKUP($B15,'L8 ELO'!$A$7:$O$22,5))</f>
        <v>140714</v>
      </c>
      <c r="D15" s="205">
        <f>IF($B15="","",VLOOKUP($B15,'L8 ELO'!$A$7:$O$22,15))</f>
        <v>0</v>
      </c>
      <c r="E15" s="201" t="str">
        <f>UPPER(IF($B15="","",VLOOKUP($B15,'L8 ELO'!$A$7:$O$22,2)))</f>
        <v>ORBÁN</v>
      </c>
      <c r="F15" s="206"/>
      <c r="G15" s="201" t="str">
        <f>IF($B15="","",VLOOKUP($B15,'L8 ELO'!$A$7:$O$22,3))</f>
        <v>Abigél Katalin</v>
      </c>
      <c r="H15" s="206"/>
      <c r="I15" s="201" t="str">
        <f>IF($B15="","",VLOOKUP($B15,'L8 ELO'!$A$7:$O$22,4))</f>
        <v>Ten. Műhely</v>
      </c>
      <c r="J15" s="193"/>
      <c r="K15" s="279">
        <v>5</v>
      </c>
      <c r="L15" s="274" t="e">
        <f>IF(K15="","",CONCATENATE(VLOOKUP($Y$3,$AB$1:$AK$1,K15)," pont"))</f>
        <v>#N/A</v>
      </c>
      <c r="M15" s="280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.75">
      <c r="A16" s="218"/>
      <c r="B16" s="267"/>
      <c r="C16" s="219"/>
      <c r="D16" s="219"/>
      <c r="E16" s="219"/>
      <c r="F16" s="219"/>
      <c r="G16" s="219"/>
      <c r="H16" s="219"/>
      <c r="I16" s="219"/>
      <c r="J16" s="193"/>
      <c r="K16" s="218"/>
      <c r="L16" s="218"/>
      <c r="M16" s="281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.75">
      <c r="A17" s="218" t="s">
        <v>67</v>
      </c>
      <c r="B17" s="268">
        <v>3</v>
      </c>
      <c r="C17" s="205">
        <f>IF($B17="","",VLOOKUP($B17,'L8 ELO'!$A$7:$O$22,5))</f>
        <v>141220</v>
      </c>
      <c r="D17" s="205">
        <f>IF($B17="","",VLOOKUP($B17,'L8 ELO'!$A$7:$O$22,15))</f>
        <v>0</v>
      </c>
      <c r="E17" s="201" t="str">
        <f>UPPER(IF($B17="","",VLOOKUP($B17,'L8 ELO'!$A$7:$O$22,2)))</f>
        <v>NÁRAY</v>
      </c>
      <c r="F17" s="206"/>
      <c r="G17" s="201" t="str">
        <f>IF($B17="","",VLOOKUP($B17,'L8 ELO'!$A$7:$O$22,3))</f>
        <v>Júlia</v>
      </c>
      <c r="H17" s="206"/>
      <c r="I17" s="201" t="str">
        <f>IF($B17="","",VLOOKUP($B17,'L8 ELO'!$A$7:$O$22,4))</f>
        <v>MTK</v>
      </c>
      <c r="J17" s="193"/>
      <c r="K17" s="279">
        <v>4</v>
      </c>
      <c r="L17" s="274" t="e">
        <f>IF(K17="","",CONCATENATE(VLOOKUP($Y$3,$AB$1:$AK$1,K17)," pont"))</f>
        <v>#N/A</v>
      </c>
      <c r="M17" s="280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2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2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2"/>
      <c r="Z20" s="272"/>
      <c r="AA20" s="272" t="s">
        <v>85</v>
      </c>
      <c r="AB20" s="272">
        <v>120</v>
      </c>
      <c r="AC20" s="272">
        <v>90</v>
      </c>
      <c r="AD20" s="272">
        <v>65</v>
      </c>
      <c r="AE20" s="272">
        <v>55</v>
      </c>
      <c r="AF20" s="272">
        <v>50</v>
      </c>
      <c r="AG20" s="272">
        <v>45</v>
      </c>
      <c r="AH20" s="272">
        <v>40</v>
      </c>
      <c r="AI20" s="272">
        <v>35</v>
      </c>
      <c r="AJ20" s="272">
        <v>25</v>
      </c>
      <c r="AK20" s="272">
        <v>20</v>
      </c>
    </row>
    <row r="21" spans="1:37" ht="12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2"/>
      <c r="Z21" s="272"/>
      <c r="AA21" s="272" t="s">
        <v>86</v>
      </c>
      <c r="AB21" s="272">
        <v>90</v>
      </c>
      <c r="AC21" s="272">
        <v>60</v>
      </c>
      <c r="AD21" s="272">
        <v>45</v>
      </c>
      <c r="AE21" s="272">
        <v>34</v>
      </c>
      <c r="AF21" s="272">
        <v>27</v>
      </c>
      <c r="AG21" s="272">
        <v>22</v>
      </c>
      <c r="AH21" s="272">
        <v>18</v>
      </c>
      <c r="AI21" s="272">
        <v>15</v>
      </c>
      <c r="AJ21" s="272">
        <v>12</v>
      </c>
      <c r="AK21" s="272">
        <v>9</v>
      </c>
    </row>
    <row r="22" spans="1:37" ht="18.75" customHeight="1">
      <c r="A22" s="193"/>
      <c r="B22" s="335"/>
      <c r="C22" s="335"/>
      <c r="D22" s="331" t="str">
        <f>E7</f>
        <v>HUANG</v>
      </c>
      <c r="E22" s="331"/>
      <c r="F22" s="331" t="str">
        <f>E9</f>
        <v>KOCSIS- MIREISZ</v>
      </c>
      <c r="G22" s="331"/>
      <c r="H22" s="331" t="str">
        <f>E11</f>
        <v>BEVIZ</v>
      </c>
      <c r="I22" s="331"/>
      <c r="J22" s="193"/>
      <c r="K22" s="193"/>
      <c r="L22" s="193"/>
      <c r="M22" s="253" t="s">
        <v>62</v>
      </c>
      <c r="Y22" s="272"/>
      <c r="Z22" s="272"/>
      <c r="AA22" s="272" t="s">
        <v>87</v>
      </c>
      <c r="AB22" s="272">
        <v>60</v>
      </c>
      <c r="AC22" s="272">
        <v>40</v>
      </c>
      <c r="AD22" s="272">
        <v>30</v>
      </c>
      <c r="AE22" s="272">
        <v>20</v>
      </c>
      <c r="AF22" s="272">
        <v>18</v>
      </c>
      <c r="AG22" s="272">
        <v>15</v>
      </c>
      <c r="AH22" s="272">
        <v>12</v>
      </c>
      <c r="AI22" s="272">
        <v>10</v>
      </c>
      <c r="AJ22" s="272">
        <v>8</v>
      </c>
      <c r="AK22" s="272">
        <v>6</v>
      </c>
    </row>
    <row r="23" spans="1:37" ht="18.75" customHeight="1">
      <c r="A23" s="251" t="s">
        <v>58</v>
      </c>
      <c r="B23" s="329" t="str">
        <f>E7</f>
        <v>HUANG</v>
      </c>
      <c r="C23" s="329"/>
      <c r="D23" s="328"/>
      <c r="E23" s="328"/>
      <c r="F23" s="330">
        <v>1416</v>
      </c>
      <c r="G23" s="330"/>
      <c r="H23" s="330">
        <v>158</v>
      </c>
      <c r="I23" s="330"/>
      <c r="J23" s="193"/>
      <c r="K23" s="193"/>
      <c r="L23" s="193"/>
      <c r="M23" s="255">
        <v>2</v>
      </c>
      <c r="Y23" s="272"/>
      <c r="Z23" s="272"/>
      <c r="AA23" s="272" t="s">
        <v>88</v>
      </c>
      <c r="AB23" s="272">
        <v>40</v>
      </c>
      <c r="AC23" s="272">
        <v>25</v>
      </c>
      <c r="AD23" s="272">
        <v>18</v>
      </c>
      <c r="AE23" s="272">
        <v>13</v>
      </c>
      <c r="AF23" s="272">
        <v>8</v>
      </c>
      <c r="AG23" s="272">
        <v>7</v>
      </c>
      <c r="AH23" s="272">
        <v>6</v>
      </c>
      <c r="AI23" s="272">
        <v>5</v>
      </c>
      <c r="AJ23" s="272">
        <v>4</v>
      </c>
      <c r="AK23" s="272">
        <v>3</v>
      </c>
    </row>
    <row r="24" spans="1:37" ht="18.75" customHeight="1">
      <c r="A24" s="251" t="s">
        <v>59</v>
      </c>
      <c r="B24" s="329" t="str">
        <f>E9</f>
        <v>KOCSIS- MIREISZ</v>
      </c>
      <c r="C24" s="329"/>
      <c r="D24" s="330">
        <v>1614</v>
      </c>
      <c r="E24" s="330"/>
      <c r="F24" s="328"/>
      <c r="G24" s="328"/>
      <c r="H24" s="330">
        <v>159</v>
      </c>
      <c r="I24" s="330"/>
      <c r="J24" s="193"/>
      <c r="K24" s="193"/>
      <c r="L24" s="193"/>
      <c r="M24" s="255">
        <v>1</v>
      </c>
      <c r="Y24" s="272"/>
      <c r="Z24" s="272"/>
      <c r="AA24" s="272" t="s">
        <v>89</v>
      </c>
      <c r="AB24" s="272">
        <v>25</v>
      </c>
      <c r="AC24" s="272">
        <v>15</v>
      </c>
      <c r="AD24" s="272">
        <v>13</v>
      </c>
      <c r="AE24" s="272">
        <v>7</v>
      </c>
      <c r="AF24" s="272">
        <v>6</v>
      </c>
      <c r="AG24" s="272">
        <v>5</v>
      </c>
      <c r="AH24" s="272">
        <v>4</v>
      </c>
      <c r="AI24" s="272">
        <v>3</v>
      </c>
      <c r="AJ24" s="272">
        <v>2</v>
      </c>
      <c r="AK24" s="272">
        <v>1</v>
      </c>
    </row>
    <row r="25" spans="1:37" ht="18.75" customHeight="1">
      <c r="A25" s="251" t="s">
        <v>60</v>
      </c>
      <c r="B25" s="329" t="str">
        <f>E11</f>
        <v>BEVIZ</v>
      </c>
      <c r="C25" s="329"/>
      <c r="D25" s="330">
        <v>815</v>
      </c>
      <c r="E25" s="330"/>
      <c r="F25" s="330">
        <v>915</v>
      </c>
      <c r="G25" s="330"/>
      <c r="H25" s="328"/>
      <c r="I25" s="328"/>
      <c r="J25" s="193"/>
      <c r="K25" s="193"/>
      <c r="L25" s="193"/>
      <c r="M25" s="255">
        <v>3</v>
      </c>
      <c r="Y25" s="272"/>
      <c r="Z25" s="272"/>
      <c r="AA25" s="272" t="s">
        <v>94</v>
      </c>
      <c r="AB25" s="272">
        <v>15</v>
      </c>
      <c r="AC25" s="272">
        <v>10</v>
      </c>
      <c r="AD25" s="272">
        <v>8</v>
      </c>
      <c r="AE25" s="272">
        <v>4</v>
      </c>
      <c r="AF25" s="272">
        <v>3</v>
      </c>
      <c r="AG25" s="272">
        <v>2</v>
      </c>
      <c r="AH25" s="272">
        <v>1</v>
      </c>
      <c r="AI25" s="272">
        <v>0</v>
      </c>
      <c r="AJ25" s="272">
        <v>0</v>
      </c>
      <c r="AK25" s="272">
        <v>0</v>
      </c>
    </row>
    <row r="26" spans="1:37" ht="1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56"/>
      <c r="Y26" s="272"/>
      <c r="Z26" s="272"/>
      <c r="AA26" s="272" t="s">
        <v>90</v>
      </c>
      <c r="AB26" s="272">
        <v>10</v>
      </c>
      <c r="AC26" s="272">
        <v>6</v>
      </c>
      <c r="AD26" s="272">
        <v>4</v>
      </c>
      <c r="AE26" s="272">
        <v>2</v>
      </c>
      <c r="AF26" s="272">
        <v>1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</row>
    <row r="27" spans="1:37" ht="18.75" customHeight="1">
      <c r="A27" s="193"/>
      <c r="B27" s="335"/>
      <c r="C27" s="335"/>
      <c r="D27" s="331" t="str">
        <f>E13</f>
        <v>VARGA</v>
      </c>
      <c r="E27" s="331"/>
      <c r="F27" s="331" t="str">
        <f>E15</f>
        <v>ORBÁN</v>
      </c>
      <c r="G27" s="331"/>
      <c r="H27" s="331" t="str">
        <f>E17</f>
        <v>NÁRAY</v>
      </c>
      <c r="I27" s="331"/>
      <c r="J27" s="193"/>
      <c r="K27" s="193"/>
      <c r="L27" s="193"/>
      <c r="M27" s="256"/>
      <c r="Y27" s="272"/>
      <c r="Z27" s="272"/>
      <c r="AA27" s="272" t="s">
        <v>91</v>
      </c>
      <c r="AB27" s="272">
        <v>3</v>
      </c>
      <c r="AC27" s="272">
        <v>2</v>
      </c>
      <c r="AD27" s="272">
        <v>1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</row>
    <row r="28" spans="1:13" ht="18.75" customHeight="1">
      <c r="A28" s="251" t="s">
        <v>65</v>
      </c>
      <c r="B28" s="329" t="str">
        <f>E13</f>
        <v>VARGA</v>
      </c>
      <c r="C28" s="329"/>
      <c r="D28" s="328"/>
      <c r="E28" s="328"/>
      <c r="F28" s="330">
        <v>1618</v>
      </c>
      <c r="G28" s="330"/>
      <c r="H28" s="330">
        <v>153</v>
      </c>
      <c r="I28" s="330"/>
      <c r="J28" s="193"/>
      <c r="K28" s="193"/>
      <c r="L28" s="344" t="s">
        <v>182</v>
      </c>
      <c r="M28" s="255">
        <v>1</v>
      </c>
    </row>
    <row r="29" spans="1:13" ht="18.75" customHeight="1">
      <c r="A29" s="251" t="s">
        <v>66</v>
      </c>
      <c r="B29" s="329" t="str">
        <f>E15</f>
        <v>ORBÁN</v>
      </c>
      <c r="C29" s="329"/>
      <c r="D29" s="330">
        <v>1816</v>
      </c>
      <c r="E29" s="330"/>
      <c r="F29" s="328"/>
      <c r="G29" s="328"/>
      <c r="H29" s="330">
        <v>915</v>
      </c>
      <c r="I29" s="330"/>
      <c r="J29" s="193"/>
      <c r="K29" s="193"/>
      <c r="L29" s="344" t="s">
        <v>183</v>
      </c>
      <c r="M29" s="255">
        <v>3</v>
      </c>
    </row>
    <row r="30" spans="1:13" ht="18.75" customHeight="1">
      <c r="A30" s="251" t="s">
        <v>67</v>
      </c>
      <c r="B30" s="329" t="str">
        <f>E17</f>
        <v>NÁRAY</v>
      </c>
      <c r="C30" s="329"/>
      <c r="D30" s="330">
        <v>915</v>
      </c>
      <c r="E30" s="330"/>
      <c r="F30" s="330">
        <v>159</v>
      </c>
      <c r="G30" s="330"/>
      <c r="H30" s="328"/>
      <c r="I30" s="328"/>
      <c r="J30" s="193"/>
      <c r="K30" s="193"/>
      <c r="L30" s="344" t="s">
        <v>184</v>
      </c>
      <c r="M30" s="255">
        <v>2</v>
      </c>
    </row>
    <row r="31" spans="1:13" ht="1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3" ht="12">
      <c r="A32" s="193" t="s">
        <v>52</v>
      </c>
      <c r="B32" s="193"/>
      <c r="C32" s="332" t="str">
        <f>IF(M23=1,B23,IF(M24=1,B24,IF(M25=1,B25,"")))</f>
        <v>KOCSIS- MIREISZ</v>
      </c>
      <c r="D32" s="332"/>
      <c r="E32" s="218" t="s">
        <v>69</v>
      </c>
      <c r="F32" s="332" t="str">
        <f>IF(M28=1,B28,IF(M29=1,B29,IF(M30=1,B30,"")))</f>
        <v>VARGA</v>
      </c>
      <c r="G32" s="332"/>
      <c r="H32" s="193"/>
      <c r="I32" s="192">
        <v>157</v>
      </c>
      <c r="J32" s="193"/>
      <c r="K32" s="193"/>
      <c r="L32" s="193"/>
      <c r="M32" s="193"/>
    </row>
    <row r="33" spans="1:13" ht="12">
      <c r="A33" s="193"/>
      <c r="B33" s="193"/>
      <c r="C33" s="193"/>
      <c r="D33" s="193"/>
      <c r="E33" s="193"/>
      <c r="F33" s="218"/>
      <c r="G33" s="218"/>
      <c r="H33" s="193"/>
      <c r="I33" s="193"/>
      <c r="J33" s="193"/>
      <c r="K33" s="193"/>
      <c r="L33" s="193"/>
      <c r="M33" s="193"/>
    </row>
    <row r="34" spans="1:13" ht="12">
      <c r="A34" s="193" t="s">
        <v>68</v>
      </c>
      <c r="B34" s="193"/>
      <c r="C34" s="332" t="str">
        <f>IF(M23=2,B23,IF(M24=2,B24,IF(M25=2,B25,"")))</f>
        <v>HUANG</v>
      </c>
      <c r="D34" s="332"/>
      <c r="E34" s="218" t="s">
        <v>69</v>
      </c>
      <c r="F34" s="332" t="str">
        <f>IF(M28=2,B28,IF(M29=2,B29,IF(M30=2,B30,"")))</f>
        <v>NÁRAY</v>
      </c>
      <c r="G34" s="332"/>
      <c r="H34" s="193"/>
      <c r="I34" s="192">
        <v>155</v>
      </c>
      <c r="J34" s="193"/>
      <c r="K34" s="193"/>
      <c r="L34" s="193"/>
      <c r="M34" s="193"/>
    </row>
    <row r="35" spans="1:13" ht="12">
      <c r="A35" s="193"/>
      <c r="B35" s="193"/>
      <c r="C35" s="254"/>
      <c r="D35" s="254"/>
      <c r="E35" s="218"/>
      <c r="F35" s="254"/>
      <c r="G35" s="254"/>
      <c r="H35" s="193"/>
      <c r="I35" s="193"/>
      <c r="J35" s="193"/>
      <c r="K35" s="193"/>
      <c r="L35" s="193"/>
      <c r="M35" s="193"/>
    </row>
    <row r="36" spans="1:13" ht="12">
      <c r="A36" s="193" t="s">
        <v>70</v>
      </c>
      <c r="B36" s="193"/>
      <c r="C36" s="332" t="str">
        <f>IF(M23=3,B23,IF(M24=3,B24,IF(M25=3,B25,"")))</f>
        <v>BEVIZ</v>
      </c>
      <c r="D36" s="332"/>
      <c r="E36" s="218" t="s">
        <v>69</v>
      </c>
      <c r="F36" s="332" t="str">
        <f>IF(M28=3,B28,IF(M29=3,B29,IF(M30=3,B30,"")))</f>
        <v>ORBÁN</v>
      </c>
      <c r="G36" s="332"/>
      <c r="H36" s="193"/>
      <c r="I36" s="192">
        <v>1215</v>
      </c>
      <c r="J36" s="193"/>
      <c r="K36" s="193"/>
      <c r="L36" s="193"/>
      <c r="M36" s="193"/>
    </row>
    <row r="37" spans="1:13" ht="12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9" ht="12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2"/>
      <c r="M38" s="193"/>
      <c r="O38" s="211"/>
      <c r="P38" s="211"/>
      <c r="Q38" s="211"/>
      <c r="R38" s="211"/>
      <c r="S38" s="211"/>
    </row>
    <row r="39" spans="1:19" ht="12">
      <c r="A39" s="110" t="s">
        <v>38</v>
      </c>
      <c r="B39" s="111"/>
      <c r="C39" s="165"/>
      <c r="D39" s="226" t="s">
        <v>2</v>
      </c>
      <c r="E39" s="227" t="s">
        <v>40</v>
      </c>
      <c r="F39" s="245"/>
      <c r="G39" s="226" t="s">
        <v>2</v>
      </c>
      <c r="H39" s="227" t="s">
        <v>49</v>
      </c>
      <c r="I39" s="119"/>
      <c r="J39" s="227" t="s">
        <v>50</v>
      </c>
      <c r="K39" s="118" t="s">
        <v>51</v>
      </c>
      <c r="L39" s="31"/>
      <c r="M39" s="245"/>
      <c r="O39" s="211"/>
      <c r="P39" s="220"/>
      <c r="Q39" s="220"/>
      <c r="R39" s="221"/>
      <c r="S39" s="211"/>
    </row>
    <row r="40" spans="1:19" ht="12">
      <c r="A40" s="196" t="s">
        <v>39</v>
      </c>
      <c r="B40" s="197"/>
      <c r="C40" s="198"/>
      <c r="D40" s="228">
        <v>1</v>
      </c>
      <c r="E40" s="333" t="str">
        <f>IF(D40&gt;$R$47,,UPPER(VLOOKUP(D40,'L8 ELO'!$A$7:$Q$134,2)))</f>
        <v>VARGA</v>
      </c>
      <c r="F40" s="333"/>
      <c r="G40" s="239" t="s">
        <v>3</v>
      </c>
      <c r="H40" s="197"/>
      <c r="I40" s="229"/>
      <c r="J40" s="240"/>
      <c r="K40" s="194" t="s">
        <v>41</v>
      </c>
      <c r="L40" s="246"/>
      <c r="M40" s="230"/>
      <c r="O40" s="211"/>
      <c r="P40" s="222"/>
      <c r="Q40" s="222"/>
      <c r="R40" s="223"/>
      <c r="S40" s="211"/>
    </row>
    <row r="41" spans="1:19" ht="12">
      <c r="A41" s="199" t="s">
        <v>48</v>
      </c>
      <c r="B41" s="117"/>
      <c r="C41" s="200"/>
      <c r="D41" s="231">
        <v>2</v>
      </c>
      <c r="E41" s="334" t="str">
        <f>IF(D41&gt;$R$47,,UPPER(VLOOKUP(D41,'L8 ELO'!$A$7:$Q$134,2)))</f>
        <v>BEVIZ</v>
      </c>
      <c r="F41" s="334"/>
      <c r="G41" s="241" t="s">
        <v>4</v>
      </c>
      <c r="H41" s="232"/>
      <c r="I41" s="233"/>
      <c r="J41" s="82"/>
      <c r="K41" s="243"/>
      <c r="L41" s="192"/>
      <c r="M41" s="238"/>
      <c r="O41" s="211"/>
      <c r="P41" s="223"/>
      <c r="Q41" s="224"/>
      <c r="R41" s="223"/>
      <c r="S41" s="211"/>
    </row>
    <row r="42" spans="1:19" ht="12">
      <c r="A42" s="132"/>
      <c r="B42" s="133"/>
      <c r="C42" s="134"/>
      <c r="D42" s="231"/>
      <c r="E42" s="235"/>
      <c r="F42" s="236"/>
      <c r="G42" s="241" t="s">
        <v>5</v>
      </c>
      <c r="H42" s="232"/>
      <c r="I42" s="233"/>
      <c r="J42" s="82"/>
      <c r="K42" s="194" t="s">
        <v>42</v>
      </c>
      <c r="L42" s="246"/>
      <c r="M42" s="230"/>
      <c r="O42" s="211"/>
      <c r="P42" s="222"/>
      <c r="Q42" s="222"/>
      <c r="R42" s="223"/>
      <c r="S42" s="211"/>
    </row>
    <row r="43" spans="1:19" ht="12">
      <c r="A43" s="112"/>
      <c r="B43" s="163"/>
      <c r="C43" s="113"/>
      <c r="D43" s="231"/>
      <c r="E43" s="235"/>
      <c r="F43" s="236"/>
      <c r="G43" s="241" t="s">
        <v>6</v>
      </c>
      <c r="H43" s="232"/>
      <c r="I43" s="233"/>
      <c r="J43" s="82"/>
      <c r="K43" s="244"/>
      <c r="L43" s="236"/>
      <c r="M43" s="234"/>
      <c r="O43" s="211"/>
      <c r="P43" s="223"/>
      <c r="Q43" s="224"/>
      <c r="R43" s="223"/>
      <c r="S43" s="211"/>
    </row>
    <row r="44" spans="1:19" ht="12">
      <c r="A44" s="121"/>
      <c r="B44" s="135"/>
      <c r="C44" s="164"/>
      <c r="D44" s="231"/>
      <c r="E44" s="235"/>
      <c r="F44" s="236"/>
      <c r="G44" s="241" t="s">
        <v>7</v>
      </c>
      <c r="H44" s="232"/>
      <c r="I44" s="233"/>
      <c r="J44" s="82"/>
      <c r="K44" s="199"/>
      <c r="L44" s="192"/>
      <c r="M44" s="238"/>
      <c r="O44" s="211"/>
      <c r="P44" s="223"/>
      <c r="Q44" s="224"/>
      <c r="R44" s="223"/>
      <c r="S44" s="211"/>
    </row>
    <row r="45" spans="1:19" ht="12">
      <c r="A45" s="122"/>
      <c r="B45" s="138"/>
      <c r="C45" s="113"/>
      <c r="D45" s="231"/>
      <c r="E45" s="235"/>
      <c r="F45" s="236"/>
      <c r="G45" s="241" t="s">
        <v>8</v>
      </c>
      <c r="H45" s="232"/>
      <c r="I45" s="233"/>
      <c r="J45" s="82"/>
      <c r="K45" s="194" t="s">
        <v>31</v>
      </c>
      <c r="L45" s="246"/>
      <c r="M45" s="230"/>
      <c r="O45" s="211"/>
      <c r="P45" s="222"/>
      <c r="Q45" s="222"/>
      <c r="R45" s="223"/>
      <c r="S45" s="211"/>
    </row>
    <row r="46" spans="1:19" ht="12">
      <c r="A46" s="122"/>
      <c r="B46" s="138"/>
      <c r="C46" s="130"/>
      <c r="D46" s="231"/>
      <c r="E46" s="235"/>
      <c r="F46" s="236"/>
      <c r="G46" s="241" t="s">
        <v>9</v>
      </c>
      <c r="H46" s="232"/>
      <c r="I46" s="233"/>
      <c r="J46" s="82"/>
      <c r="K46" s="244"/>
      <c r="L46" s="236"/>
      <c r="M46" s="234"/>
      <c r="O46" s="211"/>
      <c r="P46" s="223"/>
      <c r="Q46" s="224"/>
      <c r="R46" s="223"/>
      <c r="S46" s="211"/>
    </row>
    <row r="47" spans="1:19" ht="12">
      <c r="A47" s="123"/>
      <c r="B47" s="120"/>
      <c r="C47" s="131"/>
      <c r="D47" s="237"/>
      <c r="E47" s="114"/>
      <c r="F47" s="192"/>
      <c r="G47" s="242" t="s">
        <v>10</v>
      </c>
      <c r="H47" s="117"/>
      <c r="I47" s="195"/>
      <c r="J47" s="115"/>
      <c r="K47" s="199" t="str">
        <f>L4</f>
        <v>Pázmándi Viktor</v>
      </c>
      <c r="L47" s="192"/>
      <c r="M47" s="238"/>
      <c r="O47" s="211"/>
      <c r="P47" s="223"/>
      <c r="Q47" s="224"/>
      <c r="R47" s="225">
        <f>MIN(4,'L8 ELO'!Q5)</f>
        <v>4</v>
      </c>
      <c r="S47" s="211"/>
    </row>
    <row r="48" spans="15:19" ht="12">
      <c r="O48" s="211"/>
      <c r="P48" s="211"/>
      <c r="Q48" s="211"/>
      <c r="R48" s="211"/>
      <c r="S48" s="211"/>
    </row>
    <row r="49" spans="15:19" ht="12">
      <c r="O49" s="211"/>
      <c r="P49" s="211"/>
      <c r="Q49" s="211"/>
      <c r="R49" s="211"/>
      <c r="S49" s="211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B7" sqref="B7:G14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300" customWidth="1"/>
    <col min="6" max="6" width="6.140625" style="88" hidden="1" customWidth="1"/>
    <col min="7" max="7" width="29.8515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Match Point Play + 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21" t="str">
        <f>Altalanos!$C$8</f>
        <v>F10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2022.02.05-06.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Pázmándi Viktor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324" t="s">
        <v>122</v>
      </c>
      <c r="C7" s="324" t="s">
        <v>154</v>
      </c>
      <c r="D7" s="324" t="s">
        <v>124</v>
      </c>
      <c r="E7" s="324">
        <v>1201200</v>
      </c>
      <c r="F7" s="325">
        <v>44588.46480324074</v>
      </c>
      <c r="G7" s="324"/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4" t="s">
        <v>155</v>
      </c>
      <c r="C8" s="324" t="s">
        <v>156</v>
      </c>
      <c r="D8" s="324" t="s">
        <v>157</v>
      </c>
      <c r="E8" s="324">
        <v>130413</v>
      </c>
      <c r="F8" s="325">
        <v>44594.81153935185</v>
      </c>
      <c r="G8" s="324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4" t="s">
        <v>158</v>
      </c>
      <c r="C9" s="324" t="s">
        <v>159</v>
      </c>
      <c r="D9" s="324" t="s">
        <v>160</v>
      </c>
      <c r="E9" s="324">
        <v>1210160</v>
      </c>
      <c r="F9" s="325">
        <v>44593.87503472222</v>
      </c>
      <c r="G9" s="324"/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324" t="s">
        <v>146</v>
      </c>
      <c r="C10" s="324" t="s">
        <v>161</v>
      </c>
      <c r="D10" s="324" t="s">
        <v>124</v>
      </c>
      <c r="E10" s="324">
        <v>120608</v>
      </c>
      <c r="F10" s="325">
        <v>44593.79261574074</v>
      </c>
      <c r="G10" s="324"/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324" t="s">
        <v>162</v>
      </c>
      <c r="C11" s="324" t="s">
        <v>163</v>
      </c>
      <c r="D11" s="324" t="s">
        <v>164</v>
      </c>
      <c r="E11" s="324">
        <v>1211190</v>
      </c>
      <c r="F11" s="325">
        <v>44593.7062037037</v>
      </c>
      <c r="G11" s="324"/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324" t="s">
        <v>165</v>
      </c>
      <c r="C12" s="324" t="s">
        <v>166</v>
      </c>
      <c r="D12" s="324" t="s">
        <v>160</v>
      </c>
      <c r="E12" s="324">
        <v>121110</v>
      </c>
      <c r="F12" s="325">
        <v>44593.52763888889</v>
      </c>
      <c r="G12" s="324"/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324" t="s">
        <v>167</v>
      </c>
      <c r="C13" s="324" t="s">
        <v>168</v>
      </c>
      <c r="D13" s="324" t="s">
        <v>169</v>
      </c>
      <c r="E13" s="324">
        <v>130902</v>
      </c>
      <c r="F13" s="325">
        <v>44593.3833912037</v>
      </c>
      <c r="G13" s="324"/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324" t="s">
        <v>170</v>
      </c>
      <c r="C14" s="324" t="s">
        <v>171</v>
      </c>
      <c r="D14" s="324" t="s">
        <v>172</v>
      </c>
      <c r="E14" s="324">
        <v>1201170</v>
      </c>
      <c r="F14" s="288"/>
      <c r="G14" s="289"/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15:E156">
    <cfRule type="expression" priority="16" dxfId="5" stopIfTrue="1">
      <formula>AND(ROUNDDOWN(($A$4-E15)/365.25,0)&lt;=13,G15&lt;&gt;"OK")</formula>
    </cfRule>
    <cfRule type="expression" priority="17" dxfId="4" stopIfTrue="1">
      <formula>AND(ROUNDDOWN(($A$4-E15)/365.25,0)&lt;=14,G15&lt;&gt;"OK")</formula>
    </cfRule>
    <cfRule type="expression" priority="18" dxfId="3" stopIfTrue="1">
      <formula>AND(ROUNDDOWN(($A$4-E15)/365.25,0)&lt;=17,G15&lt;&gt;"OK")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15:D156 A7:A14">
    <cfRule type="expression" priority="14" dxfId="2" stopIfTrue="1">
      <formula>$Q7&gt;=1</formula>
    </cfRule>
  </conditionalFormatting>
  <conditionalFormatting sqref="J7:J14">
    <cfRule type="cellIs" priority="10" dxfId="11" operator="equal" stopIfTrue="1">
      <formula>"Z"</formula>
    </cfRule>
  </conditionalFormatting>
  <conditionalFormatting sqref="E15:E27 E29:E37">
    <cfRule type="expression" priority="2" dxfId="5" stopIfTrue="1">
      <formula>AND(ROUNDDOWN(($A$4-E15)/365.25,0)&lt;=13,G15&lt;&gt;"OK")</formula>
    </cfRule>
    <cfRule type="expression" priority="3" dxfId="4" stopIfTrue="1">
      <formula>AND(ROUNDDOWN(($A$4-E15)/365.25,0)&lt;=14,G15&lt;&gt;"OK")</formula>
    </cfRule>
    <cfRule type="expression" priority="4" dxfId="3" stopIfTrue="1">
      <formula>AND(ROUNDDOWN(($A$4-E15)/365.25,0)&lt;=17,G15&lt;&gt;"OK")</formula>
    </cfRule>
  </conditionalFormatting>
  <conditionalFormatting sqref="B15:D37">
    <cfRule type="expression" priority="1" dxfId="2" stopIfTrue="1">
      <formula>$Q15&gt;=1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8">
    <tabColor indexed="11"/>
  </sheetPr>
  <dimension ref="A1:AK5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6" t="str">
        <f>Altalanos!$A$6</f>
        <v>Match Point Play + Stay kupa</v>
      </c>
      <c r="B1" s="336"/>
      <c r="C1" s="336"/>
      <c r="D1" s="336"/>
      <c r="E1" s="336"/>
      <c r="F1" s="336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78" t="e">
        <f>IF(Y5=1,CONCATENATE(VLOOKUP(Y3,AA16:AH30,2)),CONCATENATE(VLOOKUP(Y3,AA2:AK13,2)))</f>
        <v>#N/A</v>
      </c>
      <c r="AC1" s="278" t="e">
        <f>IF(Y5=1,CONCATENATE(VLOOKUP(Y3,AA16:AK30,3)),CONCATENATE(VLOOKUP(Y3,AA2:AK13,3)))</f>
        <v>#N/A</v>
      </c>
      <c r="AD1" s="278" t="e">
        <f>IF(Y5=1,CONCATENATE(VLOOKUP(Y3,AA16:AK30,4)),CONCATENATE(VLOOKUP(Y3,AA2:AK13,4)))</f>
        <v>#N/A</v>
      </c>
      <c r="AE1" s="278" t="e">
        <f>IF(Y5=1,CONCATENATE(VLOOKUP(Y3,AA16:AK30,5)),CONCATENATE(VLOOKUP(Y3,AA2:AK13,5)))</f>
        <v>#N/A</v>
      </c>
      <c r="AF1" s="278" t="e">
        <f>IF(Y5=1,CONCATENATE(VLOOKUP(Y3,AA16:AK30,6)),CONCATENATE(VLOOKUP(Y3,AA2:AK13,6)))</f>
        <v>#N/A</v>
      </c>
      <c r="AG1" s="278" t="e">
        <f>IF(Y5=1,CONCATENATE(VLOOKUP(Y3,AA16:AK30,7)),CONCATENATE(VLOOKUP(Y3,AA2:AK13,7)))</f>
        <v>#N/A</v>
      </c>
      <c r="AH1" s="278" t="e">
        <f>IF(Y5=1,CONCATENATE(VLOOKUP(Y3,AA16:AK30,8)),CONCATENATE(VLOOKUP(Y3,AA2:AK13,8)))</f>
        <v>#N/A</v>
      </c>
      <c r="AI1" s="278" t="e">
        <f>IF(Y5=1,CONCATENATE(VLOOKUP(Y3,AA16:AK30,9)),CONCATENATE(VLOOKUP(Y3,AA2:AK13,9)))</f>
        <v>#N/A</v>
      </c>
      <c r="AJ1" s="278" t="e">
        <f>IF(Y5=1,CONCATENATE(VLOOKUP(Y3,AA16:AK30,10)),CONCATENATE(VLOOKUP(Y3,AA2:AK13,10)))</f>
        <v>#N/A</v>
      </c>
      <c r="AK1" s="278" t="e">
        <f>IF(Y5=1,CONCATENATE(VLOOKUP(Y3,AA16:AK30,11)),CONCATENATE(VLOOKUP(Y3,AA2:AK13,11)))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22" t="str">
        <f>Altalanos!$C$8</f>
        <v>F10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0" t="s">
        <v>72</v>
      </c>
      <c r="R3" s="261" t="s">
        <v>78</v>
      </c>
      <c r="S3" s="261" t="s">
        <v>73</v>
      </c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2.75" thickBot="1">
      <c r="A4" s="337" t="str">
        <f>Altalanos!$A$10</f>
        <v>2022.02.05-06.</v>
      </c>
      <c r="B4" s="337"/>
      <c r="C4" s="337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Pázmándi Viktor</v>
      </c>
      <c r="M4" s="190"/>
      <c r="N4" s="216"/>
      <c r="O4" s="217"/>
      <c r="P4" s="216"/>
      <c r="Q4" s="262" t="s">
        <v>79</v>
      </c>
      <c r="R4" s="263" t="s">
        <v>74</v>
      </c>
      <c r="S4" s="263" t="s">
        <v>75</v>
      </c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4" t="s">
        <v>80</v>
      </c>
      <c r="R5" s="265" t="s">
        <v>76</v>
      </c>
      <c r="S5" s="265" t="s">
        <v>77</v>
      </c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52" t="s">
        <v>58</v>
      </c>
      <c r="B7" s="266">
        <v>5</v>
      </c>
      <c r="C7" s="205">
        <f>IF($B7="","",VLOOKUP($B7,'F10 ELO'!$A$7:$O$22,5))</f>
        <v>1211190</v>
      </c>
      <c r="D7" s="205">
        <f>IF($B7="","",VLOOKUP($B7,'F10 ELO'!$A$7:$O$22,15))</f>
        <v>0</v>
      </c>
      <c r="E7" s="202" t="str">
        <f>UPPER(IF($B7="","",VLOOKUP($B7,'F10 ELO'!$A$7:$O$22,2)))</f>
        <v>CSENDES</v>
      </c>
      <c r="F7" s="204"/>
      <c r="G7" s="202" t="str">
        <f>IF($B7="","",VLOOKUP($B7,'F10 ELO'!$A$7:$O$22,3))</f>
        <v>Boldizsár</v>
      </c>
      <c r="H7" s="204"/>
      <c r="I7" s="202" t="str">
        <f>IF($B7="","",VLOOKUP($B7,'F10 ELO'!$A$7:$O$22,4))</f>
        <v>SZVUK SE</v>
      </c>
      <c r="J7" s="193"/>
      <c r="K7" s="279">
        <v>7</v>
      </c>
      <c r="L7" s="274" t="e">
        <f>IF(K7="","",CONCATENATE(VLOOKUP($Y$3,$AB$1:$AK$1,K7)," pont"))</f>
        <v>#N/A</v>
      </c>
      <c r="M7" s="280"/>
      <c r="N7" s="211"/>
      <c r="O7" s="211"/>
      <c r="P7" s="211"/>
      <c r="Q7" s="260" t="s">
        <v>72</v>
      </c>
      <c r="R7" s="314" t="s">
        <v>108</v>
      </c>
      <c r="S7" s="314" t="s">
        <v>109</v>
      </c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67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62" t="s">
        <v>79</v>
      </c>
      <c r="R8" s="315" t="s">
        <v>107</v>
      </c>
      <c r="S8" s="315" t="s">
        <v>110</v>
      </c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68">
        <v>2</v>
      </c>
      <c r="C9" s="205">
        <f>IF($B9="","",VLOOKUP($B9,'F10 ELO'!$A$7:$O$22,5))</f>
        <v>130413</v>
      </c>
      <c r="D9" s="205">
        <f>IF($B9="","",VLOOKUP($B9,'F10 ELO'!$A$7:$O$22,15))</f>
        <v>0</v>
      </c>
      <c r="E9" s="201" t="str">
        <f>UPPER(IF($B9="","",VLOOKUP($B9,'F10 ELO'!$A$7:$O$22,2)))</f>
        <v>GÉMES</v>
      </c>
      <c r="F9" s="206"/>
      <c r="G9" s="201" t="str">
        <f>IF($B9="","",VLOOKUP($B9,'F10 ELO'!$A$7:$O$22,3))</f>
        <v>Domonkos</v>
      </c>
      <c r="H9" s="206"/>
      <c r="I9" s="201" t="str">
        <f>IF($B9="","",VLOOKUP($B9,'F10 ELO'!$A$7:$O$22,4))</f>
        <v>Next Teniszakadémia</v>
      </c>
      <c r="J9" s="193"/>
      <c r="K9" s="279">
        <v>1</v>
      </c>
      <c r="L9" s="274" t="e">
        <f>IF(K9="","",CONCATENATE(VLOOKUP($Y$3,$AB$1:$AK$1,K9)," pont"))</f>
        <v>#N/A</v>
      </c>
      <c r="M9" s="280"/>
      <c r="N9" s="211"/>
      <c r="O9" s="211"/>
      <c r="P9" s="211"/>
      <c r="Q9" s="264" t="s">
        <v>80</v>
      </c>
      <c r="R9" s="316" t="s">
        <v>104</v>
      </c>
      <c r="S9" s="316" t="s">
        <v>111</v>
      </c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67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68">
        <v>4</v>
      </c>
      <c r="C11" s="205">
        <f>IF($B11="","",VLOOKUP($B11,'F10 ELO'!$A$7:$O$22,5))</f>
        <v>120608</v>
      </c>
      <c r="D11" s="205">
        <f>IF($B11="","",VLOOKUP($B11,'F10 ELO'!$A$7:$O$22,15))</f>
        <v>0</v>
      </c>
      <c r="E11" s="201" t="str">
        <f>UPPER(IF($B11="","",VLOOKUP($B11,'F10 ELO'!$A$7:$O$22,2)))</f>
        <v>ORBÁN</v>
      </c>
      <c r="F11" s="206"/>
      <c r="G11" s="201" t="str">
        <f>IF($B11="","",VLOOKUP($B11,'F10 ELO'!$A$7:$O$22,3))</f>
        <v>Arisztid Gábor</v>
      </c>
      <c r="H11" s="206"/>
      <c r="I11" s="201" t="str">
        <f>IF($B11="","",VLOOKUP($B11,'F10 ELO'!$A$7:$O$22,4))</f>
        <v>Ten. Műhely</v>
      </c>
      <c r="J11" s="193"/>
      <c r="K11" s="279">
        <v>3</v>
      </c>
      <c r="L11" s="274" t="e">
        <f>IF(K11="","",CONCATENATE(VLOOKUP($Y$3,$AB$1:$AK$1,K11)," pont"))</f>
        <v>#N/A</v>
      </c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.75">
      <c r="A12" s="193"/>
      <c r="B12" s="252"/>
      <c r="C12" s="247"/>
      <c r="D12" s="193"/>
      <c r="E12" s="193"/>
      <c r="F12" s="193"/>
      <c r="G12" s="193"/>
      <c r="H12" s="193"/>
      <c r="I12" s="193"/>
      <c r="J12" s="193"/>
      <c r="K12" s="247"/>
      <c r="L12" s="247"/>
      <c r="M12" s="282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.75">
      <c r="A13" s="307" t="s">
        <v>65</v>
      </c>
      <c r="B13" s="310">
        <v>3</v>
      </c>
      <c r="C13" s="205">
        <f>IF($B13="","",VLOOKUP($B13,'F10 ELO'!$A$7:$O$22,5))</f>
        <v>1210160</v>
      </c>
      <c r="D13" s="205">
        <f>IF($B13="","",VLOOKUP($B13,'F10 ELO'!$A$7:$O$22,15))</f>
        <v>0</v>
      </c>
      <c r="E13" s="201" t="str">
        <f>UPPER(IF($B13="","",VLOOKUP($B13,'F10 ELO'!$A$7:$O$22,2)))</f>
        <v>BAKSAI</v>
      </c>
      <c r="F13" s="206"/>
      <c r="G13" s="201" t="str">
        <f>IF($B13="","",VLOOKUP($B13,'F10 ELO'!$A$7:$O$22,3))</f>
        <v>Borisz Mór</v>
      </c>
      <c r="H13" s="206"/>
      <c r="I13" s="201" t="str">
        <f>IF($B13="","",VLOOKUP($B13,'F10 ELO'!$A$7:$O$22,4))</f>
        <v>MESE</v>
      </c>
      <c r="J13" s="193"/>
      <c r="K13" s="279">
        <v>6</v>
      </c>
      <c r="L13" s="274" t="e">
        <f>IF(K13="","",CONCATENATE(VLOOKUP($Y$3,$AB$1:$AK$1,K13)," pont"))</f>
        <v>#N/A</v>
      </c>
      <c r="M13" s="280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.75">
      <c r="A14" s="218"/>
      <c r="B14" s="267"/>
      <c r="C14" s="219"/>
      <c r="D14" s="219"/>
      <c r="E14" s="219"/>
      <c r="F14" s="219"/>
      <c r="G14" s="219"/>
      <c r="H14" s="219"/>
      <c r="I14" s="219"/>
      <c r="J14" s="193"/>
      <c r="K14" s="218"/>
      <c r="L14" s="218"/>
      <c r="M14" s="281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.75">
      <c r="A15" s="252" t="s">
        <v>66</v>
      </c>
      <c r="B15" s="309">
        <v>1</v>
      </c>
      <c r="C15" s="205">
        <f>IF($B15="","",VLOOKUP($B15,'F10 ELO'!$A$7:$O$22,5))</f>
        <v>1201200</v>
      </c>
      <c r="D15" s="308">
        <f>IF($B15="","",VLOOKUP($B15,'F10 ELO'!$A$7:$O$22,15))</f>
        <v>0</v>
      </c>
      <c r="E15" s="202" t="str">
        <f>UPPER(IF($B15="","",VLOOKUP($B15,'F10 ELO'!$A$7:$O$22,2)))</f>
        <v>TAMÁSI</v>
      </c>
      <c r="F15" s="204"/>
      <c r="G15" s="202" t="str">
        <f>IF($B15="","",VLOOKUP($B15,'F10 ELO'!$A$7:$O$22,3))</f>
        <v>Martin</v>
      </c>
      <c r="H15" s="204"/>
      <c r="I15" s="202" t="str">
        <f>IF($B15="","",VLOOKUP($B15,'F10 ELO'!$A$7:$O$22,4))</f>
        <v>Ten. Műhely</v>
      </c>
      <c r="J15" s="193"/>
      <c r="K15" s="279">
        <v>4</v>
      </c>
      <c r="L15" s="274" t="e">
        <f>IF(K15="","",CONCATENATE(VLOOKUP($Y$3,$AB$1:$AK$1,K15)," pont"))</f>
        <v>#N/A</v>
      </c>
      <c r="M15" s="280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.75">
      <c r="A16" s="218"/>
      <c r="B16" s="267"/>
      <c r="C16" s="219"/>
      <c r="D16" s="219"/>
      <c r="E16" s="219"/>
      <c r="F16" s="219"/>
      <c r="G16" s="219"/>
      <c r="H16" s="219"/>
      <c r="I16" s="219"/>
      <c r="J16" s="193"/>
      <c r="K16" s="218"/>
      <c r="L16" s="218"/>
      <c r="M16" s="281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.75">
      <c r="A17" s="218" t="s">
        <v>67</v>
      </c>
      <c r="B17" s="268">
        <v>8</v>
      </c>
      <c r="C17" s="205">
        <f>IF($B17="","",VLOOKUP($B17,'F10 ELO'!$A$7:$O$22,5))</f>
        <v>1201170</v>
      </c>
      <c r="D17" s="205">
        <f>IF($B17="","",VLOOKUP($B17,'F10 ELO'!$A$7:$O$22,15))</f>
        <v>0</v>
      </c>
      <c r="E17" s="201" t="str">
        <f>UPPER(IF($B17="","",VLOOKUP($B17,'F10 ELO'!$A$7:$O$22,2)))</f>
        <v>HANGÁCSI</v>
      </c>
      <c r="F17" s="206"/>
      <c r="G17" s="201" t="str">
        <f>IF($B17="","",VLOOKUP($B17,'F10 ELO'!$A$7:$O$22,3))</f>
        <v>Márk</v>
      </c>
      <c r="H17" s="206"/>
      <c r="I17" s="201" t="str">
        <f>IF($B17="","",VLOOKUP($B17,'F10 ELO'!$A$7:$O$22,4))</f>
        <v>SVSE</v>
      </c>
      <c r="J17" s="193"/>
      <c r="K17" s="279">
        <v>2</v>
      </c>
      <c r="L17" s="274" t="e">
        <f>IF(K17="","",CONCATENATE(VLOOKUP($Y$3,$AB$1:$AK$1,K17)," pont"))</f>
        <v>#N/A</v>
      </c>
      <c r="M17" s="280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2.75">
      <c r="A18" s="218"/>
      <c r="B18" s="267"/>
      <c r="C18" s="219"/>
      <c r="D18" s="219"/>
      <c r="E18" s="219"/>
      <c r="F18" s="219"/>
      <c r="G18" s="219"/>
      <c r="H18" s="219"/>
      <c r="I18" s="219"/>
      <c r="J18" s="193"/>
      <c r="K18" s="218"/>
      <c r="L18" s="218"/>
      <c r="M18" s="281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2.75">
      <c r="A19" s="307" t="s">
        <v>71</v>
      </c>
      <c r="B19" s="268">
        <v>6</v>
      </c>
      <c r="C19" s="205">
        <f>IF($B19="","",VLOOKUP($B19,'F10 ELO'!$A$7:$O$22,5))</f>
        <v>121110</v>
      </c>
      <c r="D19" s="205">
        <f>IF($B19="","",VLOOKUP($B19,'F10 ELO'!$A$7:$O$22,15))</f>
        <v>0</v>
      </c>
      <c r="E19" s="201" t="str">
        <f>UPPER(IF($B19="","",VLOOKUP($B19,'F10 ELO'!$A$7:$O$22,2)))</f>
        <v>HIDVÉGI</v>
      </c>
      <c r="F19" s="206"/>
      <c r="G19" s="201" t="str">
        <f>IF($B19="","",VLOOKUP($B19,'F10 ELO'!$A$7:$O$22,3))</f>
        <v>Barnabás</v>
      </c>
      <c r="H19" s="206"/>
      <c r="I19" s="201" t="str">
        <f>IF($B19="","",VLOOKUP($B19,'F10 ELO'!$A$7:$O$22,4))</f>
        <v>MESE</v>
      </c>
      <c r="J19" s="193"/>
      <c r="K19" s="279"/>
      <c r="L19" s="274">
        <f>IF(K19="","",CONCATENATE(VLOOKUP($Y$3,$AB$1:$AK$1,K19)," pont"))</f>
      </c>
      <c r="M19" s="280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2.75">
      <c r="A20" s="218"/>
      <c r="B20" s="267"/>
      <c r="C20" s="219"/>
      <c r="D20" s="219"/>
      <c r="E20" s="219"/>
      <c r="F20" s="219"/>
      <c r="G20" s="219"/>
      <c r="H20" s="219"/>
      <c r="I20" s="219"/>
      <c r="J20" s="193"/>
      <c r="K20" s="218"/>
      <c r="L20" s="218"/>
      <c r="M20" s="281"/>
      <c r="Y20" s="272"/>
      <c r="Z20" s="272"/>
      <c r="AA20" s="272" t="s">
        <v>83</v>
      </c>
      <c r="AB20" s="272">
        <v>200</v>
      </c>
      <c r="AC20" s="272">
        <v>150</v>
      </c>
      <c r="AD20" s="272">
        <v>130</v>
      </c>
      <c r="AE20" s="272">
        <v>110</v>
      </c>
      <c r="AF20" s="272">
        <v>95</v>
      </c>
      <c r="AG20" s="272">
        <v>80</v>
      </c>
      <c r="AH20" s="272">
        <v>70</v>
      </c>
      <c r="AI20" s="272">
        <v>60</v>
      </c>
      <c r="AJ20" s="272">
        <v>55</v>
      </c>
      <c r="AK20" s="272">
        <v>50</v>
      </c>
    </row>
    <row r="21" spans="1:37" ht="12.75">
      <c r="A21" s="307" t="s">
        <v>102</v>
      </c>
      <c r="B21" s="268">
        <v>7</v>
      </c>
      <c r="C21" s="205">
        <f>IF($B21="","",VLOOKUP($B21,'F10 ELO'!$A$7:$O$22,5))</f>
        <v>130902</v>
      </c>
      <c r="D21" s="205">
        <f>IF($B21="","",VLOOKUP($B21,'F10 ELO'!$A$7:$O$22,15))</f>
        <v>0</v>
      </c>
      <c r="E21" s="201" t="str">
        <f>UPPER(IF($B21="","",VLOOKUP($B21,'F10 ELO'!$A$7:$O$22,2)))</f>
        <v>GYÖRGY</v>
      </c>
      <c r="F21" s="206"/>
      <c r="G21" s="201" t="str">
        <f>IF($B21="","",VLOOKUP($B21,'F10 ELO'!$A$7:$O$22,3))</f>
        <v>Ákos</v>
      </c>
      <c r="H21" s="206"/>
      <c r="I21" s="201" t="str">
        <f>IF($B21="","",VLOOKUP($B21,'F10 ELO'!$A$7:$O$22,4))</f>
        <v>Dunakanyar TC</v>
      </c>
      <c r="J21" s="193"/>
      <c r="K21" s="279">
        <v>5</v>
      </c>
      <c r="L21" s="274" t="e">
        <f>IF(K21="","",CONCATENATE(VLOOKUP($Y$3,$AB$1:$AK$1,K21)," pont"))</f>
        <v>#N/A</v>
      </c>
      <c r="M21" s="280"/>
      <c r="Y21" s="272"/>
      <c r="Z21" s="272"/>
      <c r="AA21" s="272" t="s">
        <v>84</v>
      </c>
      <c r="AB21" s="272">
        <v>150</v>
      </c>
      <c r="AC21" s="272">
        <v>120</v>
      </c>
      <c r="AD21" s="272">
        <v>100</v>
      </c>
      <c r="AE21" s="272">
        <v>80</v>
      </c>
      <c r="AF21" s="272">
        <v>70</v>
      </c>
      <c r="AG21" s="272">
        <v>60</v>
      </c>
      <c r="AH21" s="272">
        <v>55</v>
      </c>
      <c r="AI21" s="272">
        <v>50</v>
      </c>
      <c r="AJ21" s="272">
        <v>45</v>
      </c>
      <c r="AK21" s="272">
        <v>40</v>
      </c>
    </row>
    <row r="22" spans="1:37" ht="12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2"/>
      <c r="Z22" s="272"/>
      <c r="AA22" s="272" t="s">
        <v>85</v>
      </c>
      <c r="AB22" s="272">
        <v>120</v>
      </c>
      <c r="AC22" s="272">
        <v>90</v>
      </c>
      <c r="AD22" s="272">
        <v>65</v>
      </c>
      <c r="AE22" s="272">
        <v>55</v>
      </c>
      <c r="AF22" s="272">
        <v>50</v>
      </c>
      <c r="AG22" s="272">
        <v>45</v>
      </c>
      <c r="AH22" s="272">
        <v>40</v>
      </c>
      <c r="AI22" s="272">
        <v>35</v>
      </c>
      <c r="AJ22" s="272">
        <v>25</v>
      </c>
      <c r="AK22" s="272">
        <v>20</v>
      </c>
    </row>
    <row r="23" spans="1:37" ht="12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2"/>
      <c r="Z23" s="272"/>
      <c r="AA23" s="272" t="s">
        <v>86</v>
      </c>
      <c r="AB23" s="272">
        <v>90</v>
      </c>
      <c r="AC23" s="272">
        <v>60</v>
      </c>
      <c r="AD23" s="272">
        <v>45</v>
      </c>
      <c r="AE23" s="272">
        <v>34</v>
      </c>
      <c r="AF23" s="272">
        <v>27</v>
      </c>
      <c r="AG23" s="272">
        <v>22</v>
      </c>
      <c r="AH23" s="272">
        <v>18</v>
      </c>
      <c r="AI23" s="272">
        <v>15</v>
      </c>
      <c r="AJ23" s="272">
        <v>12</v>
      </c>
      <c r="AK23" s="272">
        <v>9</v>
      </c>
    </row>
    <row r="24" spans="1:37" ht="18.75" customHeight="1">
      <c r="A24" s="193"/>
      <c r="B24" s="335"/>
      <c r="C24" s="335"/>
      <c r="D24" s="331" t="str">
        <f>E7</f>
        <v>CSENDES</v>
      </c>
      <c r="E24" s="331"/>
      <c r="F24" s="331" t="str">
        <f>E9</f>
        <v>GÉMES</v>
      </c>
      <c r="G24" s="331"/>
      <c r="H24" s="331" t="str">
        <f>E11</f>
        <v>ORBÁN</v>
      </c>
      <c r="I24" s="331"/>
      <c r="J24" s="331" t="str">
        <f>E13</f>
        <v>BAKSAI</v>
      </c>
      <c r="K24" s="331"/>
      <c r="L24" s="193"/>
      <c r="M24" s="253" t="s">
        <v>62</v>
      </c>
      <c r="Y24" s="272"/>
      <c r="Z24" s="272"/>
      <c r="AA24" s="272" t="s">
        <v>87</v>
      </c>
      <c r="AB24" s="272">
        <v>60</v>
      </c>
      <c r="AC24" s="272">
        <v>40</v>
      </c>
      <c r="AD24" s="272">
        <v>30</v>
      </c>
      <c r="AE24" s="272">
        <v>20</v>
      </c>
      <c r="AF24" s="272">
        <v>18</v>
      </c>
      <c r="AG24" s="272">
        <v>15</v>
      </c>
      <c r="AH24" s="272">
        <v>12</v>
      </c>
      <c r="AI24" s="272">
        <v>10</v>
      </c>
      <c r="AJ24" s="272">
        <v>8</v>
      </c>
      <c r="AK24" s="272">
        <v>6</v>
      </c>
    </row>
    <row r="25" spans="1:37" ht="18.75" customHeight="1">
      <c r="A25" s="251" t="s">
        <v>58</v>
      </c>
      <c r="B25" s="329" t="str">
        <f>E7</f>
        <v>CSENDES</v>
      </c>
      <c r="C25" s="329"/>
      <c r="D25" s="328"/>
      <c r="E25" s="328"/>
      <c r="F25" s="343" t="s">
        <v>186</v>
      </c>
      <c r="G25" s="342"/>
      <c r="H25" s="330">
        <v>14</v>
      </c>
      <c r="I25" s="330"/>
      <c r="J25" s="331">
        <v>24</v>
      </c>
      <c r="K25" s="331"/>
      <c r="L25" s="193"/>
      <c r="M25" s="255">
        <v>4</v>
      </c>
      <c r="Y25" s="272"/>
      <c r="Z25" s="272"/>
      <c r="AA25" s="272" t="s">
        <v>88</v>
      </c>
      <c r="AB25" s="272">
        <v>40</v>
      </c>
      <c r="AC25" s="272">
        <v>25</v>
      </c>
      <c r="AD25" s="272">
        <v>18</v>
      </c>
      <c r="AE25" s="272">
        <v>13</v>
      </c>
      <c r="AF25" s="272">
        <v>8</v>
      </c>
      <c r="AG25" s="272">
        <v>7</v>
      </c>
      <c r="AH25" s="272">
        <v>6</v>
      </c>
      <c r="AI25" s="272">
        <v>5</v>
      </c>
      <c r="AJ25" s="272">
        <v>4</v>
      </c>
      <c r="AK25" s="272">
        <v>3</v>
      </c>
    </row>
    <row r="26" spans="1:37" ht="18.75" customHeight="1">
      <c r="A26" s="251" t="s">
        <v>59</v>
      </c>
      <c r="B26" s="329" t="str">
        <f>E9</f>
        <v>GÉMES</v>
      </c>
      <c r="C26" s="329"/>
      <c r="D26" s="330">
        <v>40</v>
      </c>
      <c r="E26" s="330"/>
      <c r="F26" s="328"/>
      <c r="G26" s="328"/>
      <c r="H26" s="330">
        <v>53</v>
      </c>
      <c r="I26" s="330"/>
      <c r="J26" s="330">
        <v>42</v>
      </c>
      <c r="K26" s="330"/>
      <c r="L26" s="193"/>
      <c r="M26" s="255">
        <v>1</v>
      </c>
      <c r="Y26" s="272"/>
      <c r="Z26" s="272"/>
      <c r="AA26" s="272" t="s">
        <v>89</v>
      </c>
      <c r="AB26" s="272">
        <v>25</v>
      </c>
      <c r="AC26" s="272">
        <v>15</v>
      </c>
      <c r="AD26" s="272">
        <v>13</v>
      </c>
      <c r="AE26" s="272">
        <v>7</v>
      </c>
      <c r="AF26" s="272">
        <v>6</v>
      </c>
      <c r="AG26" s="272">
        <v>5</v>
      </c>
      <c r="AH26" s="272">
        <v>4</v>
      </c>
      <c r="AI26" s="272">
        <v>3</v>
      </c>
      <c r="AJ26" s="272">
        <v>2</v>
      </c>
      <c r="AK26" s="272">
        <v>1</v>
      </c>
    </row>
    <row r="27" spans="1:37" ht="18.75" customHeight="1">
      <c r="A27" s="251" t="s">
        <v>60</v>
      </c>
      <c r="B27" s="329" t="str">
        <f>E11</f>
        <v>ORBÁN</v>
      </c>
      <c r="C27" s="329"/>
      <c r="D27" s="330">
        <v>41</v>
      </c>
      <c r="E27" s="330"/>
      <c r="F27" s="330">
        <v>35</v>
      </c>
      <c r="G27" s="330"/>
      <c r="H27" s="328"/>
      <c r="I27" s="328"/>
      <c r="J27" s="330">
        <v>40</v>
      </c>
      <c r="K27" s="330"/>
      <c r="L27" s="193"/>
      <c r="M27" s="255">
        <v>2</v>
      </c>
      <c r="Y27" s="272"/>
      <c r="Z27" s="272"/>
      <c r="AA27" s="272" t="s">
        <v>94</v>
      </c>
      <c r="AB27" s="272">
        <v>15</v>
      </c>
      <c r="AC27" s="272">
        <v>10</v>
      </c>
      <c r="AD27" s="272">
        <v>8</v>
      </c>
      <c r="AE27" s="272">
        <v>4</v>
      </c>
      <c r="AF27" s="272">
        <v>3</v>
      </c>
      <c r="AG27" s="272">
        <v>2</v>
      </c>
      <c r="AH27" s="272">
        <v>1</v>
      </c>
      <c r="AI27" s="272">
        <v>0</v>
      </c>
      <c r="AJ27" s="272">
        <v>0</v>
      </c>
      <c r="AK27" s="272">
        <v>0</v>
      </c>
    </row>
    <row r="28" spans="1:37" ht="18.75" customHeight="1">
      <c r="A28" s="306" t="s">
        <v>65</v>
      </c>
      <c r="B28" s="329" t="str">
        <f>E13</f>
        <v>BAKSAI</v>
      </c>
      <c r="C28" s="329"/>
      <c r="D28" s="330">
        <v>42</v>
      </c>
      <c r="E28" s="330"/>
      <c r="F28" s="330">
        <v>24</v>
      </c>
      <c r="G28" s="330"/>
      <c r="H28" s="347" t="s">
        <v>186</v>
      </c>
      <c r="I28" s="346"/>
      <c r="J28" s="328"/>
      <c r="K28" s="328"/>
      <c r="L28" s="193"/>
      <c r="M28" s="255">
        <v>3</v>
      </c>
      <c r="Y28" s="272"/>
      <c r="Z28" s="272"/>
      <c r="AA28" s="272" t="s">
        <v>94</v>
      </c>
      <c r="AB28" s="272">
        <v>15</v>
      </c>
      <c r="AC28" s="272">
        <v>10</v>
      </c>
      <c r="AD28" s="272">
        <v>8</v>
      </c>
      <c r="AE28" s="272">
        <v>4</v>
      </c>
      <c r="AF28" s="272">
        <v>3</v>
      </c>
      <c r="AG28" s="272">
        <v>2</v>
      </c>
      <c r="AH28" s="272">
        <v>1</v>
      </c>
      <c r="AI28" s="272">
        <v>0</v>
      </c>
      <c r="AJ28" s="272">
        <v>0</v>
      </c>
      <c r="AK28" s="272">
        <v>0</v>
      </c>
    </row>
    <row r="29" spans="1:37" ht="12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256"/>
      <c r="Y29" s="272"/>
      <c r="Z29" s="272"/>
      <c r="AA29" s="272" t="s">
        <v>90</v>
      </c>
      <c r="AB29" s="272">
        <v>10</v>
      </c>
      <c r="AC29" s="272">
        <v>6</v>
      </c>
      <c r="AD29" s="272">
        <v>4</v>
      </c>
      <c r="AE29" s="272">
        <v>2</v>
      </c>
      <c r="AF29" s="272">
        <v>1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</row>
    <row r="30" spans="1:37" ht="18.75" customHeight="1">
      <c r="A30" s="193"/>
      <c r="B30" s="335"/>
      <c r="C30" s="335"/>
      <c r="D30" s="331" t="str">
        <f>E15</f>
        <v>TAMÁSI</v>
      </c>
      <c r="E30" s="331"/>
      <c r="F30" s="331" t="str">
        <f>E17</f>
        <v>HANGÁCSI</v>
      </c>
      <c r="G30" s="331"/>
      <c r="H30" s="338" t="str">
        <f>E19</f>
        <v>HIDVÉGI</v>
      </c>
      <c r="I30" s="339"/>
      <c r="J30" s="331" t="str">
        <f>E21</f>
        <v>GYÖRGY</v>
      </c>
      <c r="K30" s="331"/>
      <c r="L30" s="193"/>
      <c r="M30" s="256"/>
      <c r="Y30" s="272"/>
      <c r="Z30" s="272"/>
      <c r="AA30" s="272" t="s">
        <v>91</v>
      </c>
      <c r="AB30" s="272">
        <v>3</v>
      </c>
      <c r="AC30" s="272">
        <v>2</v>
      </c>
      <c r="AD30" s="272">
        <v>1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</row>
    <row r="31" spans="1:13" ht="18.75" customHeight="1">
      <c r="A31" s="306" t="s">
        <v>66</v>
      </c>
      <c r="B31" s="340" t="str">
        <f>E15</f>
        <v>TAMÁSI</v>
      </c>
      <c r="C31" s="341"/>
      <c r="D31" s="328"/>
      <c r="E31" s="328"/>
      <c r="F31" s="330">
        <v>14</v>
      </c>
      <c r="G31" s="330"/>
      <c r="H31" s="348" t="s">
        <v>187</v>
      </c>
      <c r="I31" s="330"/>
      <c r="J31" s="349" t="s">
        <v>189</v>
      </c>
      <c r="K31" s="331"/>
      <c r="L31" s="193"/>
      <c r="M31" s="255">
        <v>2</v>
      </c>
    </row>
    <row r="32" spans="1:13" ht="18.75" customHeight="1">
      <c r="A32" s="306" t="s">
        <v>67</v>
      </c>
      <c r="B32" s="329" t="str">
        <f>E17</f>
        <v>HANGÁCSI</v>
      </c>
      <c r="C32" s="329"/>
      <c r="D32" s="330">
        <v>41</v>
      </c>
      <c r="E32" s="330"/>
      <c r="F32" s="328"/>
      <c r="G32" s="328"/>
      <c r="H32" s="348" t="s">
        <v>187</v>
      </c>
      <c r="I32" s="330"/>
      <c r="J32" s="330">
        <v>42</v>
      </c>
      <c r="K32" s="330"/>
      <c r="L32" s="193"/>
      <c r="M32" s="255">
        <v>1</v>
      </c>
    </row>
    <row r="33" spans="1:13" ht="18.75" customHeight="1">
      <c r="A33" s="306" t="s">
        <v>71</v>
      </c>
      <c r="B33" s="329" t="str">
        <f>E19</f>
        <v>HIDVÉGI</v>
      </c>
      <c r="C33" s="329"/>
      <c r="D33" s="348" t="s">
        <v>187</v>
      </c>
      <c r="E33" s="330"/>
      <c r="F33" s="348" t="s">
        <v>187</v>
      </c>
      <c r="G33" s="330"/>
      <c r="H33" s="328"/>
      <c r="I33" s="328"/>
      <c r="J33" s="348" t="s">
        <v>187</v>
      </c>
      <c r="K33" s="330"/>
      <c r="L33" s="193"/>
      <c r="M33" s="255"/>
    </row>
    <row r="34" spans="1:13" ht="18.75" customHeight="1">
      <c r="A34" s="306" t="s">
        <v>102</v>
      </c>
      <c r="B34" s="329" t="str">
        <f>E21</f>
        <v>GYÖRGY</v>
      </c>
      <c r="C34" s="329"/>
      <c r="D34" s="348" t="s">
        <v>188</v>
      </c>
      <c r="E34" s="330"/>
      <c r="F34" s="330">
        <v>24</v>
      </c>
      <c r="G34" s="330"/>
      <c r="H34" s="349" t="s">
        <v>187</v>
      </c>
      <c r="I34" s="331"/>
      <c r="J34" s="328"/>
      <c r="K34" s="328"/>
      <c r="L34" s="193"/>
      <c r="M34" s="255">
        <v>3</v>
      </c>
    </row>
    <row r="35" spans="1:13" ht="18.75" customHeight="1">
      <c r="A35" s="257"/>
      <c r="B35" s="258"/>
      <c r="C35" s="258"/>
      <c r="D35" s="257"/>
      <c r="E35" s="257"/>
      <c r="F35" s="257"/>
      <c r="G35" s="257"/>
      <c r="H35" s="257"/>
      <c r="I35" s="257"/>
      <c r="J35" s="193"/>
      <c r="K35" s="193"/>
      <c r="L35" s="193"/>
      <c r="M35" s="259"/>
    </row>
    <row r="36" spans="1:13" ht="1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ht="12">
      <c r="A37" s="193" t="s">
        <v>52</v>
      </c>
      <c r="B37" s="193"/>
      <c r="C37" s="332" t="str">
        <f>IF(M25=1,B25,IF(M26=1,B26,IF(M27=1,B27,IF(M28=1,B28,""))))</f>
        <v>GÉMES</v>
      </c>
      <c r="D37" s="332"/>
      <c r="E37" s="218" t="s">
        <v>69</v>
      </c>
      <c r="F37" s="332" t="str">
        <f>IF(M31=1,B31,IF(M32=1,B32,IF(M33=1,B33,IF(M34=1,B34,""))))</f>
        <v>HANGÁCSI</v>
      </c>
      <c r="G37" s="332"/>
      <c r="H37" s="193"/>
      <c r="I37" s="192">
        <v>41</v>
      </c>
      <c r="J37" s="193"/>
      <c r="K37" s="193"/>
      <c r="L37" s="193"/>
      <c r="M37" s="193"/>
    </row>
    <row r="38" spans="1:13" ht="12">
      <c r="A38" s="193"/>
      <c r="B38" s="193"/>
      <c r="C38" s="193"/>
      <c r="D38" s="193"/>
      <c r="E38" s="193"/>
      <c r="F38" s="218"/>
      <c r="G38" s="218"/>
      <c r="H38" s="193"/>
      <c r="I38" s="193"/>
      <c r="J38" s="193"/>
      <c r="K38" s="193"/>
      <c r="L38" s="193"/>
      <c r="M38" s="193"/>
    </row>
    <row r="39" spans="1:13" ht="12">
      <c r="A39" s="193" t="s">
        <v>68</v>
      </c>
      <c r="B39" s="193"/>
      <c r="C39" s="332" t="str">
        <f>IF(M25=2,B25,IF(M26=2,B26,IF(M27=2,B27,IF(M28=2,B28,""))))</f>
        <v>ORBÁN</v>
      </c>
      <c r="D39" s="332"/>
      <c r="E39" s="218" t="s">
        <v>69</v>
      </c>
      <c r="F39" s="332" t="str">
        <f>IF(M31=2,B31,IF(M32=2,B32,IF(M33=2,B33,IF(M34=2,B34,""))))</f>
        <v>TAMÁSI</v>
      </c>
      <c r="G39" s="332"/>
      <c r="H39" s="193"/>
      <c r="I39" s="192">
        <v>42</v>
      </c>
      <c r="J39" s="193"/>
      <c r="K39" s="193"/>
      <c r="L39" s="193"/>
      <c r="M39" s="193"/>
    </row>
    <row r="40" spans="1:13" ht="12">
      <c r="A40" s="193"/>
      <c r="B40" s="193"/>
      <c r="C40" s="254"/>
      <c r="D40" s="254"/>
      <c r="E40" s="218"/>
      <c r="F40" s="254"/>
      <c r="G40" s="254"/>
      <c r="H40" s="193"/>
      <c r="I40" s="193"/>
      <c r="J40" s="193"/>
      <c r="K40" s="193"/>
      <c r="L40" s="193"/>
      <c r="M40" s="193"/>
    </row>
    <row r="41" spans="1:13" ht="12">
      <c r="A41" s="193" t="s">
        <v>70</v>
      </c>
      <c r="B41" s="193"/>
      <c r="C41" s="332" t="str">
        <f>IF(M25=3,B25,IF(M26=3,B26,IF(M27=3,B27,IF(M28=3,B28,""))))</f>
        <v>BAKSAI</v>
      </c>
      <c r="D41" s="332"/>
      <c r="E41" s="218" t="s">
        <v>69</v>
      </c>
      <c r="F41" s="332" t="str">
        <f>IF(M31=3,B31,IF(M32=3,B32,IF(M33=3,B33,IF(M34=3,B34,""))))</f>
        <v>GYÖRGY</v>
      </c>
      <c r="G41" s="332"/>
      <c r="H41" s="193"/>
      <c r="I41" s="192">
        <v>14</v>
      </c>
      <c r="J41" s="193"/>
      <c r="K41" s="193"/>
      <c r="L41" s="193"/>
      <c r="M41" s="193"/>
    </row>
    <row r="42" spans="1:13" ht="12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9" ht="12">
      <c r="A43" s="219" t="s">
        <v>103</v>
      </c>
      <c r="B43" s="193"/>
      <c r="C43" s="332" t="str">
        <f>IF(M25=4,B25,IF(M26=4,B26,IF(M27=4,B27,IF(M28=4,B28,))))</f>
        <v>CSENDES</v>
      </c>
      <c r="D43" s="332"/>
      <c r="E43" s="218" t="s">
        <v>69</v>
      </c>
      <c r="F43" s="332">
        <f>IF(M31=3,B31,IF(M32=3,B32,IF(M33=4,B33,IF(M34=4,B34,""))))</f>
      </c>
      <c r="G43" s="332"/>
      <c r="H43" s="193"/>
      <c r="I43" s="192"/>
      <c r="J43" s="193"/>
      <c r="K43" s="193"/>
      <c r="L43" s="193"/>
      <c r="M43" s="193"/>
      <c r="O43" s="211"/>
      <c r="P43" s="211"/>
      <c r="Q43" s="211"/>
      <c r="R43" s="211"/>
      <c r="S43" s="211"/>
    </row>
    <row r="44" spans="1:19" ht="12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2"/>
      <c r="M44" s="193"/>
      <c r="O44" s="211"/>
      <c r="P44" s="220"/>
      <c r="Q44" s="220"/>
      <c r="R44" s="221"/>
      <c r="S44" s="211"/>
    </row>
    <row r="45" spans="1:19" ht="12">
      <c r="A45" s="110" t="s">
        <v>38</v>
      </c>
      <c r="B45" s="111"/>
      <c r="C45" s="165"/>
      <c r="D45" s="226" t="s">
        <v>2</v>
      </c>
      <c r="E45" s="227" t="s">
        <v>40</v>
      </c>
      <c r="F45" s="245"/>
      <c r="G45" s="226" t="s">
        <v>2</v>
      </c>
      <c r="H45" s="227" t="s">
        <v>49</v>
      </c>
      <c r="I45" s="119"/>
      <c r="J45" s="227" t="s">
        <v>50</v>
      </c>
      <c r="K45" s="118" t="s">
        <v>51</v>
      </c>
      <c r="L45" s="31"/>
      <c r="M45" s="245"/>
      <c r="O45" s="211"/>
      <c r="P45" s="222"/>
      <c r="Q45" s="222"/>
      <c r="R45" s="223"/>
      <c r="S45" s="211"/>
    </row>
    <row r="46" spans="1:19" ht="12">
      <c r="A46" s="196" t="s">
        <v>39</v>
      </c>
      <c r="B46" s="197"/>
      <c r="C46" s="198"/>
      <c r="D46" s="228">
        <v>1</v>
      </c>
      <c r="E46" s="333" t="str">
        <f>IF(D46&gt;$R$47,,UPPER(VLOOKUP(D46,'F10 ELO'!$A$7:$Q$134,2)))</f>
        <v>TAMÁSI</v>
      </c>
      <c r="F46" s="333"/>
      <c r="G46" s="239" t="s">
        <v>3</v>
      </c>
      <c r="H46" s="197"/>
      <c r="I46" s="229"/>
      <c r="J46" s="240"/>
      <c r="K46" s="194" t="s">
        <v>41</v>
      </c>
      <c r="L46" s="246"/>
      <c r="M46" s="230"/>
      <c r="O46" s="211"/>
      <c r="P46" s="223"/>
      <c r="Q46" s="224"/>
      <c r="R46" s="223"/>
      <c r="S46" s="211"/>
    </row>
    <row r="47" spans="1:19" ht="12">
      <c r="A47" s="199" t="s">
        <v>48</v>
      </c>
      <c r="B47" s="117"/>
      <c r="C47" s="200"/>
      <c r="D47" s="231">
        <v>2</v>
      </c>
      <c r="E47" s="334" t="str">
        <f>IF(D47&gt;$R$47,,UPPER(VLOOKUP(D47,'F10 ELO'!$A$7:$Q$134,2)))</f>
        <v>GÉMES</v>
      </c>
      <c r="F47" s="334"/>
      <c r="G47" s="241" t="s">
        <v>4</v>
      </c>
      <c r="H47" s="232"/>
      <c r="I47" s="233"/>
      <c r="J47" s="82"/>
      <c r="K47" s="243"/>
      <c r="L47" s="192"/>
      <c r="M47" s="238"/>
      <c r="O47" s="211"/>
      <c r="P47" s="222"/>
      <c r="Q47" s="222"/>
      <c r="R47" s="225">
        <f>MIN(4,'F10 ELO'!Q2)</f>
        <v>4</v>
      </c>
      <c r="S47" s="211"/>
    </row>
    <row r="48" spans="1:19" ht="12">
      <c r="A48" s="132"/>
      <c r="B48" s="133"/>
      <c r="C48" s="134"/>
      <c r="D48" s="231"/>
      <c r="E48" s="235"/>
      <c r="F48" s="236"/>
      <c r="G48" s="241" t="s">
        <v>5</v>
      </c>
      <c r="H48" s="232"/>
      <c r="I48" s="233"/>
      <c r="J48" s="82"/>
      <c r="K48" s="194" t="s">
        <v>42</v>
      </c>
      <c r="L48" s="246"/>
      <c r="M48" s="230"/>
      <c r="O48" s="211"/>
      <c r="P48" s="223"/>
      <c r="Q48" s="224"/>
      <c r="R48" s="223"/>
      <c r="S48" s="211"/>
    </row>
    <row r="49" spans="1:19" ht="12">
      <c r="A49" s="112"/>
      <c r="B49" s="163"/>
      <c r="C49" s="113"/>
      <c r="D49" s="231"/>
      <c r="E49" s="235"/>
      <c r="F49" s="236"/>
      <c r="G49" s="241" t="s">
        <v>6</v>
      </c>
      <c r="H49" s="232"/>
      <c r="I49" s="233"/>
      <c r="J49" s="82"/>
      <c r="K49" s="244"/>
      <c r="L49" s="236"/>
      <c r="M49" s="234"/>
      <c r="O49" s="211"/>
      <c r="P49" s="223"/>
      <c r="Q49" s="224"/>
      <c r="R49" s="223"/>
      <c r="S49" s="211"/>
    </row>
    <row r="50" spans="1:19" ht="12">
      <c r="A50" s="121"/>
      <c r="B50" s="135"/>
      <c r="C50" s="164"/>
      <c r="D50" s="231"/>
      <c r="E50" s="235"/>
      <c r="F50" s="236"/>
      <c r="G50" s="241" t="s">
        <v>7</v>
      </c>
      <c r="H50" s="232"/>
      <c r="I50" s="233"/>
      <c r="J50" s="82"/>
      <c r="K50" s="199"/>
      <c r="L50" s="192"/>
      <c r="M50" s="238"/>
      <c r="O50" s="211"/>
      <c r="P50" s="222"/>
      <c r="Q50" s="222"/>
      <c r="R50" s="223"/>
      <c r="S50" s="211"/>
    </row>
    <row r="51" spans="1:19" ht="12">
      <c r="A51" s="122"/>
      <c r="B51" s="138"/>
      <c r="C51" s="113"/>
      <c r="D51" s="231"/>
      <c r="E51" s="235"/>
      <c r="F51" s="236"/>
      <c r="G51" s="241" t="s">
        <v>8</v>
      </c>
      <c r="H51" s="232"/>
      <c r="I51" s="233"/>
      <c r="J51" s="82"/>
      <c r="K51" s="194" t="s">
        <v>31</v>
      </c>
      <c r="L51" s="246"/>
      <c r="M51" s="230"/>
      <c r="O51" s="211"/>
      <c r="P51" s="223"/>
      <c r="Q51" s="224"/>
      <c r="R51" s="223"/>
      <c r="S51" s="211"/>
    </row>
    <row r="52" spans="1:19" ht="12">
      <c r="A52" s="122"/>
      <c r="B52" s="138"/>
      <c r="C52" s="130"/>
      <c r="D52" s="231"/>
      <c r="E52" s="235"/>
      <c r="F52" s="236"/>
      <c r="G52" s="241" t="s">
        <v>9</v>
      </c>
      <c r="H52" s="232"/>
      <c r="I52" s="233"/>
      <c r="J52" s="82"/>
      <c r="K52" s="244"/>
      <c r="L52" s="236"/>
      <c r="M52" s="234"/>
      <c r="O52" s="211"/>
      <c r="P52" s="223"/>
      <c r="Q52" s="224"/>
      <c r="R52" s="225"/>
      <c r="S52" s="211"/>
    </row>
    <row r="53" spans="1:19" ht="12">
      <c r="A53" s="123"/>
      <c r="B53" s="120"/>
      <c r="C53" s="131"/>
      <c r="D53" s="237"/>
      <c r="E53" s="114"/>
      <c r="F53" s="192"/>
      <c r="G53" s="242" t="s">
        <v>10</v>
      </c>
      <c r="H53" s="117"/>
      <c r="I53" s="195"/>
      <c r="J53" s="115"/>
      <c r="K53" s="199" t="str">
        <f>L4</f>
        <v>Pázmándi Viktor</v>
      </c>
      <c r="L53" s="192"/>
      <c r="M53" s="238"/>
      <c r="O53" s="211"/>
      <c r="P53" s="211"/>
      <c r="Q53" s="211"/>
      <c r="R53" s="211"/>
      <c r="S53" s="211"/>
    </row>
    <row r="54" spans="15:19" ht="12">
      <c r="O54" s="211"/>
      <c r="P54" s="211"/>
      <c r="Q54" s="211"/>
      <c r="R54" s="211"/>
      <c r="S54" s="211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0" stopIfTrue="1">
      <formula>$O$1="CU"</formula>
    </cfRule>
  </conditionalFormatting>
  <conditionalFormatting sqref="E7 E9 E11 E13 E15 E17 E19:E21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7" sqref="B7:E9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9" customWidth="1"/>
    <col min="5" max="5" width="12.140625" style="300" customWidth="1"/>
    <col min="6" max="6" width="6.140625" style="88" hidden="1" customWidth="1"/>
    <col min="7" max="7" width="31.4218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Match Point Play + 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21" t="str">
        <f>Altalanos!$D$8</f>
        <v>L10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2022.02.05-06.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Pázmándi Viktor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324" t="s">
        <v>173</v>
      </c>
      <c r="C7" s="324" t="s">
        <v>174</v>
      </c>
      <c r="D7" s="324" t="s">
        <v>175</v>
      </c>
      <c r="E7" s="324">
        <v>1203221</v>
      </c>
      <c r="F7" s="286"/>
      <c r="G7" s="287"/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4" t="s">
        <v>176</v>
      </c>
      <c r="C8" s="324" t="s">
        <v>177</v>
      </c>
      <c r="D8" s="324" t="s">
        <v>178</v>
      </c>
      <c r="E8" s="324">
        <v>120127</v>
      </c>
      <c r="F8" s="288"/>
      <c r="G8" s="289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4" t="s">
        <v>132</v>
      </c>
      <c r="C9" s="324" t="s">
        <v>179</v>
      </c>
      <c r="D9" s="324" t="s">
        <v>180</v>
      </c>
      <c r="E9" s="324">
        <v>120410</v>
      </c>
      <c r="F9" s="288"/>
      <c r="G9" s="289"/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90"/>
      <c r="C10" s="90"/>
      <c r="D10" s="91"/>
      <c r="E10" s="162"/>
      <c r="F10" s="288"/>
      <c r="G10" s="289"/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90"/>
      <c r="C11" s="90"/>
      <c r="D11" s="91"/>
      <c r="E11" s="162"/>
      <c r="F11" s="288"/>
      <c r="G11" s="289"/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90"/>
      <c r="C12" s="90"/>
      <c r="D12" s="91"/>
      <c r="E12" s="162"/>
      <c r="F12" s="288"/>
      <c r="G12" s="289"/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90"/>
      <c r="C13" s="90"/>
      <c r="D13" s="91"/>
      <c r="E13" s="162"/>
      <c r="F13" s="288"/>
      <c r="G13" s="289"/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90"/>
      <c r="C14" s="90"/>
      <c r="D14" s="91"/>
      <c r="E14" s="162"/>
      <c r="F14" s="288"/>
      <c r="G14" s="289"/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10:E156">
    <cfRule type="expression" priority="16" dxfId="5" stopIfTrue="1">
      <formula>AND(ROUNDDOWN(($A$4-E10)/365.25,0)&lt;=13,G10&lt;&gt;"OK")</formula>
    </cfRule>
    <cfRule type="expression" priority="17" dxfId="4" stopIfTrue="1">
      <formula>AND(ROUNDDOWN(($A$4-E10)/365.25,0)&lt;=14,G10&lt;&gt;"OK")</formula>
    </cfRule>
    <cfRule type="expression" priority="18" dxfId="3" stopIfTrue="1">
      <formula>AND(ROUNDDOWN(($A$4-E10)/365.25,0)&lt;=17,G10&lt;&gt;"OK")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10:D156 A7:A9">
    <cfRule type="expression" priority="14" dxfId="2" stopIfTrue="1">
      <formula>$Q7&gt;=1</formula>
    </cfRule>
  </conditionalFormatting>
  <conditionalFormatting sqref="E10:E14">
    <cfRule type="expression" priority="11" dxfId="5" stopIfTrue="1">
      <formula>AND(ROUNDDOWN(($A$4-E10)/365.25,0)&lt;=13,G10&lt;&gt;"OK")</formula>
    </cfRule>
    <cfRule type="expression" priority="12" dxfId="4" stopIfTrue="1">
      <formula>AND(ROUNDDOWN(($A$4-E10)/365.25,0)&lt;=14,G10&lt;&gt;"OK")</formula>
    </cfRule>
    <cfRule type="expression" priority="13" dxfId="3" stopIfTrue="1">
      <formula>AND(ROUNDDOWN(($A$4-E10)/365.25,0)&lt;=17,G10&lt;&gt;"OK")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10:D14">
    <cfRule type="expression" priority="9" dxfId="2" stopIfTrue="1">
      <formula>$Q10&gt;=1</formula>
    </cfRule>
  </conditionalFormatting>
  <conditionalFormatting sqref="E10:E14">
    <cfRule type="expression" priority="6" dxfId="5" stopIfTrue="1">
      <formula>AND(ROUNDDOWN(($A$4-E10)/365.25,0)&lt;=13,G10&lt;&gt;"OK")</formula>
    </cfRule>
    <cfRule type="expression" priority="7" dxfId="4" stopIfTrue="1">
      <formula>AND(ROUNDDOWN(($A$4-E10)/365.25,0)&lt;=14,G10&lt;&gt;"OK")</formula>
    </cfRule>
    <cfRule type="expression" priority="8" dxfId="3" stopIfTrue="1">
      <formula>AND(ROUNDDOWN(($A$4-E10)/365.25,0)&lt;=17,G10&lt;&gt;"OK")</formula>
    </cfRule>
  </conditionalFormatting>
  <conditionalFormatting sqref="B10:D14">
    <cfRule type="expression" priority="5" dxfId="2" stopIfTrue="1">
      <formula>$Q10&gt;=1</formula>
    </cfRule>
  </conditionalFormatting>
  <conditionalFormatting sqref="E10:E27 E29:E37">
    <cfRule type="expression" priority="2" dxfId="5" stopIfTrue="1">
      <formula>AND(ROUNDDOWN(($A$4-E10)/365.25,0)&lt;=13,G10&lt;&gt;"OK")</formula>
    </cfRule>
    <cfRule type="expression" priority="3" dxfId="4" stopIfTrue="1">
      <formula>AND(ROUNDDOWN(($A$4-E10)/365.25,0)&lt;=14,G10&lt;&gt;"OK")</formula>
    </cfRule>
    <cfRule type="expression" priority="4" dxfId="3" stopIfTrue="1">
      <formula>AND(ROUNDDOWN(($A$4-E10)/365.25,0)&lt;=17,G10&lt;&gt;"OK")</formula>
    </cfRule>
  </conditionalFormatting>
  <conditionalFormatting sqref="B10:D37">
    <cfRule type="expression" priority="1" dxfId="2" stopIfTrue="1">
      <formula>$Q10&gt;=1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Pázmándi-Drabik Judit Erzsébet</cp:lastModifiedBy>
  <cp:lastPrinted>2016-03-12T10:05:59Z</cp:lastPrinted>
  <dcterms:created xsi:type="dcterms:W3CDTF">1998-01-18T23:10:02Z</dcterms:created>
  <dcterms:modified xsi:type="dcterms:W3CDTF">2022-02-06T08:31:47Z</dcterms:modified>
  <cp:category>Forms</cp:category>
  <cp:version/>
  <cp:contentType/>
  <cp:contentStatus/>
</cp:coreProperties>
</file>