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0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3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5\Budapest\"/>
    </mc:Choice>
  </mc:AlternateContent>
  <xr:revisionPtr revIDLastSave="0" documentId="8_{E04DD5C1-4173-4378-8C13-4E943311BBA3}" xr6:coauthVersionLast="47" xr6:coauthVersionMax="47" xr10:uidLastSave="{00000000-0000-0000-0000-000000000000}"/>
  <bookViews>
    <workbookView xWindow="-108" yWindow="-108" windowWidth="23256" windowHeight="13176" tabRatio="884" activeTab="3" xr2:uid="{888BD88A-7398-4D5E-A5D7-9F605EB32B78}"/>
  </bookViews>
  <sheets>
    <sheet name="Altalanos" sheetId="1" r:id="rId1"/>
    <sheet name="Birók" sheetId="2" r:id="rId2"/>
    <sheet name="F12 csapat ELO" sheetId="9" state="hidden" r:id="rId3"/>
    <sheet name="F12 csapat" sheetId="85" r:id="rId4"/>
    <sheet name="F12csapat vigasz" sheetId="238" r:id="rId5"/>
    <sheet name="F14 csapat ELO" sheetId="231" state="hidden" r:id="rId6"/>
    <sheet name="F14 csapat" sheetId="239" r:id="rId7"/>
    <sheet name="F16 csapat ELO" sheetId="279" state="hidden" r:id="rId8"/>
    <sheet name="F16 csapat" sheetId="287" r:id="rId9"/>
    <sheet name="F18 csapat ELO" sheetId="303" state="hidden" r:id="rId10"/>
    <sheet name="Fiú 18 csapat" sheetId="311" r:id="rId1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'F12 csapat ELO'!$1:$6</definedName>
    <definedName name="_xlnm.Print_Titles" localSheetId="5">'F14 csapat ELO'!$1:$6</definedName>
    <definedName name="_xlnm.Print_Titles" localSheetId="7">'F16 csapat ELO'!$1:$6</definedName>
    <definedName name="_xlnm.Print_Titles" localSheetId="9">'F18 csapat ELO'!$1:$6</definedName>
    <definedName name="_xlnm.Print_Area" localSheetId="1">Birók!$A$1:$N$29</definedName>
    <definedName name="_xlnm.Print_Area" localSheetId="3">'F12 csapat'!$A$1:$R$62</definedName>
    <definedName name="_xlnm.Print_Area" localSheetId="2">'F12 csapat ELO'!$A$1:$Q$134</definedName>
    <definedName name="_xlnm.Print_Area" localSheetId="4">'F12csapat vigasz'!$A$1:$R$62</definedName>
    <definedName name="_xlnm.Print_Area" localSheetId="6">'F14 csapat'!$A$1:$R$57</definedName>
    <definedName name="_xlnm.Print_Area" localSheetId="5">'F14 csapat ELO'!$A$1:$Q$134</definedName>
    <definedName name="_xlnm.Print_Area" localSheetId="8">'F16 csapat'!$A$1:$R$57</definedName>
    <definedName name="_xlnm.Print_Area" localSheetId="7">'F16 csapat ELO'!$A$1:$Q$134</definedName>
    <definedName name="_xlnm.Print_Area" localSheetId="9">'F18 csapat ELO'!$A$1:$Q$134</definedName>
    <definedName name="_xlnm.Print_Area" localSheetId="10">'Fiú 18 csapat'!$A$1:$R$57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11" l="1"/>
  <c r="C2" i="303"/>
  <c r="R57" i="311"/>
  <c r="F53" i="311"/>
  <c r="F51" i="311"/>
  <c r="F50" i="311"/>
  <c r="I37" i="311"/>
  <c r="G37" i="311"/>
  <c r="F37" i="311"/>
  <c r="D37" i="311"/>
  <c r="C37" i="311"/>
  <c r="B37" i="311"/>
  <c r="K36" i="311"/>
  <c r="M34" i="311" s="1"/>
  <c r="O30" i="311" s="1"/>
  <c r="Q22" i="311" s="1"/>
  <c r="I35" i="311"/>
  <c r="G35" i="311"/>
  <c r="F35" i="311"/>
  <c r="D35" i="311"/>
  <c r="C35" i="311"/>
  <c r="B35" i="311"/>
  <c r="I33" i="311"/>
  <c r="G33" i="311"/>
  <c r="F33" i="311"/>
  <c r="D33" i="311"/>
  <c r="C33" i="311"/>
  <c r="B33" i="311"/>
  <c r="K32" i="311"/>
  <c r="I31" i="311"/>
  <c r="G31" i="311"/>
  <c r="F31" i="311"/>
  <c r="D31" i="311"/>
  <c r="C31" i="311"/>
  <c r="B31" i="311"/>
  <c r="I29" i="311"/>
  <c r="G29" i="311"/>
  <c r="F29" i="311"/>
  <c r="D29" i="311"/>
  <c r="C29" i="311"/>
  <c r="B29" i="311"/>
  <c r="I27" i="311"/>
  <c r="G27" i="311"/>
  <c r="F27" i="311"/>
  <c r="K28" i="311" s="1"/>
  <c r="M26" i="311" s="1"/>
  <c r="D27" i="311"/>
  <c r="C27" i="311"/>
  <c r="B27" i="311"/>
  <c r="I25" i="311"/>
  <c r="G25" i="311"/>
  <c r="F25" i="311"/>
  <c r="D25" i="311"/>
  <c r="C25" i="311"/>
  <c r="B25" i="311"/>
  <c r="K24" i="311"/>
  <c r="I23" i="311"/>
  <c r="G23" i="311"/>
  <c r="F23" i="311"/>
  <c r="D23" i="311"/>
  <c r="C23" i="311"/>
  <c r="B23" i="311"/>
  <c r="I21" i="311"/>
  <c r="G21" i="311"/>
  <c r="F21" i="311"/>
  <c r="D21" i="311"/>
  <c r="C21" i="311"/>
  <c r="B21" i="311"/>
  <c r="I19" i="311"/>
  <c r="G19" i="311"/>
  <c r="F19" i="311"/>
  <c r="K20" i="311" s="1"/>
  <c r="M18" i="311" s="1"/>
  <c r="D19" i="311"/>
  <c r="C19" i="311"/>
  <c r="B19" i="311"/>
  <c r="I17" i="311"/>
  <c r="G17" i="311"/>
  <c r="F17" i="311"/>
  <c r="D17" i="311"/>
  <c r="C17" i="311"/>
  <c r="B17" i="311"/>
  <c r="U16" i="311"/>
  <c r="I15" i="311"/>
  <c r="G15" i="311"/>
  <c r="F15" i="311"/>
  <c r="K16" i="311" s="1"/>
  <c r="D15" i="311"/>
  <c r="C15" i="311"/>
  <c r="B15" i="311"/>
  <c r="O14" i="311"/>
  <c r="I13" i="311"/>
  <c r="G13" i="311"/>
  <c r="F13" i="311"/>
  <c r="D13" i="311"/>
  <c r="C13" i="311"/>
  <c r="B13" i="311"/>
  <c r="K12" i="311"/>
  <c r="I11" i="311"/>
  <c r="G11" i="311"/>
  <c r="F11" i="311"/>
  <c r="D11" i="311"/>
  <c r="C11" i="311"/>
  <c r="B11" i="311"/>
  <c r="I9" i="311"/>
  <c r="G9" i="311"/>
  <c r="F9" i="311"/>
  <c r="D9" i="311"/>
  <c r="C9" i="311"/>
  <c r="B9" i="311"/>
  <c r="U7" i="311"/>
  <c r="I7" i="311"/>
  <c r="G7" i="311"/>
  <c r="F7" i="311"/>
  <c r="K8" i="311" s="1"/>
  <c r="M10" i="311" s="1"/>
  <c r="D7" i="311"/>
  <c r="C7" i="311"/>
  <c r="B7" i="311"/>
  <c r="Y5" i="311"/>
  <c r="AD1" i="311" s="1"/>
  <c r="R4" i="311"/>
  <c r="O57" i="311"/>
  <c r="G4" i="311"/>
  <c r="A4" i="311"/>
  <c r="Y3" i="311"/>
  <c r="Q6" i="311"/>
  <c r="AG1" i="311"/>
  <c r="A1" i="311"/>
  <c r="P156" i="303"/>
  <c r="M156" i="303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/>
  <c r="L109" i="303"/>
  <c r="K109" i="303"/>
  <c r="J109" i="303"/>
  <c r="P108" i="303"/>
  <c r="M108" i="303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E2" i="287"/>
  <c r="C2" i="279"/>
  <c r="R57" i="287"/>
  <c r="F50" i="287" s="1"/>
  <c r="F53" i="287"/>
  <c r="I37" i="287"/>
  <c r="G37" i="287"/>
  <c r="F37" i="287"/>
  <c r="D37" i="287"/>
  <c r="C37" i="287"/>
  <c r="B37" i="287"/>
  <c r="K36" i="287"/>
  <c r="M34" i="287" s="1"/>
  <c r="O30" i="287" s="1"/>
  <c r="Q22" i="287" s="1"/>
  <c r="I35" i="287"/>
  <c r="G35" i="287"/>
  <c r="F35" i="287"/>
  <c r="D35" i="287"/>
  <c r="C35" i="287"/>
  <c r="B35" i="287"/>
  <c r="I33" i="287"/>
  <c r="G33" i="287"/>
  <c r="F33" i="287"/>
  <c r="D33" i="287"/>
  <c r="C33" i="287"/>
  <c r="B33" i="287"/>
  <c r="I31" i="287"/>
  <c r="G31" i="287"/>
  <c r="F31" i="287"/>
  <c r="K32" i="287" s="1"/>
  <c r="D31" i="287"/>
  <c r="C31" i="287"/>
  <c r="B31" i="287"/>
  <c r="I29" i="287"/>
  <c r="G29" i="287"/>
  <c r="F29" i="287"/>
  <c r="D29" i="287"/>
  <c r="C29" i="287"/>
  <c r="B29" i="287"/>
  <c r="K28" i="287"/>
  <c r="M26" i="287" s="1"/>
  <c r="I27" i="287"/>
  <c r="G27" i="287"/>
  <c r="F27" i="287"/>
  <c r="D27" i="287"/>
  <c r="C27" i="287"/>
  <c r="B27" i="287"/>
  <c r="I25" i="287"/>
  <c r="G25" i="287"/>
  <c r="F25" i="287"/>
  <c r="D25" i="287"/>
  <c r="C25" i="287"/>
  <c r="B25" i="287"/>
  <c r="I23" i="287"/>
  <c r="G23" i="287"/>
  <c r="F23" i="287"/>
  <c r="K24" i="287" s="1"/>
  <c r="D23" i="287"/>
  <c r="C23" i="287"/>
  <c r="B23" i="287"/>
  <c r="I21" i="287"/>
  <c r="G21" i="287"/>
  <c r="F21" i="287"/>
  <c r="D21" i="287"/>
  <c r="C21" i="287"/>
  <c r="B21" i="287"/>
  <c r="K20" i="287"/>
  <c r="I19" i="287"/>
  <c r="G19" i="287"/>
  <c r="F19" i="287"/>
  <c r="D19" i="287"/>
  <c r="C19" i="287"/>
  <c r="B19" i="287"/>
  <c r="I17" i="287"/>
  <c r="G17" i="287"/>
  <c r="F17" i="287"/>
  <c r="D17" i="287"/>
  <c r="C17" i="287"/>
  <c r="B17" i="287"/>
  <c r="U16" i="287"/>
  <c r="K16" i="287"/>
  <c r="M18" i="287" s="1"/>
  <c r="O14" i="287" s="1"/>
  <c r="I15" i="287"/>
  <c r="G15" i="287"/>
  <c r="F15" i="287"/>
  <c r="D15" i="287"/>
  <c r="C15" i="287"/>
  <c r="B15" i="287"/>
  <c r="I13" i="287"/>
  <c r="G13" i="287"/>
  <c r="F13" i="287"/>
  <c r="D13" i="287"/>
  <c r="C13" i="287"/>
  <c r="B13" i="287"/>
  <c r="I11" i="287"/>
  <c r="G11" i="287"/>
  <c r="F11" i="287"/>
  <c r="K12" i="287" s="1"/>
  <c r="D11" i="287"/>
  <c r="C11" i="287"/>
  <c r="B11" i="287"/>
  <c r="M10" i="287"/>
  <c r="I9" i="287"/>
  <c r="G9" i="287"/>
  <c r="F9" i="287"/>
  <c r="D9" i="287"/>
  <c r="C9" i="287"/>
  <c r="B9" i="287"/>
  <c r="U7" i="287"/>
  <c r="I7" i="287"/>
  <c r="G7" i="287"/>
  <c r="F7" i="287"/>
  <c r="K8" i="287" s="1"/>
  <c r="D7" i="287"/>
  <c r="C7" i="287"/>
  <c r="B7" i="287"/>
  <c r="Y5" i="287"/>
  <c r="AF1" i="287" s="1"/>
  <c r="AH1" i="287"/>
  <c r="R4" i="287"/>
  <c r="O57" i="287"/>
  <c r="G4" i="287"/>
  <c r="A4" i="287"/>
  <c r="Y3" i="287"/>
  <c r="Q6" i="287"/>
  <c r="A1" i="287"/>
  <c r="P156" i="279"/>
  <c r="M156" i="279" s="1"/>
  <c r="L156" i="279"/>
  <c r="K156" i="279"/>
  <c r="J156" i="279"/>
  <c r="P155" i="279"/>
  <c r="M155" i="279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/>
  <c r="L114" i="279"/>
  <c r="K114" i="279"/>
  <c r="J114" i="279"/>
  <c r="P113" i="279"/>
  <c r="M113" i="279" s="1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/>
  <c r="L75" i="279"/>
  <c r="K75" i="279"/>
  <c r="J75" i="279"/>
  <c r="P74" i="279"/>
  <c r="M74" i="279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/>
  <c r="L43" i="279"/>
  <c r="K43" i="279"/>
  <c r="J43" i="279"/>
  <c r="P42" i="279"/>
  <c r="M42" i="279"/>
  <c r="L42" i="279"/>
  <c r="K42" i="279"/>
  <c r="J42" i="279"/>
  <c r="P41" i="279"/>
  <c r="M41" i="279" s="1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9"/>
  <c r="C2" i="231"/>
  <c r="R57" i="239"/>
  <c r="F51" i="239" s="1"/>
  <c r="F53" i="239"/>
  <c r="F50" i="239"/>
  <c r="I37" i="239"/>
  <c r="G37" i="239"/>
  <c r="F37" i="239"/>
  <c r="D37" i="239"/>
  <c r="C37" i="239"/>
  <c r="B37" i="239"/>
  <c r="K36" i="239"/>
  <c r="M34" i="239" s="1"/>
  <c r="O30" i="239" s="1"/>
  <c r="I35" i="239"/>
  <c r="G35" i="239"/>
  <c r="D35" i="239"/>
  <c r="C35" i="239"/>
  <c r="B35" i="239"/>
  <c r="I33" i="239"/>
  <c r="G33" i="239"/>
  <c r="F33" i="239"/>
  <c r="D33" i="239"/>
  <c r="C33" i="239"/>
  <c r="B33" i="239"/>
  <c r="K32" i="239"/>
  <c r="I31" i="239"/>
  <c r="G31" i="239"/>
  <c r="D31" i="239"/>
  <c r="C31" i="239"/>
  <c r="B31" i="239"/>
  <c r="I29" i="239"/>
  <c r="G29" i="239"/>
  <c r="F29" i="239"/>
  <c r="D29" i="239"/>
  <c r="C29" i="239"/>
  <c r="B29" i="239"/>
  <c r="K28" i="239"/>
  <c r="I27" i="239"/>
  <c r="G27" i="239"/>
  <c r="F27" i="239"/>
  <c r="D27" i="239"/>
  <c r="C27" i="239"/>
  <c r="B27" i="239"/>
  <c r="M26" i="239"/>
  <c r="I25" i="239"/>
  <c r="G25" i="239"/>
  <c r="F25" i="239"/>
  <c r="D25" i="239"/>
  <c r="C25" i="239"/>
  <c r="B25" i="239"/>
  <c r="K24" i="239"/>
  <c r="I23" i="239"/>
  <c r="G23" i="239"/>
  <c r="F23" i="239"/>
  <c r="D23" i="239"/>
  <c r="C23" i="239"/>
  <c r="B23" i="239"/>
  <c r="I21" i="239"/>
  <c r="G21" i="239"/>
  <c r="F21" i="239"/>
  <c r="D21" i="239"/>
  <c r="C21" i="239"/>
  <c r="B21" i="239"/>
  <c r="K20" i="239"/>
  <c r="I19" i="239"/>
  <c r="G19" i="239"/>
  <c r="D19" i="239"/>
  <c r="C19" i="239"/>
  <c r="B19" i="239"/>
  <c r="I17" i="239"/>
  <c r="G17" i="239"/>
  <c r="D17" i="239"/>
  <c r="C17" i="239"/>
  <c r="B17" i="239"/>
  <c r="U16" i="239"/>
  <c r="I15" i="239"/>
  <c r="G15" i="239"/>
  <c r="F15" i="239"/>
  <c r="K16" i="239" s="1"/>
  <c r="M18" i="239" s="1"/>
  <c r="D15" i="239"/>
  <c r="C15" i="239"/>
  <c r="B15" i="239"/>
  <c r="I13" i="239"/>
  <c r="G13" i="239"/>
  <c r="F13" i="239"/>
  <c r="D13" i="239"/>
  <c r="C13" i="239"/>
  <c r="B13" i="239"/>
  <c r="K12" i="239"/>
  <c r="I11" i="239"/>
  <c r="G11" i="239"/>
  <c r="F11" i="239"/>
  <c r="D11" i="239"/>
  <c r="C11" i="239"/>
  <c r="B11" i="239"/>
  <c r="M10" i="239"/>
  <c r="O14" i="239" s="1"/>
  <c r="Q22" i="239" s="1"/>
  <c r="I9" i="239"/>
  <c r="G9" i="239"/>
  <c r="D9" i="239"/>
  <c r="C9" i="239"/>
  <c r="B9" i="239"/>
  <c r="U7" i="239"/>
  <c r="I7" i="239"/>
  <c r="G7" i="239"/>
  <c r="F7" i="239"/>
  <c r="K8" i="239" s="1"/>
  <c r="D7" i="239"/>
  <c r="C7" i="239"/>
  <c r="B7" i="239"/>
  <c r="Y5" i="239"/>
  <c r="R4" i="239"/>
  <c r="O57" i="239" s="1"/>
  <c r="G4" i="239"/>
  <c r="A4" i="239"/>
  <c r="Y3" i="239"/>
  <c r="A1" i="239"/>
  <c r="R62" i="238"/>
  <c r="F55" i="238"/>
  <c r="F56" i="238"/>
  <c r="I21" i="238"/>
  <c r="G21" i="238"/>
  <c r="F21" i="238"/>
  <c r="D21" i="238"/>
  <c r="C21" i="238"/>
  <c r="B21" i="238"/>
  <c r="K20" i="238"/>
  <c r="I19" i="238"/>
  <c r="G19" i="238"/>
  <c r="D19" i="238"/>
  <c r="C19" i="238"/>
  <c r="B19" i="238"/>
  <c r="I17" i="238"/>
  <c r="G17" i="238"/>
  <c r="F17" i="238"/>
  <c r="D17" i="238"/>
  <c r="C17" i="238"/>
  <c r="B17" i="238"/>
  <c r="U16" i="238"/>
  <c r="K16" i="238"/>
  <c r="M18" i="238"/>
  <c r="I15" i="238"/>
  <c r="G15" i="238"/>
  <c r="D15" i="238"/>
  <c r="C15" i="238"/>
  <c r="B15" i="238"/>
  <c r="I13" i="238"/>
  <c r="G13" i="238"/>
  <c r="D13" i="238"/>
  <c r="C13" i="238"/>
  <c r="B13" i="238"/>
  <c r="K12" i="238"/>
  <c r="I11" i="238"/>
  <c r="G11" i="238"/>
  <c r="F11" i="238"/>
  <c r="D11" i="238"/>
  <c r="C11" i="238"/>
  <c r="B11" i="238"/>
  <c r="I9" i="238"/>
  <c r="G9" i="238"/>
  <c r="D9" i="238"/>
  <c r="C9" i="238"/>
  <c r="B9" i="238"/>
  <c r="K8" i="238"/>
  <c r="M10" i="238" s="1"/>
  <c r="O14" i="238" s="1"/>
  <c r="U7" i="238"/>
  <c r="I7" i="238"/>
  <c r="G7" i="238"/>
  <c r="F7" i="238"/>
  <c r="D7" i="238"/>
  <c r="C7" i="238"/>
  <c r="B7" i="238"/>
  <c r="Y5" i="238"/>
  <c r="AG1" i="238"/>
  <c r="R4" i="238"/>
  <c r="O62" i="238" s="1"/>
  <c r="G4" i="238"/>
  <c r="A4" i="238"/>
  <c r="Y3" i="238"/>
  <c r="A1" i="238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/>
  <c r="L89" i="231"/>
  <c r="K89" i="231"/>
  <c r="J89" i="231"/>
  <c r="P88" i="231"/>
  <c r="M88" i="231"/>
  <c r="L88" i="231"/>
  <c r="K88" i="231"/>
  <c r="J88" i="231"/>
  <c r="P87" i="231"/>
  <c r="M87" i="231" s="1"/>
  <c r="L87" i="231"/>
  <c r="K87" i="231"/>
  <c r="J87" i="231"/>
  <c r="P86" i="231"/>
  <c r="M86" i="231"/>
  <c r="L86" i="231"/>
  <c r="K86" i="231"/>
  <c r="J86" i="231"/>
  <c r="P85" i="231"/>
  <c r="M85" i="23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/>
  <c r="L73" i="231"/>
  <c r="K73" i="231"/>
  <c r="J73" i="231"/>
  <c r="P72" i="231"/>
  <c r="M72" i="23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/>
  <c r="L65" i="231"/>
  <c r="K65" i="231"/>
  <c r="J65" i="231"/>
  <c r="P64" i="231"/>
  <c r="M64" i="231"/>
  <c r="L64" i="231"/>
  <c r="K64" i="231"/>
  <c r="J64" i="231"/>
  <c r="P63" i="231"/>
  <c r="M63" i="231" s="1"/>
  <c r="L63" i="231"/>
  <c r="K63" i="231"/>
  <c r="J63" i="231"/>
  <c r="P62" i="231"/>
  <c r="M62" i="231"/>
  <c r="L62" i="231"/>
  <c r="K62" i="231"/>
  <c r="J62" i="231"/>
  <c r="P61" i="231"/>
  <c r="M61" i="23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/>
  <c r="L58" i="231"/>
  <c r="K58" i="231"/>
  <c r="J58" i="231"/>
  <c r="P57" i="231"/>
  <c r="M57" i="23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/>
  <c r="L54" i="231"/>
  <c r="K54" i="231"/>
  <c r="J54" i="231"/>
  <c r="P53" i="231"/>
  <c r="M53" i="23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/>
  <c r="L45" i="231"/>
  <c r="K45" i="231"/>
  <c r="J45" i="231"/>
  <c r="P44" i="231"/>
  <c r="M44" i="23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I9" i="85"/>
  <c r="C5" i="9"/>
  <c r="D5" i="9"/>
  <c r="H5" i="9"/>
  <c r="P22" i="2"/>
  <c r="U8" i="85" s="1"/>
  <c r="P23" i="2"/>
  <c r="U9" i="239" s="1"/>
  <c r="P24" i="2"/>
  <c r="U10" i="239" s="1"/>
  <c r="P25" i="2"/>
  <c r="P26" i="2"/>
  <c r="U12" i="85" s="1"/>
  <c r="P27" i="2"/>
  <c r="U13" i="85" s="1"/>
  <c r="U13" i="311"/>
  <c r="P28" i="2"/>
  <c r="P29" i="2"/>
  <c r="U15" i="238" s="1"/>
  <c r="Y3" i="85"/>
  <c r="K6" i="85" s="1"/>
  <c r="AD1" i="85"/>
  <c r="Y5" i="85"/>
  <c r="AE1" i="85"/>
  <c r="F6" i="85"/>
  <c r="M6" i="85"/>
  <c r="AH1" i="85"/>
  <c r="R62" i="85"/>
  <c r="F56" i="85"/>
  <c r="R4" i="85"/>
  <c r="O62" i="85"/>
  <c r="F55" i="85"/>
  <c r="I21" i="85"/>
  <c r="G21" i="85"/>
  <c r="F21" i="85"/>
  <c r="D21" i="85"/>
  <c r="C21" i="85"/>
  <c r="B21" i="85"/>
  <c r="K20" i="85"/>
  <c r="M18" i="85" s="1"/>
  <c r="O14" i="85" s="1"/>
  <c r="I19" i="85"/>
  <c r="G19" i="85"/>
  <c r="F19" i="85"/>
  <c r="D19" i="85"/>
  <c r="C19" i="85"/>
  <c r="B19" i="85"/>
  <c r="I17" i="85"/>
  <c r="G17" i="85"/>
  <c r="F17" i="85"/>
  <c r="K16" i="85" s="1"/>
  <c r="D17" i="85"/>
  <c r="C17" i="85"/>
  <c r="B17" i="85"/>
  <c r="U16" i="85"/>
  <c r="U15" i="85"/>
  <c r="I15" i="85"/>
  <c r="G15" i="85"/>
  <c r="F15" i="85"/>
  <c r="D15" i="85"/>
  <c r="C15" i="85"/>
  <c r="B15" i="85"/>
  <c r="U14" i="85"/>
  <c r="I13" i="85"/>
  <c r="G13" i="85"/>
  <c r="F13" i="85"/>
  <c r="D13" i="85"/>
  <c r="C13" i="85"/>
  <c r="B13" i="85"/>
  <c r="U11" i="85"/>
  <c r="I11" i="85"/>
  <c r="G11" i="85"/>
  <c r="F11" i="85"/>
  <c r="K12" i="85" s="1"/>
  <c r="D11" i="85"/>
  <c r="C11" i="85"/>
  <c r="B11" i="85"/>
  <c r="U9" i="85"/>
  <c r="G9" i="85"/>
  <c r="F9" i="85"/>
  <c r="D9" i="85"/>
  <c r="C9" i="85"/>
  <c r="B9" i="85"/>
  <c r="U7" i="85"/>
  <c r="I7" i="85"/>
  <c r="G7" i="85"/>
  <c r="F7" i="85"/>
  <c r="K8" i="85" s="1"/>
  <c r="M10" i="85" s="1"/>
  <c r="D7" i="85"/>
  <c r="C7" i="85"/>
  <c r="B7" i="85"/>
  <c r="G4" i="85"/>
  <c r="A4" i="85"/>
  <c r="E2" i="85"/>
  <c r="A1" i="85"/>
  <c r="J151" i="9"/>
  <c r="K151" i="9"/>
  <c r="L151" i="9"/>
  <c r="P151" i="9"/>
  <c r="M151" i="9"/>
  <c r="J152" i="9"/>
  <c r="K152" i="9"/>
  <c r="L152" i="9"/>
  <c r="P152" i="9"/>
  <c r="M152" i="9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/>
  <c r="J137" i="9"/>
  <c r="K137" i="9"/>
  <c r="L137" i="9"/>
  <c r="P137" i="9"/>
  <c r="M137" i="9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/>
  <c r="J142" i="9"/>
  <c r="K142" i="9"/>
  <c r="L142" i="9"/>
  <c r="P142" i="9"/>
  <c r="M142" i="9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/>
  <c r="J47" i="9"/>
  <c r="K47" i="9"/>
  <c r="L47" i="9"/>
  <c r="P47" i="9"/>
  <c r="M47" i="9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/>
  <c r="J55" i="9"/>
  <c r="K55" i="9"/>
  <c r="L55" i="9"/>
  <c r="P55" i="9"/>
  <c r="M55" i="9"/>
  <c r="J56" i="9"/>
  <c r="K56" i="9"/>
  <c r="L56" i="9"/>
  <c r="P56" i="9"/>
  <c r="M56" i="9" s="1"/>
  <c r="J57" i="9"/>
  <c r="K57" i="9"/>
  <c r="L57" i="9"/>
  <c r="P57" i="9"/>
  <c r="M57" i="9"/>
  <c r="J58" i="9"/>
  <c r="K58" i="9"/>
  <c r="L58" i="9"/>
  <c r="P58" i="9"/>
  <c r="M58" i="9"/>
  <c r="J59" i="9"/>
  <c r="K59" i="9"/>
  <c r="L59" i="9"/>
  <c r="P59" i="9"/>
  <c r="M59" i="9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/>
  <c r="J63" i="9"/>
  <c r="K63" i="9"/>
  <c r="L63" i="9"/>
  <c r="P63" i="9"/>
  <c r="M63" i="9"/>
  <c r="J64" i="9"/>
  <c r="K64" i="9"/>
  <c r="L64" i="9"/>
  <c r="P64" i="9"/>
  <c r="M64" i="9" s="1"/>
  <c r="J65" i="9"/>
  <c r="K65" i="9"/>
  <c r="L65" i="9"/>
  <c r="P65" i="9"/>
  <c r="M65" i="9"/>
  <c r="J66" i="9"/>
  <c r="K66" i="9"/>
  <c r="L66" i="9"/>
  <c r="P66" i="9"/>
  <c r="M66" i="9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/>
  <c r="J71" i="9"/>
  <c r="K71" i="9"/>
  <c r="L71" i="9"/>
  <c r="P71" i="9"/>
  <c r="M71" i="9"/>
  <c r="J72" i="9"/>
  <c r="K72" i="9"/>
  <c r="L72" i="9"/>
  <c r="P72" i="9"/>
  <c r="M72" i="9" s="1"/>
  <c r="J73" i="9"/>
  <c r="K73" i="9"/>
  <c r="L73" i="9"/>
  <c r="P73" i="9"/>
  <c r="M73" i="9"/>
  <c r="J74" i="9"/>
  <c r="K74" i="9"/>
  <c r="L74" i="9"/>
  <c r="P74" i="9"/>
  <c r="M74" i="9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/>
  <c r="J82" i="9"/>
  <c r="K82" i="9"/>
  <c r="L82" i="9"/>
  <c r="P82" i="9"/>
  <c r="M82" i="9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/>
  <c r="J90" i="9"/>
  <c r="K90" i="9"/>
  <c r="L90" i="9"/>
  <c r="P90" i="9"/>
  <c r="M90" i="9"/>
  <c r="J91" i="9"/>
  <c r="K91" i="9"/>
  <c r="L91" i="9"/>
  <c r="P91" i="9"/>
  <c r="M91" i="9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/>
  <c r="J95" i="9"/>
  <c r="K95" i="9"/>
  <c r="L95" i="9"/>
  <c r="P95" i="9"/>
  <c r="M95" i="9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/>
  <c r="J102" i="9"/>
  <c r="K102" i="9"/>
  <c r="L102" i="9"/>
  <c r="P102" i="9"/>
  <c r="M102" i="9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/>
  <c r="J107" i="9"/>
  <c r="K107" i="9"/>
  <c r="L107" i="9"/>
  <c r="P107" i="9"/>
  <c r="M107" i="9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/>
  <c r="J118" i="9"/>
  <c r="K118" i="9"/>
  <c r="L118" i="9"/>
  <c r="P118" i="9"/>
  <c r="M118" i="9"/>
  <c r="J119" i="9"/>
  <c r="K119" i="9"/>
  <c r="L119" i="9"/>
  <c r="P119" i="9"/>
  <c r="M119" i="9"/>
  <c r="J120" i="9"/>
  <c r="K120" i="9"/>
  <c r="L120" i="9"/>
  <c r="P120" i="9"/>
  <c r="M120" i="9" s="1"/>
  <c r="J121" i="9"/>
  <c r="K121" i="9"/>
  <c r="L121" i="9"/>
  <c r="P121" i="9"/>
  <c r="M121" i="9"/>
  <c r="J122" i="9"/>
  <c r="K122" i="9"/>
  <c r="L122" i="9"/>
  <c r="P122" i="9"/>
  <c r="M122" i="9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/>
  <c r="J127" i="9"/>
  <c r="K127" i="9"/>
  <c r="L127" i="9"/>
  <c r="P127" i="9"/>
  <c r="M127" i="9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/>
  <c r="J134" i="9"/>
  <c r="K134" i="9"/>
  <c r="L134" i="9"/>
  <c r="P134" i="9"/>
  <c r="M134" i="9"/>
  <c r="A1" i="9"/>
  <c r="F6" i="239"/>
  <c r="K6" i="239"/>
  <c r="M6" i="239"/>
  <c r="O6" i="239"/>
  <c r="U9" i="238"/>
  <c r="U9" i="287"/>
  <c r="F6" i="311"/>
  <c r="K6" i="311"/>
  <c r="M6" i="311"/>
  <c r="O6" i="311"/>
  <c r="F6" i="287"/>
  <c r="K6" i="287"/>
  <c r="M6" i="287"/>
  <c r="O6" i="287"/>
  <c r="U12" i="311"/>
  <c r="U12" i="287"/>
  <c r="U12" i="238"/>
  <c r="O6" i="85"/>
  <c r="U15" i="311"/>
  <c r="U15" i="287"/>
  <c r="U11" i="311"/>
  <c r="U11" i="287"/>
  <c r="U11" i="238"/>
  <c r="U14" i="287"/>
  <c r="U14" i="239"/>
  <c r="U10" i="311"/>
  <c r="U13" i="238"/>
  <c r="U11" i="239"/>
  <c r="U15" i="239"/>
  <c r="U13" i="287"/>
  <c r="AF1" i="238"/>
  <c r="U10" i="238"/>
  <c r="U14" i="238"/>
  <c r="AG1" i="239"/>
  <c r="AC1" i="239"/>
  <c r="Q6" i="239"/>
  <c r="AE1" i="239"/>
  <c r="AG1" i="287"/>
  <c r="AB1" i="287"/>
  <c r="U10" i="287"/>
  <c r="U14" i="311"/>
  <c r="AF1" i="311"/>
  <c r="AB1" i="311"/>
  <c r="AB1" i="239"/>
  <c r="F51" i="287"/>
  <c r="AH1" i="239"/>
  <c r="F52" i="287"/>
  <c r="AH1" i="311"/>
  <c r="F52" i="311"/>
  <c r="AC1" i="311"/>
  <c r="AD1" i="287"/>
  <c r="AC1" i="287"/>
  <c r="AE1" i="311"/>
  <c r="AE1" i="287"/>
  <c r="AD1" i="238"/>
  <c r="AE1" i="238"/>
  <c r="AC1" i="238"/>
  <c r="AH1" i="238"/>
  <c r="AB1" i="238"/>
  <c r="F6" i="238" s="1"/>
  <c r="U8" i="311" l="1"/>
  <c r="U8" i="239"/>
  <c r="O6" i="238"/>
  <c r="M6" i="238"/>
  <c r="U8" i="287"/>
  <c r="U8" i="238"/>
  <c r="U10" i="85"/>
  <c r="AF1" i="85"/>
  <c r="AC1" i="85"/>
  <c r="AB1" i="85"/>
  <c r="K6" i="238"/>
  <c r="U13" i="239"/>
  <c r="U12" i="239"/>
  <c r="U9" i="311"/>
  <c r="AG1" i="85"/>
  <c r="AF1" i="239"/>
  <c r="AD1" i="239"/>
  <c r="F52" i="2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89C7B455-EC96-4E0B-BFD3-AE18790E65B1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105E48D3-490F-4719-9CB2-D93D5CD38903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85CADDE-0DBB-4727-BF03-381AFC5880B7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7078AC11-B374-4D28-9406-EE4A6D604B3D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567D393A-8BC1-465D-B37E-91976E63BCCD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1DBF672B-6B83-4518-A956-F0B3AA8C9A94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71CBF43C-C336-4294-81CF-21FF99D2CCC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EB9010C7-E98D-4687-8566-228B5F836762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A761ABF0-C67B-458E-A4B6-DA45518046D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2983B7B5-508F-404C-9778-5B01779AC8E8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A701B457-344A-4586-A298-3919E39797B4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E995430C-6541-44C6-9CE5-8B44694A8083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FA0C23E-9350-4275-B194-3CAA3B9E1B0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<sst xmlns="http://schemas.openxmlformats.org/spreadsheetml/2006/main" count="644" uniqueCount="147">
  <si>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</si>
  <si>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</si>
  <si>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</si>
  <si>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</si>
  <si>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</si>
  <si>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</si>
  <si>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</si>
  <si>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</si>
  <si>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</si>
  <si>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</si>
  <si>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</si>
  <si>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</si>
  <si>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</si>
  <si>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</si>
  <si>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</si>
  <si>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</si>
  <si>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</si>
  <si>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</si>
  <si>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</si>
  <si>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</si>
  <si>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</si>
  <si>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</si>
  <si>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</si>
  <si>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</si>
  <si>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</si>
  <si>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</si>
  <si>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</si>
  <si>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</si>
  <si>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</si>
  <si>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</si>
  <si>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</si>
  <si>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</si>
  <si>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</si>
  <si>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</si>
  <si>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</si>
  <si>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</si>
  <si>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</si>
  <si>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</si>
  <si>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</si>
  <si>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</si>
  <si>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</si>
  <si>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</si>
  <si>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</si>
  <si>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</si>
  <si>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</si>
  <si>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</si>
  <si>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</si>
  <si>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</si>
  <si>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</si>
  <si>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</si>
  <si>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</si>
  <si>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</si>
  <si>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</si>
  <si>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</si>
  <si>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</si>
  <si>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</si>
  <si>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</si>
  <si>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</si>
  <si>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</si>
  <si>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</si>
  <si>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</si>
  <si>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</si>
  <si>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</si>
  <si>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 xml:space="preserve">  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</si>
  <si>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</si>
  <si>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</si>
  <si>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</si>
  <si>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</si>
  <si>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</si>
  <si>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</si>
  <si>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</si>
  <si>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</si>
  <si>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</si>
  <si>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</si>
  <si>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</si>
  <si>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</si>
  <si>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</si>
  <si>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</si>
  <si>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</si>
  <si>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</si>
  <si>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</si>
  <si>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</si>
  <si>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</si>
  <si>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</si>
  <si>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</si>
  <si>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</si>
  <si>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Budapest Bajnokság</t>
  </si>
  <si>
    <t>2025.06.19-29.</t>
  </si>
  <si>
    <t>Budapest</t>
  </si>
  <si>
    <t>Rákóczi Andrea</t>
  </si>
  <si>
    <t>BTSZ</t>
  </si>
  <si>
    <t>Miklósi Zsoltné</t>
  </si>
  <si>
    <t>F12 csapat</t>
  </si>
  <si>
    <t>F14 csapat</t>
  </si>
  <si>
    <t>F16 csapat</t>
  </si>
  <si>
    <t>F18 csapat</t>
  </si>
  <si>
    <t>Pasarét TK 1</t>
  </si>
  <si>
    <t>Pasarét TK 2</t>
  </si>
  <si>
    <t>Pasarét TK 3</t>
  </si>
  <si>
    <t>Bebto T.</t>
  </si>
  <si>
    <t>Vasas SC</t>
  </si>
  <si>
    <t>Fortuna SE</t>
  </si>
  <si>
    <t xml:space="preserve">Pasarét TK 2. </t>
  </si>
  <si>
    <t>Pasarét TK 3.</t>
  </si>
  <si>
    <t>Tenisz Múhely 2</t>
  </si>
  <si>
    <t>Okos Tenisz SE</t>
  </si>
  <si>
    <t>M.E.S.E. Kék</t>
  </si>
  <si>
    <t>Pasarét TK 2.</t>
  </si>
  <si>
    <t>M.E.S.E. Zöld</t>
  </si>
  <si>
    <t>PG Tenisz</t>
  </si>
  <si>
    <t>Golden ACE</t>
  </si>
  <si>
    <t>BEBTO T.</t>
  </si>
  <si>
    <t>Super Extra Tennis</t>
  </si>
  <si>
    <t>VASAS SC</t>
  </si>
  <si>
    <t>OKOS Tenisz SE</t>
  </si>
  <si>
    <t>Tenisz Műhely</t>
  </si>
  <si>
    <t>MTK</t>
  </si>
  <si>
    <t>Bud. Honvéd</t>
  </si>
  <si>
    <t>PG Tenisz 1</t>
  </si>
  <si>
    <t>NEXT TA</t>
  </si>
  <si>
    <t>ALFA TI</t>
  </si>
  <si>
    <t>Metro RSC</t>
  </si>
  <si>
    <t>PG Tenisz 2</t>
  </si>
  <si>
    <t>Kék Lepkék</t>
  </si>
  <si>
    <t>Metro RSC 1</t>
  </si>
  <si>
    <t>Metro RSC 2</t>
  </si>
  <si>
    <t xml:space="preserve">MTK </t>
  </si>
  <si>
    <t>as</t>
  </si>
  <si>
    <t>bs</t>
  </si>
  <si>
    <t>a</t>
  </si>
  <si>
    <t>b</t>
  </si>
  <si>
    <t>Figyelem! 10 csapat, 8-as tábla</t>
  </si>
  <si>
    <t>VIGASZ</t>
  </si>
  <si>
    <t>3/1</t>
  </si>
  <si>
    <t>4/0</t>
  </si>
  <si>
    <t>PASARÉT TK 3</t>
  </si>
  <si>
    <t>KÉK LEPKÉK</t>
  </si>
  <si>
    <t>PASARÉT TK 2</t>
  </si>
  <si>
    <t>FORTUNA SE</t>
  </si>
  <si>
    <t>jn</t>
  </si>
  <si>
    <t>3/0</t>
  </si>
  <si>
    <t>2/1</t>
  </si>
  <si>
    <t>2/0</t>
  </si>
  <si>
    <t>BS</t>
  </si>
  <si>
    <t>x</t>
  </si>
  <si>
    <t>AS</t>
  </si>
  <si>
    <t>2/ 2 ( 33/32)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</si>
</sst>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84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i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10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7"/>
      <color rgb="FFFF0000"/>
      <name val="Arial"/>
      <family val="2"/>
    </font>
    <font>
      <sz val="8"/>
      <name val="Segoe U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0" fillId="0" borderId="6" xfId="0" applyNumberFormat="1" applyFont="1" applyBorder="1" applyAlignment="1">
      <alignment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/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45" fillId="2" borderId="0" xfId="0" applyNumberFormat="1" applyFont="1" applyFill="1" applyAlignment="1">
      <alignment horizontal="center" vertical="center"/>
    </xf>
    <xf numFmtId="0" fontId="47" fillId="7" borderId="7" xfId="0" applyFont="1" applyFill="1" applyBorder="1" applyAlignment="1">
      <alignment horizontal="center" vertical="center"/>
    </xf>
    <xf numFmtId="0" fontId="45" fillId="0" borderId="7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7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49" fontId="50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9" fillId="2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53" fillId="8" borderId="23" xfId="0" applyFont="1" applyFill="1" applyBorder="1" applyAlignment="1">
      <alignment horizontal="right" vertical="center"/>
    </xf>
    <xf numFmtId="0" fontId="48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17" xfId="0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3" fillId="8" borderId="17" xfId="0" applyFont="1" applyFill="1" applyBorder="1" applyAlignment="1">
      <alignment horizontal="right" vertical="center"/>
    </xf>
    <xf numFmtId="49" fontId="48" fillId="0" borderId="7" xfId="0" applyNumberFormat="1" applyFont="1" applyBorder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17" xfId="0" applyFont="1" applyBorder="1" applyAlignment="1">
      <alignment vertical="center"/>
    </xf>
    <xf numFmtId="49" fontId="48" fillId="0" borderId="17" xfId="0" applyNumberFormat="1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54" fillId="0" borderId="18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4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8" fillId="0" borderId="18" xfId="0" applyNumberFormat="1" applyFont="1" applyBorder="1" applyAlignment="1">
      <alignment vertical="center"/>
    </xf>
    <xf numFmtId="0" fontId="56" fillId="0" borderId="0" xfId="0" applyFont="1" applyAlignment="1">
      <alignment vertical="center"/>
    </xf>
    <xf numFmtId="49" fontId="57" fillId="2" borderId="0" xfId="0" applyNumberFormat="1" applyFont="1" applyFill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49" fontId="4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vertical="center"/>
    </xf>
    <xf numFmtId="49" fontId="59" fillId="0" borderId="0" xfId="0" applyNumberFormat="1" applyFont="1" applyAlignment="1">
      <alignment horizontal="center" vertical="center"/>
    </xf>
    <xf numFmtId="49" fontId="58" fillId="6" borderId="0" xfId="0" applyNumberFormat="1" applyFont="1" applyFill="1" applyAlignment="1">
      <alignment vertical="center"/>
    </xf>
    <xf numFmtId="49" fontId="59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60" fillId="2" borderId="25" xfId="0" applyNumberFormat="1" applyFont="1" applyFill="1" applyBorder="1" applyAlignment="1">
      <alignment horizontal="center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5" xfId="0" applyNumberFormat="1" applyFont="1" applyFill="1" applyBorder="1" applyAlignment="1">
      <alignment horizontal="centerContinuous" vertical="center"/>
    </xf>
    <xf numFmtId="49" fontId="60" fillId="2" borderId="26" xfId="0" applyNumberFormat="1" applyFont="1" applyFill="1" applyBorder="1" applyAlignment="1">
      <alignment horizontal="centerContinuous" vertical="center"/>
    </xf>
    <xf numFmtId="49" fontId="61" fillId="2" borderId="25" xfId="0" applyNumberFormat="1" applyFont="1" applyFill="1" applyBorder="1" applyAlignment="1">
      <alignment vertical="center"/>
    </xf>
    <xf numFmtId="49" fontId="61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1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17" xfId="0" applyNumberFormat="1" applyFont="1" applyBorder="1" applyAlignment="1">
      <alignment vertical="center"/>
    </xf>
    <xf numFmtId="49" fontId="30" fillId="2" borderId="2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vertical="center"/>
    </xf>
    <xf numFmtId="49" fontId="42" fillId="2" borderId="1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42" fillId="0" borderId="1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0" fontId="53" fillId="8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9" fillId="6" borderId="0" xfId="0" applyFont="1" applyFill="1" applyAlignment="1">
      <alignment horizontal="center" vertical="center"/>
    </xf>
    <xf numFmtId="49" fontId="49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3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49" fontId="64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64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0" fontId="46" fillId="0" borderId="7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49" fontId="49" fillId="6" borderId="0" xfId="0" applyNumberFormat="1" applyFont="1" applyFill="1" applyBorder="1" applyAlignment="1">
      <alignment vertical="center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7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5" fillId="2" borderId="4" xfId="0" applyNumberFormat="1" applyFont="1" applyFill="1" applyBorder="1" applyAlignment="1">
      <alignment vertical="center"/>
    </xf>
    <xf numFmtId="49" fontId="65" fillId="2" borderId="0" xfId="0" applyNumberFormat="1" applyFont="1" applyFill="1" applyAlignment="1">
      <alignment vertical="center"/>
    </xf>
    <xf numFmtId="49" fontId="66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6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right" vertical="center"/>
    </xf>
    <xf numFmtId="49" fontId="9" fillId="0" borderId="23" xfId="0" applyNumberFormat="1" applyFont="1" applyBorder="1" applyAlignment="1">
      <alignment horizontal="right" vertical="center"/>
    </xf>
    <xf numFmtId="0" fontId="46" fillId="0" borderId="0" xfId="0" applyFont="1" applyBorder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0" fontId="65" fillId="2" borderId="0" xfId="0" applyFont="1" applyFill="1"/>
    <xf numFmtId="0" fontId="14" fillId="0" borderId="0" xfId="0" applyNumberFormat="1" applyFont="1" applyAlignment="1">
      <alignment horizontal="left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68" fillId="0" borderId="6" xfId="0" applyNumberFormat="1" applyFont="1" applyBorder="1" applyAlignment="1">
      <alignment horizontal="right" vertical="center"/>
    </xf>
    <xf numFmtId="0" fontId="69" fillId="0" borderId="0" xfId="0" applyFont="1"/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70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4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9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ont="1" applyFill="1" applyBorder="1" applyAlignment="1">
      <alignment vertical="center"/>
    </xf>
    <xf numFmtId="49" fontId="44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 shrinkToFit="1"/>
    </xf>
    <xf numFmtId="0" fontId="47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 shrinkToFit="1"/>
    </xf>
    <xf numFmtId="0" fontId="51" fillId="6" borderId="0" xfId="0" applyFont="1" applyFill="1" applyAlignment="1">
      <alignment vertical="center"/>
    </xf>
    <xf numFmtId="0" fontId="52" fillId="6" borderId="0" xfId="0" applyFont="1" applyFill="1" applyAlignment="1">
      <alignment vertical="center"/>
    </xf>
    <xf numFmtId="0" fontId="48" fillId="6" borderId="7" xfId="0" applyFont="1" applyFill="1" applyBorder="1" applyAlignment="1">
      <alignment vertical="center"/>
    </xf>
    <xf numFmtId="0" fontId="48" fillId="6" borderId="18" xfId="0" applyFont="1" applyFill="1" applyBorder="1" applyAlignment="1">
      <alignment horizontal="center" vertical="center"/>
    </xf>
    <xf numFmtId="0" fontId="48" fillId="6" borderId="17" xfId="0" applyFont="1" applyFill="1" applyBorder="1" applyAlignment="1">
      <alignment horizontal="left" vertical="center"/>
    </xf>
    <xf numFmtId="0" fontId="48" fillId="6" borderId="0" xfId="0" applyFont="1" applyFill="1" applyAlignment="1">
      <alignment horizontal="center" vertical="center"/>
    </xf>
    <xf numFmtId="49" fontId="48" fillId="6" borderId="7" xfId="0" applyNumberFormat="1" applyFont="1" applyFill="1" applyBorder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48" fillId="6" borderId="17" xfId="0" applyFont="1" applyFill="1" applyBorder="1" applyAlignment="1">
      <alignment vertical="center"/>
    </xf>
    <xf numFmtId="49" fontId="48" fillId="6" borderId="17" xfId="0" applyNumberFormat="1" applyFont="1" applyFill="1" applyBorder="1" applyAlignment="1">
      <alignment vertical="center"/>
    </xf>
    <xf numFmtId="0" fontId="48" fillId="6" borderId="18" xfId="0" applyFont="1" applyFill="1" applyBorder="1" applyAlignment="1">
      <alignment vertical="center"/>
    </xf>
    <xf numFmtId="0" fontId="54" fillId="6" borderId="18" xfId="0" applyFont="1" applyFill="1" applyBorder="1" applyAlignment="1">
      <alignment horizontal="center" vertical="center"/>
    </xf>
    <xf numFmtId="0" fontId="55" fillId="6" borderId="0" xfId="0" applyFont="1" applyFill="1" applyAlignment="1">
      <alignment vertical="center"/>
    </xf>
    <xf numFmtId="0" fontId="54" fillId="6" borderId="7" xfId="0" applyFont="1" applyFill="1" applyBorder="1" applyAlignment="1">
      <alignment horizontal="center" vertical="center"/>
    </xf>
    <xf numFmtId="49" fontId="48" fillId="6" borderId="18" xfId="0" applyNumberFormat="1" applyFont="1" applyFill="1" applyBorder="1" applyAlignment="1">
      <alignment vertical="center"/>
    </xf>
    <xf numFmtId="0" fontId="56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9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5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48" fillId="6" borderId="0" xfId="0" applyNumberFormat="1" applyFont="1" applyFill="1" applyBorder="1" applyAlignment="1">
      <alignment vertical="center"/>
    </xf>
    <xf numFmtId="49" fontId="72" fillId="2" borderId="0" xfId="0" applyNumberFormat="1" applyFont="1" applyFill="1" applyAlignment="1">
      <alignment horizontal="center" vertical="center"/>
    </xf>
    <xf numFmtId="0" fontId="72" fillId="6" borderId="7" xfId="0" applyFont="1" applyFill="1" applyBorder="1" applyAlignment="1">
      <alignment vertical="center"/>
    </xf>
    <xf numFmtId="0" fontId="77" fillId="6" borderId="7" xfId="0" applyFont="1" applyFill="1" applyBorder="1" applyAlignment="1">
      <alignment vertical="center"/>
    </xf>
    <xf numFmtId="49" fontId="77" fillId="2" borderId="0" xfId="0" applyNumberFormat="1" applyFont="1" applyFill="1" applyAlignment="1">
      <alignment horizontal="center" vertical="center"/>
    </xf>
    <xf numFmtId="0" fontId="1" fillId="6" borderId="0" xfId="0" applyFont="1" applyFill="1"/>
    <xf numFmtId="0" fontId="3" fillId="2" borderId="0" xfId="1" applyFill="1" applyBorder="1"/>
    <xf numFmtId="49" fontId="65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right" vertical="center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vertical="center"/>
    </xf>
    <xf numFmtId="0" fontId="39" fillId="2" borderId="0" xfId="0" applyNumberFormat="1" applyFont="1" applyFill="1" applyAlignment="1">
      <alignment horizontal="center" vertical="center"/>
    </xf>
    <xf numFmtId="0" fontId="39" fillId="2" borderId="0" xfId="0" applyNumberFormat="1" applyFont="1" applyFill="1" applyAlignment="1">
      <alignment vertical="center"/>
    </xf>
    <xf numFmtId="0" fontId="0" fillId="3" borderId="0" xfId="0" applyFill="1" applyAlignment="1">
      <alignment horizontal="center"/>
    </xf>
    <xf numFmtId="0" fontId="78" fillId="9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9" fillId="6" borderId="0" xfId="0" applyFont="1" applyFill="1" applyAlignment="1">
      <alignment vertical="center"/>
    </xf>
    <xf numFmtId="0" fontId="80" fillId="6" borderId="0" xfId="0" applyFont="1" applyFill="1"/>
    <xf numFmtId="49" fontId="71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7" fillId="3" borderId="1" xfId="0" applyNumberFormat="1" applyFont="1" applyFill="1" applyBorder="1" applyAlignment="1">
      <alignment vertical="center" shrinkToFit="1"/>
    </xf>
    <xf numFmtId="0" fontId="20" fillId="0" borderId="31" xfId="0" applyNumberFormat="1" applyFont="1" applyBorder="1" applyAlignment="1">
      <alignment horizontal="center" vertical="center"/>
    </xf>
    <xf numFmtId="0" fontId="20" fillId="0" borderId="32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67" fillId="3" borderId="2" xfId="0" applyNumberFormat="1" applyFont="1" applyFill="1" applyBorder="1" applyAlignment="1">
      <alignment vertical="center" shrinkToFit="1"/>
    </xf>
    <xf numFmtId="49" fontId="67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82" fillId="0" borderId="0" xfId="0" applyFont="1" applyAlignment="1">
      <alignment horizontal="right" vertical="center"/>
    </xf>
    <xf numFmtId="0" fontId="76" fillId="6" borderId="7" xfId="0" applyFont="1" applyFill="1" applyBorder="1" applyAlignment="1">
      <alignment horizontal="center" vertical="center"/>
    </xf>
    <xf numFmtId="0" fontId="76" fillId="6" borderId="0" xfId="0" applyFont="1" applyFill="1" applyAlignment="1">
      <alignment horizontal="center" vertical="center"/>
    </xf>
    <xf numFmtId="0" fontId="73" fillId="6" borderId="0" xfId="0" applyFont="1" applyFill="1" applyAlignment="1">
      <alignment vertical="center"/>
    </xf>
    <xf numFmtId="0" fontId="74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8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82" fillId="6" borderId="0" xfId="0" applyFont="1" applyFill="1" applyAlignment="1">
      <alignment horizontal="right" vertical="center"/>
    </xf>
    <xf numFmtId="0" fontId="40" fillId="10" borderId="15" xfId="0" applyFont="1" applyFill="1" applyBorder="1" applyAlignment="1">
      <alignment horizontal="right" vertical="center"/>
    </xf>
    <xf numFmtId="0" fontId="49" fillId="10" borderId="0" xfId="0" applyFont="1" applyFill="1" applyAlignment="1">
      <alignment vertical="center"/>
    </xf>
    <xf numFmtId="49" fontId="58" fillId="10" borderId="0" xfId="0" applyNumberFormat="1" applyFont="1" applyFill="1" applyAlignment="1">
      <alignment vertical="center"/>
    </xf>
    <xf numFmtId="0" fontId="75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9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0" fontId="24" fillId="2" borderId="0" xfId="0" applyNumberFormat="1" applyFont="1" applyFill="1" applyAlignment="1">
      <alignment vertical="center"/>
    </xf>
    <xf numFmtId="49" fontId="11" fillId="4" borderId="24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6" fillId="6" borderId="7" xfId="0" applyFont="1" applyFill="1" applyBorder="1" applyAlignment="1">
      <alignment vertical="center"/>
    </xf>
    <xf numFmtId="49" fontId="55" fillId="6" borderId="0" xfId="0" applyNumberFormat="1" applyFont="1" applyFill="1" applyAlignment="1">
      <alignment vertical="center"/>
    </xf>
    <xf numFmtId="49" fontId="55" fillId="0" borderId="0" xfId="0" applyNumberFormat="1" applyFont="1" applyAlignment="1">
      <alignment vertical="center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6" borderId="6" xfId="0" applyNumberFormat="1" applyFont="1" applyFill="1" applyBorder="1" applyAlignment="1">
      <alignment horizontal="left" vertical="center"/>
    </xf>
    <xf numFmtId="14" fontId="18" fillId="0" borderId="6" xfId="0" applyNumberFormat="1" applyFont="1" applyBorder="1" applyAlignment="1">
      <alignment horizontal="left" vertical="center"/>
    </xf>
  </cellXfs>
  <cellStyles count="3">
    <cellStyle name="Hivatkozás" xfId="1" builtinId="8"/>
    <cellStyle name="Normál" xfId="0" builtinId="0"/>
    <cellStyle name="Pénznem" xfId="2" builtinId="4"/>
  </cellStyles>
  <dxfs count="175"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29" name="Picture 13">
          <a:extLst>
            <a:ext uri="{FF2B5EF4-FFF2-40B4-BE49-F238E27FC236}">
              <a16:creationId xmlns:a16="http://schemas.microsoft.com/office/drawing/2014/main" id="{14DE0AC8-AD7C-6265-4638-9D68B582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43" name="Picture 21">
          <a:extLst>
            <a:ext uri="{FF2B5EF4-FFF2-40B4-BE49-F238E27FC236}">
              <a16:creationId xmlns:a16="http://schemas.microsoft.com/office/drawing/2014/main" id="{9383D99B-BD35-E94C-67AE-D4439CD5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AA2501BE-B915-852E-5253-3846FDBFF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3591" name="Picture 9">
          <a:extLst>
            <a:ext uri="{FF2B5EF4-FFF2-40B4-BE49-F238E27FC236}">
              <a16:creationId xmlns:a16="http://schemas.microsoft.com/office/drawing/2014/main" id="{D5E251EF-2E5E-411D-6AF0-7FF50F48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3489" name="Button 1" hidden="1">
              <a:extLst>
                <a:ext uri="{63B3BB69-23CF-44E3-9099-C40C66FF867C}">
                  <a14:compatExt spid="_x0000_s703489"/>
                </a:ext>
                <a:ext uri="{FF2B5EF4-FFF2-40B4-BE49-F238E27FC236}">
                  <a16:creationId xmlns:a16="http://schemas.microsoft.com/office/drawing/2014/main" id="{83B3D7F1-68ED-19FB-6552-79809D2C0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3490" name="Button 2" hidden="1">
              <a:extLst>
                <a:ext uri="{63B3BB69-23CF-44E3-9099-C40C66FF867C}">
                  <a14:compatExt spid="_x0000_s703490"/>
                </a:ext>
                <a:ext uri="{FF2B5EF4-FFF2-40B4-BE49-F238E27FC236}">
                  <a16:creationId xmlns:a16="http://schemas.microsoft.com/office/drawing/2014/main" id="{3A1D33F3-7F17-76D9-9BFB-B75DC7DBE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97" name="Picture 23">
          <a:extLst>
            <a:ext uri="{FF2B5EF4-FFF2-40B4-BE49-F238E27FC236}">
              <a16:creationId xmlns:a16="http://schemas.microsoft.com/office/drawing/2014/main" id="{CE770FB9-D977-65E6-C67D-C77E0EE8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549CDF7E-2E2F-383B-DA96-5251A913B6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85" name="Picture 21">
          <a:extLst>
            <a:ext uri="{FF2B5EF4-FFF2-40B4-BE49-F238E27FC236}">
              <a16:creationId xmlns:a16="http://schemas.microsoft.com/office/drawing/2014/main" id="{2CFF20E9-0313-5FD2-CFF0-00F430C9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683DEBDE-573F-0014-B0A4-E0CDC851A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82" name="Picture 3">
          <a:extLst>
            <a:ext uri="{FF2B5EF4-FFF2-40B4-BE49-F238E27FC236}">
              <a16:creationId xmlns:a16="http://schemas.microsoft.com/office/drawing/2014/main" id="{24E58DD9-4D0F-189C-8C25-8C596077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60739272-5B1C-48F1-49C0-44F7EBEE0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2E812625-629B-DBE9-5DBD-EEACDC986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68" name="Picture 3">
          <a:extLst>
            <a:ext uri="{FF2B5EF4-FFF2-40B4-BE49-F238E27FC236}">
              <a16:creationId xmlns:a16="http://schemas.microsoft.com/office/drawing/2014/main" id="{C9198F23-7B97-262F-12AB-75FF9194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4D8FB177-7556-65AC-9123-F86E8356C8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A4CD4D84-9F1B-B94A-43A3-CEC3DA5633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44" name="Picture 21">
          <a:extLst>
            <a:ext uri="{FF2B5EF4-FFF2-40B4-BE49-F238E27FC236}">
              <a16:creationId xmlns:a16="http://schemas.microsoft.com/office/drawing/2014/main" id="{BD0CA070-1A5F-9087-EB61-B26712DD0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F3F839DD-E5FA-4B02-294A-2D3762F2A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2392" name="Picture 9">
          <a:extLst>
            <a:ext uri="{FF2B5EF4-FFF2-40B4-BE49-F238E27FC236}">
              <a16:creationId xmlns:a16="http://schemas.microsoft.com/office/drawing/2014/main" id="{4CE6A53B-76FE-296D-3F53-D39F2653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2289" name="Button 1" hidden="1">
              <a:extLst>
                <a:ext uri="{63B3BB69-23CF-44E3-9099-C40C66FF867C}">
                  <a14:compatExt spid="_x0000_s652289"/>
                </a:ext>
                <a:ext uri="{FF2B5EF4-FFF2-40B4-BE49-F238E27FC236}">
                  <a16:creationId xmlns:a16="http://schemas.microsoft.com/office/drawing/2014/main" id="{96AE3094-C1A5-8CC0-0D21-3E8CBA170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2290" name="Button 2" hidden="1">
              <a:extLst>
                <a:ext uri="{63B3BB69-23CF-44E3-9099-C40C66FF867C}">
                  <a14:compatExt spid="_x0000_s652290"/>
                </a:ext>
                <a:ext uri="{FF2B5EF4-FFF2-40B4-BE49-F238E27FC236}">
                  <a16:creationId xmlns:a16="http://schemas.microsoft.com/office/drawing/2014/main" id="{235AEAC2-FA5E-1A88-1760-13915E836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31" name="Picture 21">
          <a:extLst>
            <a:ext uri="{FF2B5EF4-FFF2-40B4-BE49-F238E27FC236}">
              <a16:creationId xmlns:a16="http://schemas.microsoft.com/office/drawing/2014/main" id="{DA416A4E-5CCB-C79E-2C98-ECF52947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350032B0-E6DE-FB6C-11AB-137C05208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90279" name="Picture 9">
          <a:extLst>
            <a:ext uri="{FF2B5EF4-FFF2-40B4-BE49-F238E27FC236}">
              <a16:creationId xmlns:a16="http://schemas.microsoft.com/office/drawing/2014/main" id="{41BD7416-B082-68BC-A8B8-F92A264A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90177" name="Button 1" hidden="1">
              <a:extLst>
                <a:ext uri="{63B3BB69-23CF-44E3-9099-C40C66FF867C}">
                  <a14:compatExt spid="_x0000_s690177"/>
                </a:ext>
                <a:ext uri="{FF2B5EF4-FFF2-40B4-BE49-F238E27FC236}">
                  <a16:creationId xmlns:a16="http://schemas.microsoft.com/office/drawing/2014/main" id="{B3A3DFDE-D25D-93E9-F6FD-B03842475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90178" name="Button 2" hidden="1">
              <a:extLst>
                <a:ext uri="{63B3BB69-23CF-44E3-9099-C40C66FF867C}">
                  <a14:compatExt spid="_x0000_s690178"/>
                </a:ext>
                <a:ext uri="{FF2B5EF4-FFF2-40B4-BE49-F238E27FC236}">
                  <a16:creationId xmlns:a16="http://schemas.microsoft.com/office/drawing/2014/main" id="{72C4CE44-A5F3-0EB6-2FAF-C6F8F7406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8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5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2CC0-5554-484A-AA47-15A658864DD3}">
  <sheetPr codeName="Sheet1"/>
  <dimension ref="A1:G18"/>
  <sheetViews>
    <sheetView showGridLines="0" showZeros="0" workbookViewId="0">
      <selection activeCell="D8" sqref="D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27" t="s">
        <v>79</v>
      </c>
      <c r="B1" s="3"/>
      <c r="C1" s="3"/>
      <c r="D1" s="228"/>
      <c r="E1" s="4"/>
      <c r="F1" s="5"/>
      <c r="G1" s="5"/>
    </row>
    <row r="2" spans="1:7" s="6" customFormat="1" ht="36.75" customHeight="1" thickBot="1" x14ac:dyDescent="0.3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60" t="s">
        <v>20</v>
      </c>
      <c r="B5" s="21"/>
      <c r="C5" s="21"/>
      <c r="D5" s="21"/>
      <c r="E5" s="396"/>
      <c r="F5" s="22"/>
      <c r="G5" s="23"/>
    </row>
    <row r="6" spans="1:7" s="2" customFormat="1" ht="24.6" x14ac:dyDescent="0.25">
      <c r="A6" s="435" t="s">
        <v>86</v>
      </c>
      <c r="B6" s="397"/>
      <c r="C6" s="24"/>
      <c r="D6" s="25"/>
      <c r="E6" s="26"/>
      <c r="F6" s="5"/>
      <c r="G6" s="5"/>
    </row>
    <row r="7" spans="1:7" s="18" customFormat="1" ht="15" customHeight="1" x14ac:dyDescent="0.25">
      <c r="A7" s="373" t="s">
        <v>80</v>
      </c>
      <c r="B7" s="373" t="s">
        <v>81</v>
      </c>
      <c r="C7" s="373" t="s">
        <v>82</v>
      </c>
      <c r="D7" s="373" t="s">
        <v>83</v>
      </c>
      <c r="E7" s="373" t="s">
        <v>84</v>
      </c>
      <c r="F7" s="22"/>
      <c r="G7" s="23"/>
    </row>
    <row r="8" spans="1:7" s="2" customFormat="1" ht="16.5" customHeight="1" x14ac:dyDescent="0.25">
      <c r="A8" s="294" t="s">
        <v>92</v>
      </c>
      <c r="B8" s="294" t="s">
        <v>93</v>
      </c>
      <c r="C8" s="294" t="s">
        <v>94</v>
      </c>
      <c r="D8" s="294" t="s">
        <v>95</v>
      </c>
      <c r="E8" s="294"/>
      <c r="F8" s="5"/>
      <c r="G8" s="5"/>
    </row>
    <row r="9" spans="1:7" s="2" customFormat="1" ht="15" customHeight="1" x14ac:dyDescent="0.25">
      <c r="A9" s="260" t="s">
        <v>21</v>
      </c>
      <c r="B9" s="21"/>
      <c r="C9" s="261" t="s">
        <v>22</v>
      </c>
      <c r="D9" s="261"/>
      <c r="E9" s="262" t="s">
        <v>23</v>
      </c>
      <c r="F9" s="5"/>
      <c r="G9" s="5"/>
    </row>
    <row r="10" spans="1:7" s="2" customFormat="1" x14ac:dyDescent="0.25">
      <c r="A10" s="29" t="s">
        <v>87</v>
      </c>
      <c r="B10" s="30"/>
      <c r="C10" s="31" t="s">
        <v>88</v>
      </c>
      <c r="D10" s="261" t="s">
        <v>63</v>
      </c>
      <c r="E10" s="377" t="s">
        <v>89</v>
      </c>
      <c r="F10" s="5"/>
      <c r="G10" s="5"/>
    </row>
    <row r="11" spans="1:7" x14ac:dyDescent="0.25">
      <c r="A11" s="20"/>
      <c r="B11" s="21"/>
      <c r="C11" s="286" t="s">
        <v>62</v>
      </c>
      <c r="D11" s="286" t="s">
        <v>76</v>
      </c>
      <c r="E11" s="286" t="s">
        <v>77</v>
      </c>
      <c r="F11" s="33"/>
      <c r="G11" s="33"/>
    </row>
    <row r="12" spans="1:7" s="2" customFormat="1" x14ac:dyDescent="0.25">
      <c r="A12" s="229"/>
      <c r="B12" s="5"/>
      <c r="C12" s="295"/>
      <c r="D12" s="295" t="s">
        <v>90</v>
      </c>
      <c r="E12" s="295" t="s">
        <v>91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8"/>
      <c r="F16" s="33"/>
      <c r="G16" s="33"/>
    </row>
    <row r="17" spans="1:7" ht="12.75" customHeight="1" x14ac:dyDescent="0.25">
      <c r="A17" s="39"/>
      <c r="B17" s="372"/>
      <c r="C17" s="230"/>
      <c r="D17" s="40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2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DED9-8BA3-4ECC-B2FC-332762C42621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V17" sqref="V17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1" customWidth="1"/>
    <col min="5" max="5" width="12.109375" style="418" customWidth="1"/>
    <col min="6" max="6" width="6.109375" style="94" hidden="1" customWidth="1"/>
    <col min="7" max="7" width="31.44140625" style="94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8" thickBot="1" x14ac:dyDescent="0.3">
      <c r="B2" s="90" t="s">
        <v>51</v>
      </c>
      <c r="C2" s="432" t="str">
        <f>Altalanos!$D$8</f>
        <v>F18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8" thickBot="1" x14ac:dyDescent="0.3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5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8" thickBot="1" x14ac:dyDescent="0.3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3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899999999999999" customHeight="1" x14ac:dyDescent="0.25">
      <c r="A7" s="253">
        <v>1</v>
      </c>
      <c r="B7" s="96" t="s">
        <v>113</v>
      </c>
      <c r="C7" s="96"/>
      <c r="D7" s="97"/>
      <c r="E7" s="268"/>
      <c r="F7" s="399"/>
      <c r="G7" s="400"/>
      <c r="H7" s="97"/>
      <c r="I7" s="97"/>
      <c r="J7" s="250"/>
      <c r="K7" s="248"/>
      <c r="L7" s="252"/>
      <c r="M7" s="248"/>
      <c r="N7" s="241"/>
      <c r="O7" s="429">
        <v>13</v>
      </c>
      <c r="P7" s="116"/>
      <c r="Q7" s="98"/>
    </row>
    <row r="8" spans="1:17" s="11" customFormat="1" ht="18.899999999999999" customHeight="1" x14ac:dyDescent="0.25">
      <c r="A8" s="253">
        <v>2</v>
      </c>
      <c r="B8" s="96" t="s">
        <v>96</v>
      </c>
      <c r="C8" s="96"/>
      <c r="D8" s="97"/>
      <c r="E8" s="268"/>
      <c r="F8" s="401"/>
      <c r="G8" s="402"/>
      <c r="H8" s="97"/>
      <c r="I8" s="97"/>
      <c r="J8" s="250"/>
      <c r="K8" s="248"/>
      <c r="L8" s="252"/>
      <c r="M8" s="248"/>
      <c r="N8" s="241"/>
      <c r="O8" s="97">
        <v>20</v>
      </c>
      <c r="P8" s="116"/>
      <c r="Q8" s="98"/>
    </row>
    <row r="9" spans="1:17" s="11" customFormat="1" ht="18.899999999999999" customHeight="1" x14ac:dyDescent="0.25">
      <c r="A9" s="253">
        <v>3</v>
      </c>
      <c r="B9" s="96" t="s">
        <v>118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33</v>
      </c>
      <c r="P9" s="412"/>
      <c r="Q9" s="283"/>
    </row>
    <row r="10" spans="1:17" s="11" customFormat="1" ht="18.899999999999999" customHeight="1" x14ac:dyDescent="0.25">
      <c r="A10" s="253">
        <v>4</v>
      </c>
      <c r="B10" s="96" t="s">
        <v>97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46</v>
      </c>
      <c r="P10" s="411"/>
      <c r="Q10" s="408"/>
    </row>
    <row r="11" spans="1:17" s="11" customFormat="1" ht="18.899999999999999" customHeight="1" x14ac:dyDescent="0.25">
      <c r="A11" s="253">
        <v>5</v>
      </c>
      <c r="B11" s="96" t="s">
        <v>116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50</v>
      </c>
      <c r="P11" s="411"/>
      <c r="Q11" s="408"/>
    </row>
    <row r="12" spans="1:17" s="11" customFormat="1" ht="18.899999999999999" customHeight="1" x14ac:dyDescent="0.25">
      <c r="A12" s="253">
        <v>6</v>
      </c>
      <c r="B12" s="96" t="s">
        <v>122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72</v>
      </c>
      <c r="P12" s="411"/>
      <c r="Q12" s="408"/>
    </row>
    <row r="13" spans="1:17" s="11" customFormat="1" ht="18.899999999999999" customHeight="1" x14ac:dyDescent="0.25">
      <c r="A13" s="253">
        <v>7</v>
      </c>
      <c r="B13" s="96" t="s">
        <v>98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73</v>
      </c>
      <c r="P13" s="411"/>
      <c r="Q13" s="408"/>
    </row>
    <row r="14" spans="1:17" s="11" customFormat="1" ht="18.899999999999999" customHeight="1" x14ac:dyDescent="0.25">
      <c r="A14" s="253">
        <v>8</v>
      </c>
      <c r="B14" s="96" t="s">
        <v>119</v>
      </c>
      <c r="C14" s="96"/>
      <c r="D14" s="97"/>
      <c r="E14" s="268"/>
      <c r="F14" s="401"/>
      <c r="G14" s="402"/>
      <c r="H14" s="97"/>
      <c r="I14" s="97"/>
      <c r="J14" s="250"/>
      <c r="K14" s="248"/>
      <c r="L14" s="252"/>
      <c r="M14" s="248"/>
      <c r="N14" s="241"/>
      <c r="O14" s="97">
        <v>81</v>
      </c>
      <c r="P14" s="411"/>
      <c r="Q14" s="408"/>
    </row>
    <row r="15" spans="1:17" s="11" customFormat="1" ht="18.899999999999999" customHeight="1" x14ac:dyDescent="0.25">
      <c r="A15" s="253">
        <v>9</v>
      </c>
      <c r="B15" s="96" t="s">
        <v>124</v>
      </c>
      <c r="C15" s="96"/>
      <c r="D15" s="97"/>
      <c r="E15" s="268"/>
      <c r="F15" s="115"/>
      <c r="G15" s="115"/>
      <c r="H15" s="97"/>
      <c r="I15" s="97"/>
      <c r="J15" s="250"/>
      <c r="K15" s="248"/>
      <c r="L15" s="252"/>
      <c r="M15" s="288"/>
      <c r="N15" s="241"/>
      <c r="O15" s="97">
        <v>134</v>
      </c>
      <c r="P15" s="98"/>
      <c r="Q15" s="98"/>
    </row>
    <row r="16" spans="1:17" s="11" customFormat="1" ht="18.899999999999999" customHeight="1" x14ac:dyDescent="0.25">
      <c r="A16" s="253">
        <v>10</v>
      </c>
      <c r="B16" s="96" t="s">
        <v>125</v>
      </c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>
        <v>229</v>
      </c>
      <c r="P16" s="116"/>
      <c r="Q16" s="98"/>
    </row>
    <row r="17" spans="1:17" s="11" customFormat="1" ht="18.899999999999999" customHeight="1" x14ac:dyDescent="0.25">
      <c r="A17" s="253">
        <v>11</v>
      </c>
      <c r="B17" s="96"/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/>
      <c r="P17" s="116"/>
      <c r="Q17" s="98"/>
    </row>
    <row r="18" spans="1:17" s="11" customFormat="1" ht="18.899999999999999" customHeight="1" x14ac:dyDescent="0.25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899999999999999" customHeight="1" x14ac:dyDescent="0.25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899999999999999" customHeight="1" x14ac:dyDescent="0.25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899999999999999" customHeight="1" x14ac:dyDescent="0.25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899999999999999" customHeight="1" x14ac:dyDescent="0.25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899999999999999" customHeight="1" x14ac:dyDescent="0.25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899999999999999" customHeight="1" x14ac:dyDescent="0.25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899999999999999" customHeight="1" x14ac:dyDescent="0.25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899999999999999" customHeight="1" x14ac:dyDescent="0.25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899999999999999" customHeight="1" x14ac:dyDescent="0.25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899999999999999" customHeight="1" x14ac:dyDescent="0.25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899999999999999" customHeight="1" x14ac:dyDescent="0.25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899999999999999" customHeight="1" x14ac:dyDescent="0.25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899999999999999" customHeight="1" x14ac:dyDescent="0.25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899999999999999" customHeight="1" x14ac:dyDescent="0.25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899999999999999" customHeight="1" x14ac:dyDescent="0.25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899999999999999" customHeight="1" x14ac:dyDescent="0.25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899999999999999" customHeight="1" x14ac:dyDescent="0.25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899999999999999" customHeight="1" x14ac:dyDescent="0.25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899999999999999" customHeight="1" x14ac:dyDescent="0.25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899999999999999" customHeight="1" x14ac:dyDescent="0.25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899999999999999" customHeight="1" x14ac:dyDescent="0.25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899999999999999" customHeight="1" x14ac:dyDescent="0.25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103" si="0">IF(Q40="",999,Q40)</f>
        <v>999</v>
      </c>
      <c r="M40" s="288">
        <f t="shared" ref="M40:M103" si="1">IF(P40=999,999,1)</f>
        <v>999</v>
      </c>
      <c r="N40" s="283"/>
      <c r="O40" s="245"/>
      <c r="P40" s="116">
        <f t="shared" ref="P40:P103" si="2">IF(N40="DA",1,IF(N40="WC",2,IF(N40="SE",3,IF(N40="Q",4,IF(N40="LL",5,999)))))</f>
        <v>999</v>
      </c>
      <c r="Q40" s="98"/>
    </row>
    <row r="41" spans="1:17" s="11" customFormat="1" ht="18.899999999999999" customHeight="1" x14ac:dyDescent="0.25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899999999999999" customHeight="1" x14ac:dyDescent="0.25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899999999999999" customHeight="1" x14ac:dyDescent="0.25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899999999999999" customHeight="1" x14ac:dyDescent="0.25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899999999999999" customHeight="1" x14ac:dyDescent="0.25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899999999999999" customHeight="1" x14ac:dyDescent="0.25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899999999999999" customHeight="1" x14ac:dyDescent="0.25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899999999999999" customHeight="1" x14ac:dyDescent="0.25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899999999999999" customHeight="1" x14ac:dyDescent="0.25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899999999999999" customHeight="1" x14ac:dyDescent="0.25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899999999999999" customHeight="1" x14ac:dyDescent="0.25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899999999999999" customHeight="1" x14ac:dyDescent="0.25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899999999999999" customHeight="1" x14ac:dyDescent="0.25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899999999999999" customHeight="1" x14ac:dyDescent="0.25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899999999999999" customHeight="1" x14ac:dyDescent="0.25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899999999999999" customHeight="1" x14ac:dyDescent="0.25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899999999999999" customHeight="1" x14ac:dyDescent="0.25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899999999999999" customHeight="1" x14ac:dyDescent="0.25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899999999999999" customHeight="1" x14ac:dyDescent="0.25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899999999999999" customHeight="1" x14ac:dyDescent="0.25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899999999999999" customHeight="1" x14ac:dyDescent="0.25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899999999999999" customHeight="1" x14ac:dyDescent="0.25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899999999999999" customHeight="1" x14ac:dyDescent="0.25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899999999999999" customHeight="1" x14ac:dyDescent="0.25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899999999999999" customHeight="1" x14ac:dyDescent="0.25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899999999999999" customHeight="1" x14ac:dyDescent="0.25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899999999999999" customHeight="1" x14ac:dyDescent="0.25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899999999999999" customHeight="1" x14ac:dyDescent="0.25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899999999999999" customHeight="1" x14ac:dyDescent="0.25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899999999999999" customHeight="1" x14ac:dyDescent="0.25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899999999999999" customHeight="1" x14ac:dyDescent="0.25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899999999999999" customHeight="1" x14ac:dyDescent="0.25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si="0"/>
        <v>999</v>
      </c>
      <c r="M72" s="288">
        <f t="shared" si="1"/>
        <v>999</v>
      </c>
      <c r="N72" s="283"/>
      <c r="O72" s="245"/>
      <c r="P72" s="116">
        <f t="shared" si="2"/>
        <v>999</v>
      </c>
      <c r="Q72" s="98"/>
    </row>
    <row r="73" spans="1:17" s="11" customFormat="1" ht="18.899999999999999" customHeight="1" x14ac:dyDescent="0.25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0"/>
        <v>999</v>
      </c>
      <c r="M73" s="288">
        <f t="shared" si="1"/>
        <v>999</v>
      </c>
      <c r="N73" s="283"/>
      <c r="O73" s="245"/>
      <c r="P73" s="116">
        <f t="shared" si="2"/>
        <v>999</v>
      </c>
      <c r="Q73" s="98"/>
    </row>
    <row r="74" spans="1:17" s="11" customFormat="1" ht="18.899999999999999" customHeight="1" x14ac:dyDescent="0.25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0"/>
        <v>999</v>
      </c>
      <c r="M74" s="288">
        <f t="shared" si="1"/>
        <v>999</v>
      </c>
      <c r="N74" s="283"/>
      <c r="O74" s="245"/>
      <c r="P74" s="116">
        <f t="shared" si="2"/>
        <v>999</v>
      </c>
      <c r="Q74" s="98"/>
    </row>
    <row r="75" spans="1:17" s="11" customFormat="1" ht="18.899999999999999" customHeight="1" x14ac:dyDescent="0.25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0"/>
        <v>999</v>
      </c>
      <c r="M75" s="288">
        <f t="shared" si="1"/>
        <v>999</v>
      </c>
      <c r="N75" s="283"/>
      <c r="O75" s="245"/>
      <c r="P75" s="116">
        <f t="shared" si="2"/>
        <v>999</v>
      </c>
      <c r="Q75" s="98"/>
    </row>
    <row r="76" spans="1:17" s="11" customFormat="1" ht="18.899999999999999" customHeight="1" x14ac:dyDescent="0.25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0"/>
        <v>999</v>
      </c>
      <c r="M76" s="288">
        <f t="shared" si="1"/>
        <v>999</v>
      </c>
      <c r="N76" s="283"/>
      <c r="O76" s="245"/>
      <c r="P76" s="116">
        <f t="shared" si="2"/>
        <v>999</v>
      </c>
      <c r="Q76" s="98"/>
    </row>
    <row r="77" spans="1:17" s="11" customFormat="1" ht="18.899999999999999" customHeight="1" x14ac:dyDescent="0.25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0"/>
        <v>999</v>
      </c>
      <c r="M77" s="288">
        <f t="shared" si="1"/>
        <v>999</v>
      </c>
      <c r="N77" s="283"/>
      <c r="O77" s="245"/>
      <c r="P77" s="116">
        <f t="shared" si="2"/>
        <v>999</v>
      </c>
      <c r="Q77" s="98"/>
    </row>
    <row r="78" spans="1:17" s="11" customFormat="1" ht="18.899999999999999" customHeight="1" x14ac:dyDescent="0.25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0"/>
        <v>999</v>
      </c>
      <c r="M78" s="288">
        <f t="shared" si="1"/>
        <v>999</v>
      </c>
      <c r="N78" s="283"/>
      <c r="O78" s="245"/>
      <c r="P78" s="116">
        <f t="shared" si="2"/>
        <v>999</v>
      </c>
      <c r="Q78" s="98"/>
    </row>
    <row r="79" spans="1:17" s="11" customFormat="1" ht="18.899999999999999" customHeight="1" x14ac:dyDescent="0.25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0"/>
        <v>999</v>
      </c>
      <c r="M79" s="288">
        <f t="shared" si="1"/>
        <v>999</v>
      </c>
      <c r="N79" s="283"/>
      <c r="O79" s="245"/>
      <c r="P79" s="116">
        <f t="shared" si="2"/>
        <v>999</v>
      </c>
      <c r="Q79" s="98"/>
    </row>
    <row r="80" spans="1:17" s="11" customFormat="1" ht="18.899999999999999" customHeight="1" x14ac:dyDescent="0.25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0"/>
        <v>999</v>
      </c>
      <c r="M80" s="288">
        <f t="shared" si="1"/>
        <v>999</v>
      </c>
      <c r="N80" s="283"/>
      <c r="O80" s="245"/>
      <c r="P80" s="116">
        <f t="shared" si="2"/>
        <v>999</v>
      </c>
      <c r="Q80" s="98"/>
    </row>
    <row r="81" spans="1:17" s="11" customFormat="1" ht="18.899999999999999" customHeight="1" x14ac:dyDescent="0.25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0"/>
        <v>999</v>
      </c>
      <c r="M81" s="288">
        <f t="shared" si="1"/>
        <v>999</v>
      </c>
      <c r="N81" s="283"/>
      <c r="O81" s="245"/>
      <c r="P81" s="116">
        <f t="shared" si="2"/>
        <v>999</v>
      </c>
      <c r="Q81" s="98"/>
    </row>
    <row r="82" spans="1:17" s="11" customFormat="1" ht="18.899999999999999" customHeight="1" x14ac:dyDescent="0.25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0"/>
        <v>999</v>
      </c>
      <c r="M82" s="288">
        <f t="shared" si="1"/>
        <v>999</v>
      </c>
      <c r="N82" s="283"/>
      <c r="O82" s="245"/>
      <c r="P82" s="116">
        <f t="shared" si="2"/>
        <v>999</v>
      </c>
      <c r="Q82" s="98"/>
    </row>
    <row r="83" spans="1:17" s="11" customFormat="1" ht="18.899999999999999" customHeight="1" x14ac:dyDescent="0.25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0"/>
        <v>999</v>
      </c>
      <c r="M83" s="288">
        <f t="shared" si="1"/>
        <v>999</v>
      </c>
      <c r="N83" s="283"/>
      <c r="O83" s="245"/>
      <c r="P83" s="116">
        <f t="shared" si="2"/>
        <v>999</v>
      </c>
      <c r="Q83" s="98"/>
    </row>
    <row r="84" spans="1:17" s="11" customFormat="1" ht="18.899999999999999" customHeight="1" x14ac:dyDescent="0.25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0"/>
        <v>999</v>
      </c>
      <c r="M84" s="288">
        <f t="shared" si="1"/>
        <v>999</v>
      </c>
      <c r="N84" s="283"/>
      <c r="O84" s="245"/>
      <c r="P84" s="116">
        <f t="shared" si="2"/>
        <v>999</v>
      </c>
      <c r="Q84" s="98"/>
    </row>
    <row r="85" spans="1:17" s="11" customFormat="1" ht="18.899999999999999" customHeight="1" x14ac:dyDescent="0.25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0"/>
        <v>999</v>
      </c>
      <c r="M85" s="288">
        <f t="shared" si="1"/>
        <v>999</v>
      </c>
      <c r="N85" s="283"/>
      <c r="O85" s="245"/>
      <c r="P85" s="116">
        <f t="shared" si="2"/>
        <v>999</v>
      </c>
      <c r="Q85" s="98"/>
    </row>
    <row r="86" spans="1:17" s="11" customFormat="1" ht="18.899999999999999" customHeight="1" x14ac:dyDescent="0.25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0"/>
        <v>999</v>
      </c>
      <c r="M86" s="288">
        <f t="shared" si="1"/>
        <v>999</v>
      </c>
      <c r="N86" s="283"/>
      <c r="O86" s="245"/>
      <c r="P86" s="116">
        <f t="shared" si="2"/>
        <v>999</v>
      </c>
      <c r="Q86" s="98"/>
    </row>
    <row r="87" spans="1:17" s="11" customFormat="1" ht="18.899999999999999" customHeight="1" x14ac:dyDescent="0.25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0"/>
        <v>999</v>
      </c>
      <c r="M87" s="288">
        <f t="shared" si="1"/>
        <v>999</v>
      </c>
      <c r="N87" s="283"/>
      <c r="O87" s="245"/>
      <c r="P87" s="116">
        <f t="shared" si="2"/>
        <v>999</v>
      </c>
      <c r="Q87" s="98"/>
    </row>
    <row r="88" spans="1:17" s="11" customFormat="1" ht="18.899999999999999" customHeight="1" x14ac:dyDescent="0.25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0"/>
        <v>999</v>
      </c>
      <c r="M88" s="288">
        <f t="shared" si="1"/>
        <v>999</v>
      </c>
      <c r="N88" s="283"/>
      <c r="O88" s="245"/>
      <c r="P88" s="116">
        <f t="shared" si="2"/>
        <v>999</v>
      </c>
      <c r="Q88" s="98"/>
    </row>
    <row r="89" spans="1:17" s="11" customFormat="1" ht="18.899999999999999" customHeight="1" x14ac:dyDescent="0.25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0"/>
        <v>999</v>
      </c>
      <c r="M89" s="288">
        <f t="shared" si="1"/>
        <v>999</v>
      </c>
      <c r="N89" s="283"/>
      <c r="O89" s="245"/>
      <c r="P89" s="116">
        <f t="shared" si="2"/>
        <v>999</v>
      </c>
      <c r="Q89" s="98"/>
    </row>
    <row r="90" spans="1:17" s="11" customFormat="1" ht="18.899999999999999" customHeight="1" x14ac:dyDescent="0.25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0"/>
        <v>999</v>
      </c>
      <c r="M90" s="288">
        <f t="shared" si="1"/>
        <v>999</v>
      </c>
      <c r="N90" s="283"/>
      <c r="O90" s="245"/>
      <c r="P90" s="116">
        <f t="shared" si="2"/>
        <v>999</v>
      </c>
      <c r="Q90" s="98"/>
    </row>
    <row r="91" spans="1:17" s="11" customFormat="1" ht="18.899999999999999" customHeight="1" x14ac:dyDescent="0.25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0"/>
        <v>999</v>
      </c>
      <c r="M91" s="288">
        <f t="shared" si="1"/>
        <v>999</v>
      </c>
      <c r="N91" s="283"/>
      <c r="O91" s="245"/>
      <c r="P91" s="116">
        <f t="shared" si="2"/>
        <v>999</v>
      </c>
      <c r="Q91" s="98"/>
    </row>
    <row r="92" spans="1:17" s="11" customFormat="1" ht="18.899999999999999" customHeight="1" x14ac:dyDescent="0.25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0"/>
        <v>999</v>
      </c>
      <c r="M92" s="288">
        <f t="shared" si="1"/>
        <v>999</v>
      </c>
      <c r="N92" s="283"/>
      <c r="O92" s="245"/>
      <c r="P92" s="116">
        <f t="shared" si="2"/>
        <v>999</v>
      </c>
      <c r="Q92" s="98"/>
    </row>
    <row r="93" spans="1:17" s="11" customFormat="1" ht="18.899999999999999" customHeight="1" x14ac:dyDescent="0.25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0"/>
        <v>999</v>
      </c>
      <c r="M93" s="288">
        <f t="shared" si="1"/>
        <v>999</v>
      </c>
      <c r="N93" s="283"/>
      <c r="O93" s="245"/>
      <c r="P93" s="116">
        <f t="shared" si="2"/>
        <v>999</v>
      </c>
      <c r="Q93" s="98"/>
    </row>
    <row r="94" spans="1:17" s="11" customFormat="1" ht="18.899999999999999" customHeight="1" x14ac:dyDescent="0.25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0"/>
        <v>999</v>
      </c>
      <c r="M94" s="288">
        <f t="shared" si="1"/>
        <v>999</v>
      </c>
      <c r="N94" s="283"/>
      <c r="O94" s="245"/>
      <c r="P94" s="116">
        <f t="shared" si="2"/>
        <v>999</v>
      </c>
      <c r="Q94" s="98"/>
    </row>
    <row r="95" spans="1:17" s="11" customFormat="1" ht="18.899999999999999" customHeight="1" x14ac:dyDescent="0.25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0"/>
        <v>999</v>
      </c>
      <c r="M95" s="288">
        <f t="shared" si="1"/>
        <v>999</v>
      </c>
      <c r="N95" s="283"/>
      <c r="O95" s="245"/>
      <c r="P95" s="116">
        <f t="shared" si="2"/>
        <v>999</v>
      </c>
      <c r="Q95" s="98"/>
    </row>
    <row r="96" spans="1:17" s="11" customFormat="1" ht="18.899999999999999" customHeight="1" x14ac:dyDescent="0.25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0"/>
        <v>999</v>
      </c>
      <c r="M96" s="288">
        <f t="shared" si="1"/>
        <v>999</v>
      </c>
      <c r="N96" s="283"/>
      <c r="O96" s="245"/>
      <c r="P96" s="116">
        <f t="shared" si="2"/>
        <v>999</v>
      </c>
      <c r="Q96" s="98"/>
    </row>
    <row r="97" spans="1:17" s="11" customFormat="1" ht="18.899999999999999" customHeight="1" x14ac:dyDescent="0.25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0"/>
        <v>999</v>
      </c>
      <c r="M97" s="288">
        <f t="shared" si="1"/>
        <v>999</v>
      </c>
      <c r="N97" s="283"/>
      <c r="O97" s="245"/>
      <c r="P97" s="116">
        <f t="shared" si="2"/>
        <v>999</v>
      </c>
      <c r="Q97" s="98"/>
    </row>
    <row r="98" spans="1:17" s="11" customFormat="1" ht="18.899999999999999" customHeight="1" x14ac:dyDescent="0.25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0"/>
        <v>999</v>
      </c>
      <c r="M98" s="288">
        <f t="shared" si="1"/>
        <v>999</v>
      </c>
      <c r="N98" s="283"/>
      <c r="O98" s="245"/>
      <c r="P98" s="116">
        <f t="shared" si="2"/>
        <v>999</v>
      </c>
      <c r="Q98" s="98"/>
    </row>
    <row r="99" spans="1:17" s="11" customFormat="1" ht="18.899999999999999" customHeight="1" x14ac:dyDescent="0.25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0"/>
        <v>999</v>
      </c>
      <c r="M99" s="288">
        <f t="shared" si="1"/>
        <v>999</v>
      </c>
      <c r="N99" s="283"/>
      <c r="O99" s="245"/>
      <c r="P99" s="116">
        <f t="shared" si="2"/>
        <v>999</v>
      </c>
      <c r="Q99" s="98"/>
    </row>
    <row r="100" spans="1:17" s="11" customFormat="1" ht="18.899999999999999" customHeight="1" x14ac:dyDescent="0.25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0"/>
        <v>999</v>
      </c>
      <c r="M100" s="288">
        <f t="shared" si="1"/>
        <v>999</v>
      </c>
      <c r="N100" s="283"/>
      <c r="O100" s="245"/>
      <c r="P100" s="116">
        <f t="shared" si="2"/>
        <v>999</v>
      </c>
      <c r="Q100" s="98"/>
    </row>
    <row r="101" spans="1:17" s="11" customFormat="1" ht="18.899999999999999" customHeight="1" x14ac:dyDescent="0.25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si="0"/>
        <v>999</v>
      </c>
      <c r="M101" s="288">
        <f t="shared" si="1"/>
        <v>999</v>
      </c>
      <c r="N101" s="283"/>
      <c r="O101" s="245"/>
      <c r="P101" s="116">
        <f t="shared" si="2"/>
        <v>999</v>
      </c>
      <c r="Q101" s="98"/>
    </row>
    <row r="102" spans="1:17" s="11" customFormat="1" ht="18.899999999999999" customHeight="1" x14ac:dyDescent="0.25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0"/>
        <v>999</v>
      </c>
      <c r="M102" s="288">
        <f t="shared" si="1"/>
        <v>999</v>
      </c>
      <c r="N102" s="283"/>
      <c r="O102" s="245"/>
      <c r="P102" s="116">
        <f t="shared" si="2"/>
        <v>999</v>
      </c>
      <c r="Q102" s="98"/>
    </row>
    <row r="103" spans="1:17" s="11" customFormat="1" ht="18.899999999999999" customHeight="1" x14ac:dyDescent="0.25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0"/>
        <v>999</v>
      </c>
      <c r="M103" s="288">
        <f t="shared" si="1"/>
        <v>999</v>
      </c>
      <c r="N103" s="283"/>
      <c r="O103" s="245"/>
      <c r="P103" s="116">
        <f t="shared" si="2"/>
        <v>999</v>
      </c>
      <c r="Q103" s="98"/>
    </row>
    <row r="104" spans="1:17" s="11" customFormat="1" ht="18.899999999999999" customHeight="1" x14ac:dyDescent="0.25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ref="L104:L156" si="3">IF(Q104="",999,Q104)</f>
        <v>999</v>
      </c>
      <c r="M104" s="288">
        <f t="shared" ref="M104:M156" si="4">IF(P104=999,999,1)</f>
        <v>999</v>
      </c>
      <c r="N104" s="283"/>
      <c r="O104" s="245"/>
      <c r="P104" s="116">
        <f t="shared" ref="P104:P156" si="5">IF(N104="DA",1,IF(N104="WC",2,IF(N104="SE",3,IF(N104="Q",4,IF(N104="LL",5,999)))))</f>
        <v>999</v>
      </c>
      <c r="Q104" s="98"/>
    </row>
    <row r="105" spans="1:17" s="11" customFormat="1" ht="18.899999999999999" customHeight="1" x14ac:dyDescent="0.25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3"/>
        <v>999</v>
      </c>
      <c r="M105" s="288">
        <f t="shared" si="4"/>
        <v>999</v>
      </c>
      <c r="N105" s="283"/>
      <c r="O105" s="245"/>
      <c r="P105" s="116">
        <f t="shared" si="5"/>
        <v>999</v>
      </c>
      <c r="Q105" s="98"/>
    </row>
    <row r="106" spans="1:17" s="11" customFormat="1" ht="18.899999999999999" customHeight="1" x14ac:dyDescent="0.25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3"/>
        <v>999</v>
      </c>
      <c r="M106" s="288">
        <f t="shared" si="4"/>
        <v>999</v>
      </c>
      <c r="N106" s="283"/>
      <c r="O106" s="245"/>
      <c r="P106" s="116">
        <f t="shared" si="5"/>
        <v>999</v>
      </c>
      <c r="Q106" s="98"/>
    </row>
    <row r="107" spans="1:17" s="11" customFormat="1" ht="18.899999999999999" customHeight="1" x14ac:dyDescent="0.25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3"/>
        <v>999</v>
      </c>
      <c r="M107" s="288">
        <f t="shared" si="4"/>
        <v>999</v>
      </c>
      <c r="N107" s="283"/>
      <c r="O107" s="245"/>
      <c r="P107" s="116">
        <f t="shared" si="5"/>
        <v>999</v>
      </c>
      <c r="Q107" s="98"/>
    </row>
    <row r="108" spans="1:17" s="11" customFormat="1" ht="18.899999999999999" customHeight="1" x14ac:dyDescent="0.25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3"/>
        <v>999</v>
      </c>
      <c r="M108" s="288">
        <f t="shared" si="4"/>
        <v>999</v>
      </c>
      <c r="N108" s="283"/>
      <c r="O108" s="245"/>
      <c r="P108" s="116">
        <f t="shared" si="5"/>
        <v>999</v>
      </c>
      <c r="Q108" s="98"/>
    </row>
    <row r="109" spans="1:17" s="11" customFormat="1" ht="18.899999999999999" customHeight="1" x14ac:dyDescent="0.25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3"/>
        <v>999</v>
      </c>
      <c r="M109" s="288">
        <f t="shared" si="4"/>
        <v>999</v>
      </c>
      <c r="N109" s="283"/>
      <c r="O109" s="245"/>
      <c r="P109" s="116">
        <f t="shared" si="5"/>
        <v>999</v>
      </c>
      <c r="Q109" s="98"/>
    </row>
    <row r="110" spans="1:17" s="11" customFormat="1" ht="18.899999999999999" customHeight="1" x14ac:dyDescent="0.25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3"/>
        <v>999</v>
      </c>
      <c r="M110" s="288">
        <f t="shared" si="4"/>
        <v>999</v>
      </c>
      <c r="N110" s="283"/>
      <c r="O110" s="245"/>
      <c r="P110" s="116">
        <f t="shared" si="5"/>
        <v>999</v>
      </c>
      <c r="Q110" s="98"/>
    </row>
    <row r="111" spans="1:17" s="11" customFormat="1" ht="18.899999999999999" customHeight="1" x14ac:dyDescent="0.25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3"/>
        <v>999</v>
      </c>
      <c r="M111" s="288">
        <f t="shared" si="4"/>
        <v>999</v>
      </c>
      <c r="N111" s="283"/>
      <c r="O111" s="245"/>
      <c r="P111" s="116">
        <f t="shared" si="5"/>
        <v>999</v>
      </c>
      <c r="Q111" s="98"/>
    </row>
    <row r="112" spans="1:17" s="11" customFormat="1" ht="18.899999999999999" customHeight="1" x14ac:dyDescent="0.25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3"/>
        <v>999</v>
      </c>
      <c r="M112" s="288">
        <f t="shared" si="4"/>
        <v>999</v>
      </c>
      <c r="N112" s="283"/>
      <c r="O112" s="245"/>
      <c r="P112" s="116">
        <f t="shared" si="5"/>
        <v>999</v>
      </c>
      <c r="Q112" s="98"/>
    </row>
    <row r="113" spans="1:17" s="11" customFormat="1" ht="18.899999999999999" customHeight="1" x14ac:dyDescent="0.25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3"/>
        <v>999</v>
      </c>
      <c r="M113" s="288">
        <f t="shared" si="4"/>
        <v>999</v>
      </c>
      <c r="N113" s="283"/>
      <c r="O113" s="245"/>
      <c r="P113" s="116">
        <f t="shared" si="5"/>
        <v>999</v>
      </c>
      <c r="Q113" s="98"/>
    </row>
    <row r="114" spans="1:17" s="11" customFormat="1" ht="18.899999999999999" customHeight="1" x14ac:dyDescent="0.25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3"/>
        <v>999</v>
      </c>
      <c r="M114" s="288">
        <f t="shared" si="4"/>
        <v>999</v>
      </c>
      <c r="N114" s="283"/>
      <c r="O114" s="245"/>
      <c r="P114" s="116">
        <f t="shared" si="5"/>
        <v>999</v>
      </c>
      <c r="Q114" s="98"/>
    </row>
    <row r="115" spans="1:17" s="11" customFormat="1" ht="18.899999999999999" customHeight="1" x14ac:dyDescent="0.25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3"/>
        <v>999</v>
      </c>
      <c r="M115" s="288">
        <f t="shared" si="4"/>
        <v>999</v>
      </c>
      <c r="N115" s="283"/>
      <c r="O115" s="245"/>
      <c r="P115" s="116">
        <f t="shared" si="5"/>
        <v>999</v>
      </c>
      <c r="Q115" s="98"/>
    </row>
    <row r="116" spans="1:17" s="11" customFormat="1" ht="18.899999999999999" customHeight="1" x14ac:dyDescent="0.25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3"/>
        <v>999</v>
      </c>
      <c r="M116" s="288">
        <f t="shared" si="4"/>
        <v>999</v>
      </c>
      <c r="N116" s="283"/>
      <c r="O116" s="245"/>
      <c r="P116" s="116">
        <f t="shared" si="5"/>
        <v>999</v>
      </c>
      <c r="Q116" s="98"/>
    </row>
    <row r="117" spans="1:17" s="11" customFormat="1" ht="18.899999999999999" customHeight="1" x14ac:dyDescent="0.25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3"/>
        <v>999</v>
      </c>
      <c r="M117" s="288">
        <f t="shared" si="4"/>
        <v>999</v>
      </c>
      <c r="N117" s="283"/>
      <c r="O117" s="245"/>
      <c r="P117" s="116">
        <f t="shared" si="5"/>
        <v>999</v>
      </c>
      <c r="Q117" s="98"/>
    </row>
    <row r="118" spans="1:17" s="11" customFormat="1" ht="18.899999999999999" customHeight="1" x14ac:dyDescent="0.25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3"/>
        <v>999</v>
      </c>
      <c r="M118" s="288">
        <f t="shared" si="4"/>
        <v>999</v>
      </c>
      <c r="N118" s="283"/>
      <c r="O118" s="245"/>
      <c r="P118" s="116">
        <f t="shared" si="5"/>
        <v>999</v>
      </c>
      <c r="Q118" s="98"/>
    </row>
    <row r="119" spans="1:17" s="11" customFormat="1" ht="18.899999999999999" customHeight="1" x14ac:dyDescent="0.25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3"/>
        <v>999</v>
      </c>
      <c r="M119" s="288">
        <f t="shared" si="4"/>
        <v>999</v>
      </c>
      <c r="N119" s="283"/>
      <c r="O119" s="245"/>
      <c r="P119" s="116">
        <f t="shared" si="5"/>
        <v>999</v>
      </c>
      <c r="Q119" s="98"/>
    </row>
    <row r="120" spans="1:17" s="11" customFormat="1" ht="18.899999999999999" customHeight="1" x14ac:dyDescent="0.25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3"/>
        <v>999</v>
      </c>
      <c r="M120" s="288">
        <f t="shared" si="4"/>
        <v>999</v>
      </c>
      <c r="N120" s="283"/>
      <c r="O120" s="245"/>
      <c r="P120" s="116">
        <f t="shared" si="5"/>
        <v>999</v>
      </c>
      <c r="Q120" s="98"/>
    </row>
    <row r="121" spans="1:17" s="11" customFormat="1" ht="18.899999999999999" customHeight="1" x14ac:dyDescent="0.25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3"/>
        <v>999</v>
      </c>
      <c r="M121" s="288">
        <f t="shared" si="4"/>
        <v>999</v>
      </c>
      <c r="N121" s="283"/>
      <c r="O121" s="245"/>
      <c r="P121" s="116">
        <f t="shared" si="5"/>
        <v>999</v>
      </c>
      <c r="Q121" s="98"/>
    </row>
    <row r="122" spans="1:17" s="11" customFormat="1" ht="18.899999999999999" customHeight="1" x14ac:dyDescent="0.25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3"/>
        <v>999</v>
      </c>
      <c r="M122" s="288">
        <f t="shared" si="4"/>
        <v>999</v>
      </c>
      <c r="N122" s="283"/>
      <c r="O122" s="245"/>
      <c r="P122" s="116">
        <f t="shared" si="5"/>
        <v>999</v>
      </c>
      <c r="Q122" s="98"/>
    </row>
    <row r="123" spans="1:17" s="11" customFormat="1" ht="18.899999999999999" customHeight="1" x14ac:dyDescent="0.25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3"/>
        <v>999</v>
      </c>
      <c r="M123" s="288">
        <f t="shared" si="4"/>
        <v>999</v>
      </c>
      <c r="N123" s="283"/>
      <c r="O123" s="245"/>
      <c r="P123" s="116">
        <f t="shared" si="5"/>
        <v>999</v>
      </c>
      <c r="Q123" s="98"/>
    </row>
    <row r="124" spans="1:17" s="11" customFormat="1" ht="18.899999999999999" customHeight="1" x14ac:dyDescent="0.25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3"/>
        <v>999</v>
      </c>
      <c r="M124" s="288">
        <f t="shared" si="4"/>
        <v>999</v>
      </c>
      <c r="N124" s="283"/>
      <c r="O124" s="245"/>
      <c r="P124" s="116">
        <f t="shared" si="5"/>
        <v>999</v>
      </c>
      <c r="Q124" s="98"/>
    </row>
    <row r="125" spans="1:17" s="11" customFormat="1" ht="18.899999999999999" customHeight="1" x14ac:dyDescent="0.25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3"/>
        <v>999</v>
      </c>
      <c r="M125" s="288">
        <f t="shared" si="4"/>
        <v>999</v>
      </c>
      <c r="N125" s="283"/>
      <c r="O125" s="245"/>
      <c r="P125" s="116">
        <f t="shared" si="5"/>
        <v>999</v>
      </c>
      <c r="Q125" s="98"/>
    </row>
    <row r="126" spans="1:17" s="11" customFormat="1" ht="18.899999999999999" customHeight="1" x14ac:dyDescent="0.25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3"/>
        <v>999</v>
      </c>
      <c r="M126" s="288">
        <f t="shared" si="4"/>
        <v>999</v>
      </c>
      <c r="N126" s="283"/>
      <c r="O126" s="245"/>
      <c r="P126" s="116">
        <f t="shared" si="5"/>
        <v>999</v>
      </c>
      <c r="Q126" s="98"/>
    </row>
    <row r="127" spans="1:17" s="11" customFormat="1" ht="18.899999999999999" customHeight="1" x14ac:dyDescent="0.25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3"/>
        <v>999</v>
      </c>
      <c r="M127" s="288">
        <f t="shared" si="4"/>
        <v>999</v>
      </c>
      <c r="N127" s="283"/>
      <c r="O127" s="245"/>
      <c r="P127" s="116">
        <f t="shared" si="5"/>
        <v>999</v>
      </c>
      <c r="Q127" s="98"/>
    </row>
    <row r="128" spans="1:17" s="11" customFormat="1" ht="18.899999999999999" customHeight="1" x14ac:dyDescent="0.25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3"/>
        <v>999</v>
      </c>
      <c r="M128" s="288">
        <f t="shared" si="4"/>
        <v>999</v>
      </c>
      <c r="N128" s="283"/>
      <c r="O128" s="245"/>
      <c r="P128" s="116">
        <f t="shared" si="5"/>
        <v>999</v>
      </c>
      <c r="Q128" s="98"/>
    </row>
    <row r="129" spans="1:17" s="11" customFormat="1" ht="18.899999999999999" customHeight="1" x14ac:dyDescent="0.25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3"/>
        <v>999</v>
      </c>
      <c r="M129" s="288">
        <f t="shared" si="4"/>
        <v>999</v>
      </c>
      <c r="N129" s="283"/>
      <c r="O129" s="245"/>
      <c r="P129" s="116">
        <f t="shared" si="5"/>
        <v>999</v>
      </c>
      <c r="Q129" s="98"/>
    </row>
    <row r="130" spans="1:17" s="11" customFormat="1" ht="18.899999999999999" customHeight="1" x14ac:dyDescent="0.25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3"/>
        <v>999</v>
      </c>
      <c r="M130" s="288">
        <f t="shared" si="4"/>
        <v>999</v>
      </c>
      <c r="N130" s="283"/>
      <c r="O130" s="245"/>
      <c r="P130" s="116">
        <f t="shared" si="5"/>
        <v>999</v>
      </c>
      <c r="Q130" s="98"/>
    </row>
    <row r="131" spans="1:17" s="11" customFormat="1" ht="18.899999999999999" customHeight="1" x14ac:dyDescent="0.25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3"/>
        <v>999</v>
      </c>
      <c r="M131" s="288">
        <f t="shared" si="4"/>
        <v>999</v>
      </c>
      <c r="N131" s="283"/>
      <c r="O131" s="245"/>
      <c r="P131" s="116">
        <f t="shared" si="5"/>
        <v>999</v>
      </c>
      <c r="Q131" s="98"/>
    </row>
    <row r="132" spans="1:17" s="11" customFormat="1" ht="18.899999999999999" customHeight="1" x14ac:dyDescent="0.25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3"/>
        <v>999</v>
      </c>
      <c r="M132" s="288">
        <f t="shared" si="4"/>
        <v>999</v>
      </c>
      <c r="N132" s="283"/>
      <c r="O132" s="245"/>
      <c r="P132" s="116">
        <f t="shared" si="5"/>
        <v>999</v>
      </c>
      <c r="Q132" s="98"/>
    </row>
    <row r="133" spans="1:17" s="11" customFormat="1" ht="18.899999999999999" customHeight="1" x14ac:dyDescent="0.25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3"/>
        <v>999</v>
      </c>
      <c r="M133" s="288">
        <f t="shared" si="4"/>
        <v>999</v>
      </c>
      <c r="N133" s="283"/>
      <c r="O133" s="245"/>
      <c r="P133" s="116">
        <f t="shared" si="5"/>
        <v>999</v>
      </c>
      <c r="Q133" s="98"/>
    </row>
    <row r="134" spans="1:17" s="11" customFormat="1" ht="18.899999999999999" customHeight="1" x14ac:dyDescent="0.25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3"/>
        <v>999</v>
      </c>
      <c r="M134" s="288">
        <f t="shared" si="4"/>
        <v>999</v>
      </c>
      <c r="N134" s="283"/>
      <c r="O134" s="289"/>
      <c r="P134" s="290">
        <f t="shared" si="5"/>
        <v>999</v>
      </c>
      <c r="Q134" s="291"/>
    </row>
    <row r="135" spans="1:17" x14ac:dyDescent="0.25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si="3"/>
        <v>999</v>
      </c>
      <c r="M135" s="288">
        <f t="shared" si="4"/>
        <v>999</v>
      </c>
      <c r="N135" s="283"/>
      <c r="O135" s="245"/>
      <c r="P135" s="116">
        <f t="shared" si="5"/>
        <v>999</v>
      </c>
      <c r="Q135" s="98"/>
    </row>
    <row r="136" spans="1:17" x14ac:dyDescent="0.25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3"/>
        <v>999</v>
      </c>
      <c r="M136" s="288">
        <f t="shared" si="4"/>
        <v>999</v>
      </c>
      <c r="N136" s="283"/>
      <c r="O136" s="245"/>
      <c r="P136" s="116">
        <f t="shared" si="5"/>
        <v>999</v>
      </c>
      <c r="Q136" s="98"/>
    </row>
    <row r="137" spans="1:17" x14ac:dyDescent="0.25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3"/>
        <v>999</v>
      </c>
      <c r="M137" s="288">
        <f t="shared" si="4"/>
        <v>999</v>
      </c>
      <c r="N137" s="283"/>
      <c r="O137" s="245"/>
      <c r="P137" s="116">
        <f t="shared" si="5"/>
        <v>999</v>
      </c>
      <c r="Q137" s="98"/>
    </row>
    <row r="138" spans="1:17" x14ac:dyDescent="0.25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3"/>
        <v>999</v>
      </c>
      <c r="M138" s="288">
        <f t="shared" si="4"/>
        <v>999</v>
      </c>
      <c r="N138" s="283"/>
      <c r="O138" s="245"/>
      <c r="P138" s="116">
        <f t="shared" si="5"/>
        <v>999</v>
      </c>
      <c r="Q138" s="98"/>
    </row>
    <row r="139" spans="1:17" x14ac:dyDescent="0.25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3"/>
        <v>999</v>
      </c>
      <c r="M139" s="288">
        <f t="shared" si="4"/>
        <v>999</v>
      </c>
      <c r="N139" s="283"/>
      <c r="O139" s="245"/>
      <c r="P139" s="116">
        <f t="shared" si="5"/>
        <v>999</v>
      </c>
      <c r="Q139" s="98"/>
    </row>
    <row r="140" spans="1:17" x14ac:dyDescent="0.25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3"/>
        <v>999</v>
      </c>
      <c r="M140" s="288">
        <f t="shared" si="4"/>
        <v>999</v>
      </c>
      <c r="N140" s="283"/>
      <c r="O140" s="245"/>
      <c r="P140" s="116">
        <f t="shared" si="5"/>
        <v>999</v>
      </c>
      <c r="Q140" s="98"/>
    </row>
    <row r="141" spans="1:17" x14ac:dyDescent="0.25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3"/>
        <v>999</v>
      </c>
      <c r="M141" s="288">
        <f t="shared" si="4"/>
        <v>999</v>
      </c>
      <c r="N141" s="283"/>
      <c r="O141" s="289"/>
      <c r="P141" s="290">
        <f t="shared" si="5"/>
        <v>999</v>
      </c>
      <c r="Q141" s="291"/>
    </row>
    <row r="142" spans="1:17" x14ac:dyDescent="0.25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3"/>
        <v>999</v>
      </c>
      <c r="M142" s="288">
        <f t="shared" si="4"/>
        <v>999</v>
      </c>
      <c r="N142" s="283"/>
      <c r="O142" s="245"/>
      <c r="P142" s="116">
        <f t="shared" si="5"/>
        <v>999</v>
      </c>
      <c r="Q142" s="98"/>
    </row>
    <row r="143" spans="1:17" x14ac:dyDescent="0.25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3"/>
        <v>999</v>
      </c>
      <c r="M143" s="288">
        <f t="shared" si="4"/>
        <v>999</v>
      </c>
      <c r="N143" s="283"/>
      <c r="O143" s="245"/>
      <c r="P143" s="116">
        <f t="shared" si="5"/>
        <v>999</v>
      </c>
      <c r="Q143" s="98"/>
    </row>
    <row r="144" spans="1:17" x14ac:dyDescent="0.25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3"/>
        <v>999</v>
      </c>
      <c r="M144" s="288">
        <f t="shared" si="4"/>
        <v>999</v>
      </c>
      <c r="N144" s="283"/>
      <c r="O144" s="245"/>
      <c r="P144" s="116">
        <f t="shared" si="5"/>
        <v>999</v>
      </c>
      <c r="Q144" s="98"/>
    </row>
    <row r="145" spans="1:17" x14ac:dyDescent="0.25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3"/>
        <v>999</v>
      </c>
      <c r="M145" s="288">
        <f t="shared" si="4"/>
        <v>999</v>
      </c>
      <c r="N145" s="283"/>
      <c r="O145" s="245"/>
      <c r="P145" s="116">
        <f t="shared" si="5"/>
        <v>999</v>
      </c>
      <c r="Q145" s="98"/>
    </row>
    <row r="146" spans="1:17" x14ac:dyDescent="0.25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3"/>
        <v>999</v>
      </c>
      <c r="M146" s="288">
        <f t="shared" si="4"/>
        <v>999</v>
      </c>
      <c r="N146" s="283"/>
      <c r="O146" s="245"/>
      <c r="P146" s="116">
        <f t="shared" si="5"/>
        <v>999</v>
      </c>
      <c r="Q146" s="98"/>
    </row>
    <row r="147" spans="1:17" x14ac:dyDescent="0.25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3"/>
        <v>999</v>
      </c>
      <c r="M147" s="288">
        <f t="shared" si="4"/>
        <v>999</v>
      </c>
      <c r="N147" s="283"/>
      <c r="O147" s="245"/>
      <c r="P147" s="116">
        <f t="shared" si="5"/>
        <v>999</v>
      </c>
      <c r="Q147" s="98"/>
    </row>
    <row r="148" spans="1:17" x14ac:dyDescent="0.25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3"/>
        <v>999</v>
      </c>
      <c r="M148" s="288">
        <f t="shared" si="4"/>
        <v>999</v>
      </c>
      <c r="N148" s="283"/>
      <c r="O148" s="289"/>
      <c r="P148" s="290">
        <f t="shared" si="5"/>
        <v>999</v>
      </c>
      <c r="Q148" s="291"/>
    </row>
    <row r="149" spans="1:17" x14ac:dyDescent="0.25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3"/>
        <v>999</v>
      </c>
      <c r="M149" s="288">
        <f t="shared" si="4"/>
        <v>999</v>
      </c>
      <c r="N149" s="283"/>
      <c r="O149" s="245"/>
      <c r="P149" s="116">
        <f t="shared" si="5"/>
        <v>999</v>
      </c>
      <c r="Q149" s="98"/>
    </row>
    <row r="150" spans="1:17" x14ac:dyDescent="0.25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3"/>
        <v>999</v>
      </c>
      <c r="M150" s="288">
        <f t="shared" si="4"/>
        <v>999</v>
      </c>
      <c r="N150" s="283"/>
      <c r="O150" s="245"/>
      <c r="P150" s="116">
        <f t="shared" si="5"/>
        <v>999</v>
      </c>
      <c r="Q150" s="98"/>
    </row>
    <row r="151" spans="1:17" x14ac:dyDescent="0.25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3"/>
        <v>999</v>
      </c>
      <c r="M151" s="288">
        <f t="shared" si="4"/>
        <v>999</v>
      </c>
      <c r="N151" s="283"/>
      <c r="O151" s="245"/>
      <c r="P151" s="116">
        <f t="shared" si="5"/>
        <v>999</v>
      </c>
      <c r="Q151" s="98"/>
    </row>
    <row r="152" spans="1:17" x14ac:dyDescent="0.25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3"/>
        <v>999</v>
      </c>
      <c r="M152" s="288">
        <f t="shared" si="4"/>
        <v>999</v>
      </c>
      <c r="N152" s="283"/>
      <c r="O152" s="245"/>
      <c r="P152" s="116">
        <f t="shared" si="5"/>
        <v>999</v>
      </c>
      <c r="Q152" s="98"/>
    </row>
    <row r="153" spans="1:17" x14ac:dyDescent="0.25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3"/>
        <v>999</v>
      </c>
      <c r="M153" s="288">
        <f t="shared" si="4"/>
        <v>999</v>
      </c>
      <c r="N153" s="283"/>
      <c r="O153" s="245"/>
      <c r="P153" s="116">
        <f t="shared" si="5"/>
        <v>999</v>
      </c>
      <c r="Q153" s="98"/>
    </row>
    <row r="154" spans="1:17" x14ac:dyDescent="0.25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3"/>
        <v>999</v>
      </c>
      <c r="M154" s="288">
        <f t="shared" si="4"/>
        <v>999</v>
      </c>
      <c r="N154" s="283"/>
      <c r="O154" s="245"/>
      <c r="P154" s="116">
        <f t="shared" si="5"/>
        <v>999</v>
      </c>
      <c r="Q154" s="98"/>
    </row>
    <row r="155" spans="1:17" x14ac:dyDescent="0.25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3"/>
        <v>999</v>
      </c>
      <c r="M155" s="288">
        <f t="shared" si="4"/>
        <v>999</v>
      </c>
      <c r="N155" s="283"/>
      <c r="O155" s="245"/>
      <c r="P155" s="116">
        <f t="shared" si="5"/>
        <v>999</v>
      </c>
      <c r="Q155" s="98"/>
    </row>
    <row r="156" spans="1:17" x14ac:dyDescent="0.25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3"/>
        <v>999</v>
      </c>
      <c r="M156" s="288">
        <f t="shared" si="4"/>
        <v>999</v>
      </c>
      <c r="N156" s="283"/>
      <c r="O156" s="245"/>
      <c r="P156" s="116">
        <f t="shared" si="5"/>
        <v>999</v>
      </c>
      <c r="Q156" s="98"/>
    </row>
  </sheetData>
  <conditionalFormatting sqref="E7:E156">
    <cfRule type="expression" dxfId="31" priority="16" stopIfTrue="1">
      <formula>AND(ROUNDDOWN(($A$4-E7)/365.25,0)&lt;=13,G7&lt;&gt;"OK")</formula>
    </cfRule>
    <cfRule type="expression" dxfId="30" priority="17" stopIfTrue="1">
      <formula>AND(ROUNDDOWN(($A$4-E7)/365.25,0)&lt;=14,G7&lt;&gt;"OK")</formula>
    </cfRule>
    <cfRule type="expression" dxfId="29" priority="18" stopIfTrue="1">
      <formula>AND(ROUNDDOWN(($A$4-E7)/365.25,0)&lt;=17,G7&lt;&gt;"OK")</formula>
    </cfRule>
  </conditionalFormatting>
  <conditionalFormatting sqref="J7:J156">
    <cfRule type="cellIs" dxfId="28" priority="15" stopIfTrue="1" operator="equal">
      <formula>"Z"</formula>
    </cfRule>
  </conditionalFormatting>
  <conditionalFormatting sqref="A7:D156">
    <cfRule type="expression" dxfId="27" priority="14" stopIfTrue="1">
      <formula>$Q7&gt;=1</formula>
    </cfRule>
  </conditionalFormatting>
  <conditionalFormatting sqref="E7:E15">
    <cfRule type="expression" dxfId="26" priority="11" stopIfTrue="1">
      <formula>AND(ROUNDDOWN(($A$4-E7)/365.25,0)&lt;=13,G7&lt;&gt;"OK")</formula>
    </cfRule>
    <cfRule type="expression" dxfId="25" priority="12" stopIfTrue="1">
      <formula>AND(ROUNDDOWN(($A$4-E7)/365.25,0)&lt;=14,G7&lt;&gt;"OK")</formula>
    </cfRule>
    <cfRule type="expression" dxfId="24" priority="13" stopIfTrue="1">
      <formula>AND(ROUNDDOWN(($A$4-E7)/365.25,0)&lt;=17,G7&lt;&gt;"OK")</formula>
    </cfRule>
  </conditionalFormatting>
  <conditionalFormatting sqref="J7:J15">
    <cfRule type="cellIs" dxfId="23" priority="10" stopIfTrue="1" operator="equal">
      <formula>"Z"</formula>
    </cfRule>
  </conditionalFormatting>
  <conditionalFormatting sqref="B7:D15">
    <cfRule type="expression" dxfId="22" priority="9" stopIfTrue="1">
      <formula>$Q7&gt;=1</formula>
    </cfRule>
  </conditionalFormatting>
  <conditionalFormatting sqref="E7:E15">
    <cfRule type="expression" dxfId="21" priority="6" stopIfTrue="1">
      <formula>AND(ROUNDDOWN(($A$4-E7)/365.25,0)&lt;=13,G7&lt;&gt;"OK")</formula>
    </cfRule>
    <cfRule type="expression" dxfId="20" priority="7" stopIfTrue="1">
      <formula>AND(ROUNDDOWN(($A$4-E7)/365.25,0)&lt;=14,G7&lt;&gt;"OK")</formula>
    </cfRule>
    <cfRule type="expression" dxfId="19" priority="8" stopIfTrue="1">
      <formula>AND(ROUNDDOWN(($A$4-E7)/365.25,0)&lt;=17,G7&lt;&gt;"OK")</formula>
    </cfRule>
  </conditionalFormatting>
  <conditionalFormatting sqref="B7:D15">
    <cfRule type="expression" dxfId="18" priority="5" stopIfTrue="1">
      <formula>$Q7&gt;=1</formula>
    </cfRule>
  </conditionalFormatting>
  <conditionalFormatting sqref="E29:E37 E7:E27">
    <cfRule type="expression" dxfId="17" priority="2" stopIfTrue="1">
      <formula>AND(ROUNDDOWN(($A$4-E7)/365.25,0)&lt;=13,G7&lt;&gt;"OK")</formula>
    </cfRule>
    <cfRule type="expression" dxfId="16" priority="3" stopIfTrue="1">
      <formula>AND(ROUNDDOWN(($A$4-E7)/365.25,0)&lt;=14,G7&lt;&gt;"OK")</formula>
    </cfRule>
    <cfRule type="expression" dxfId="15" priority="4" stopIfTrue="1">
      <formula>AND(ROUNDDOWN(($A$4-E7)/365.25,0)&lt;=17,G7&lt;&gt;"OK")</formula>
    </cfRule>
  </conditionalFormatting>
  <conditionalFormatting sqref="B7:D37">
    <cfRule type="expression" dxfId="14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6116-00B5-44D5-975D-10DFC5A74309}">
  <sheetPr codeName="Sheet149">
    <tabColor indexed="11"/>
    <pageSetUpPr fitToPage="1"/>
  </sheetPr>
  <dimension ref="A1:AO57"/>
  <sheetViews>
    <sheetView showGridLines="0" showZeros="0" workbookViewId="0">
      <selection activeCell="AI1" sqref="AI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7" customWidth="1"/>
    <col min="11" max="11" width="10.6640625" customWidth="1"/>
    <col min="12" max="12" width="1.6640625" style="117" customWidth="1"/>
    <col min="13" max="13" width="10.6640625" customWidth="1"/>
    <col min="14" max="14" width="1.6640625" style="118" customWidth="1"/>
    <col min="15" max="15" width="10.6640625" customWidth="1"/>
    <col min="16" max="16" width="1.6640625" style="117" customWidth="1"/>
    <col min="17" max="17" width="10.6640625" customWidth="1"/>
    <col min="18" max="18" width="1.6640625" style="118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style="374" customWidth="1"/>
  </cols>
  <sheetData>
    <row r="1" spans="1:37" s="119" customFormat="1" ht="21.75" customHeight="1" x14ac:dyDescent="0.25">
      <c r="A1" s="88" t="str">
        <f>Altalanos!$A$6</f>
        <v>Budapest Bajnokság</v>
      </c>
      <c r="B1" s="88"/>
      <c r="C1" s="120"/>
      <c r="D1" s="120"/>
      <c r="E1" s="120"/>
      <c r="F1" s="120"/>
      <c r="G1" s="120"/>
      <c r="H1" s="88"/>
      <c r="I1" s="233"/>
      <c r="J1" s="121"/>
      <c r="K1" s="265" t="s">
        <v>52</v>
      </c>
      <c r="L1" s="107"/>
      <c r="M1" s="89"/>
      <c r="N1" s="121"/>
      <c r="O1" s="121" t="s">
        <v>3</v>
      </c>
      <c r="P1" s="121"/>
      <c r="Q1" s="120"/>
      <c r="R1" s="121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89"/>
      <c r="AJ1" s="389"/>
      <c r="AK1" s="389"/>
    </row>
    <row r="2" spans="1:37" s="99" customFormat="1" x14ac:dyDescent="0.25">
      <c r="A2" s="293" t="s">
        <v>51</v>
      </c>
      <c r="B2" s="90"/>
      <c r="C2" s="90"/>
      <c r="D2" s="90"/>
      <c r="E2" s="287" t="str">
        <f>Altalanos!$D$8</f>
        <v>F18 csapat</v>
      </c>
      <c r="F2" s="90"/>
      <c r="G2" s="122"/>
      <c r="H2" s="100"/>
      <c r="I2" s="100"/>
      <c r="J2" s="123"/>
      <c r="K2" s="107" t="s">
        <v>131</v>
      </c>
      <c r="L2" s="107"/>
      <c r="M2" s="107"/>
      <c r="N2" s="123"/>
      <c r="O2" s="100"/>
      <c r="P2" s="123"/>
      <c r="Q2" s="100"/>
      <c r="R2" s="123"/>
      <c r="Y2" s="376"/>
      <c r="Z2" s="375"/>
      <c r="AA2" s="390" t="s">
        <v>64</v>
      </c>
      <c r="AB2" s="391">
        <v>300</v>
      </c>
      <c r="AC2" s="391">
        <v>250</v>
      </c>
      <c r="AD2" s="391">
        <v>200</v>
      </c>
      <c r="AE2" s="391">
        <v>150</v>
      </c>
      <c r="AF2" s="391">
        <v>120</v>
      </c>
      <c r="AG2" s="391">
        <v>90</v>
      </c>
      <c r="AH2" s="391">
        <v>40</v>
      </c>
      <c r="AI2" s="374"/>
      <c r="AJ2" s="374"/>
      <c r="AK2" s="374"/>
    </row>
    <row r="3" spans="1:37" s="19" customFormat="1" ht="11.25" customHeight="1" x14ac:dyDescent="0.25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Y3" s="375" t="str">
        <f>IF(K4="OB","A",IF(K4="IX","W",IF(K4="","",K4)))</f>
        <v/>
      </c>
      <c r="Z3" s="375"/>
      <c r="AA3" s="390" t="s">
        <v>65</v>
      </c>
      <c r="AB3" s="391">
        <v>280</v>
      </c>
      <c r="AC3" s="391">
        <v>230</v>
      </c>
      <c r="AD3" s="391">
        <v>180</v>
      </c>
      <c r="AE3" s="391">
        <v>140</v>
      </c>
      <c r="AF3" s="391">
        <v>80</v>
      </c>
      <c r="AG3" s="391">
        <v>0</v>
      </c>
      <c r="AH3" s="391">
        <v>0</v>
      </c>
      <c r="AI3" s="374"/>
      <c r="AJ3" s="374"/>
      <c r="AK3" s="374"/>
    </row>
    <row r="4" spans="1:37" s="28" customFormat="1" ht="11.25" customHeight="1" thickBot="1" x14ac:dyDescent="0.3">
      <c r="A4" s="442" t="str">
        <f>Altalanos!$A$10</f>
        <v>2025.06.19-29.</v>
      </c>
      <c r="B4" s="442"/>
      <c r="C4" s="442"/>
      <c r="D4" s="259"/>
      <c r="E4" s="125"/>
      <c r="F4" s="125"/>
      <c r="G4" s="125" t="str">
        <f>Altalanos!$C$10</f>
        <v>Budapest</v>
      </c>
      <c r="H4" s="93"/>
      <c r="I4" s="125"/>
      <c r="J4" s="126"/>
      <c r="K4" s="127"/>
      <c r="L4" s="126"/>
      <c r="M4" s="128"/>
      <c r="N4" s="126"/>
      <c r="O4" s="125"/>
      <c r="P4" s="126"/>
      <c r="Q4" s="125"/>
      <c r="R4" s="84" t="str">
        <f>Altalanos!$E$10</f>
        <v>Rákóczi Andrea</v>
      </c>
      <c r="Y4" s="375"/>
      <c r="Z4" s="375"/>
      <c r="AA4" s="390" t="s">
        <v>66</v>
      </c>
      <c r="AB4" s="391">
        <v>250</v>
      </c>
      <c r="AC4" s="391">
        <v>200</v>
      </c>
      <c r="AD4" s="391">
        <v>150</v>
      </c>
      <c r="AE4" s="391">
        <v>120</v>
      </c>
      <c r="AF4" s="391">
        <v>90</v>
      </c>
      <c r="AG4" s="391">
        <v>60</v>
      </c>
      <c r="AH4" s="391">
        <v>25</v>
      </c>
      <c r="AI4" s="374"/>
      <c r="AJ4" s="374"/>
      <c r="AK4" s="374"/>
    </row>
    <row r="5" spans="1:37" s="19" customFormat="1" x14ac:dyDescent="0.25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59</v>
      </c>
      <c r="N5" s="132"/>
      <c r="O5" s="130" t="s">
        <v>58</v>
      </c>
      <c r="P5" s="132"/>
      <c r="Q5" s="130" t="s">
        <v>57</v>
      </c>
      <c r="R5" s="133"/>
      <c r="Y5" s="375">
        <f>IF(OR(Altalanos!$A$8="F1",Altalanos!$A$8="F2",Altalanos!$A$8="N1",Altalanos!$A$8="N2"),1,2)</f>
        <v>2</v>
      </c>
      <c r="Z5" s="375"/>
      <c r="AA5" s="390" t="s">
        <v>67</v>
      </c>
      <c r="AB5" s="391">
        <v>200</v>
      </c>
      <c r="AC5" s="391">
        <v>150</v>
      </c>
      <c r="AD5" s="391">
        <v>120</v>
      </c>
      <c r="AE5" s="391">
        <v>90</v>
      </c>
      <c r="AF5" s="391">
        <v>60</v>
      </c>
      <c r="AG5" s="391">
        <v>40</v>
      </c>
      <c r="AH5" s="391">
        <v>15</v>
      </c>
      <c r="AI5" s="374"/>
      <c r="AJ5" s="374"/>
      <c r="AK5" s="374"/>
    </row>
    <row r="6" spans="1:37" s="19" customFormat="1" ht="11.1" customHeight="1" thickBot="1" x14ac:dyDescent="0.3">
      <c r="A6" s="134"/>
      <c r="B6" s="379"/>
      <c r="C6" s="379"/>
      <c r="D6" s="379"/>
      <c r="E6" s="379"/>
      <c r="F6" s="378" t="str">
        <f>IF(Y3="","",CONCATENATE(AH1," / ",VLOOKUP(Y3,AB1:AH1,5)," pont"))</f>
        <v/>
      </c>
      <c r="G6" s="380"/>
      <c r="H6" s="381"/>
      <c r="I6" s="380"/>
      <c r="J6" s="382"/>
      <c r="K6" s="379" t="str">
        <f>IF(Y3="","",CONCATENATE(VLOOKUP(Y3,AB1:AH1,4)," pont"))</f>
        <v/>
      </c>
      <c r="L6" s="382"/>
      <c r="M6" s="379" t="str">
        <f>IF(Y3="","",CONCATENATE(VLOOKUP(Y3,AB1:AH1,3)," pont"))</f>
        <v/>
      </c>
      <c r="N6" s="382"/>
      <c r="O6" s="379" t="str">
        <f>IF(Y3="","",CONCATENATE(VLOOKUP(Y3,AB1:AH1,2)," pont"))</f>
        <v/>
      </c>
      <c r="P6" s="382"/>
      <c r="Q6" s="379" t="str">
        <f>IF(Y3="","",CONCATENATE(VLOOKUP(Y3,AB1:AH1,1)," pont"))</f>
        <v/>
      </c>
      <c r="R6" s="383"/>
      <c r="Y6" s="375"/>
      <c r="Z6" s="375"/>
      <c r="AA6" s="390" t="s">
        <v>68</v>
      </c>
      <c r="AB6" s="391">
        <v>150</v>
      </c>
      <c r="AC6" s="391">
        <v>120</v>
      </c>
      <c r="AD6" s="391">
        <v>90</v>
      </c>
      <c r="AE6" s="391">
        <v>60</v>
      </c>
      <c r="AF6" s="391">
        <v>40</v>
      </c>
      <c r="AG6" s="391">
        <v>25</v>
      </c>
      <c r="AH6" s="391">
        <v>10</v>
      </c>
      <c r="AI6" s="374"/>
      <c r="AJ6" s="374"/>
      <c r="AK6" s="374"/>
    </row>
    <row r="7" spans="1:37" s="34" customFormat="1" ht="12.9" customHeight="1" x14ac:dyDescent="0.25">
      <c r="A7" s="135">
        <v>1</v>
      </c>
      <c r="B7" s="243">
        <f>IF($E7="","",VLOOKUP($E7,'F18 csapat ELO'!$A$7:$O$22,14))</f>
        <v>0</v>
      </c>
      <c r="C7" s="272">
        <f>IF($E7="","",VLOOKUP($E7,'F18 csapat ELO'!$A$7:$O$22,15))</f>
        <v>13</v>
      </c>
      <c r="D7" s="272">
        <f>IF($E7="","",VLOOKUP($E7,'F18 csapat ELO'!$A$7:$O$22,5))</f>
        <v>0</v>
      </c>
      <c r="E7" s="136">
        <v>1</v>
      </c>
      <c r="F7" s="137" t="str">
        <f>UPPER(IF($E7="","",VLOOKUP($E7,'F18 csapat ELO'!$A$7:$O$22,2)))</f>
        <v>VASAS SC</v>
      </c>
      <c r="G7" s="137">
        <f>IF($E7="","",VLOOKUP($E7,'F18 csapat ELO'!$A$7:$O$22,3))</f>
        <v>0</v>
      </c>
      <c r="H7" s="137"/>
      <c r="I7" s="137">
        <f>IF($E7="","",VLOOKUP($E7,'F18 csapat ELO'!$A$7:$O$22,4))</f>
        <v>0</v>
      </c>
      <c r="J7" s="139"/>
      <c r="K7" s="138"/>
      <c r="L7" s="138"/>
      <c r="M7" s="138"/>
      <c r="N7" s="138"/>
      <c r="O7" s="141"/>
      <c r="P7" s="142"/>
      <c r="Q7" s="143"/>
      <c r="R7" s="144"/>
      <c r="S7" s="145"/>
      <c r="U7" s="146" t="str">
        <f>Birók!P21</f>
        <v>Bíró</v>
      </c>
      <c r="Y7" s="375"/>
      <c r="Z7" s="375"/>
      <c r="AA7" s="390" t="s">
        <v>69</v>
      </c>
      <c r="AB7" s="391">
        <v>120</v>
      </c>
      <c r="AC7" s="391">
        <v>90</v>
      </c>
      <c r="AD7" s="391">
        <v>60</v>
      </c>
      <c r="AE7" s="391">
        <v>40</v>
      </c>
      <c r="AF7" s="391">
        <v>25</v>
      </c>
      <c r="AG7" s="391">
        <v>10</v>
      </c>
      <c r="AH7" s="391">
        <v>5</v>
      </c>
      <c r="AI7" s="374"/>
      <c r="AJ7" s="374"/>
      <c r="AK7" s="374"/>
    </row>
    <row r="8" spans="1:37" s="34" customFormat="1" ht="12.9" customHeight="1" x14ac:dyDescent="0.25">
      <c r="A8" s="147"/>
      <c r="B8" s="285"/>
      <c r="C8" s="281"/>
      <c r="D8" s="281"/>
      <c r="E8" s="148"/>
      <c r="F8" s="149"/>
      <c r="G8" s="149"/>
      <c r="H8" s="150"/>
      <c r="I8" s="413" t="s">
        <v>0</v>
      </c>
      <c r="J8" s="152" t="s">
        <v>127</v>
      </c>
      <c r="K8" s="153" t="str">
        <f>UPPER(IF(OR(J8="a",J8="as"),F7,IF(OR(J8="b",J8="bs"),F9,)))</f>
        <v>VASAS SC</v>
      </c>
      <c r="L8" s="153"/>
      <c r="M8" s="138"/>
      <c r="N8" s="138"/>
      <c r="O8" s="141"/>
      <c r="P8" s="142"/>
      <c r="Q8" s="143"/>
      <c r="R8" s="144"/>
      <c r="S8" s="145"/>
      <c r="U8" s="154" t="str">
        <f>Birók!P22</f>
        <v xml:space="preserve"> </v>
      </c>
      <c r="Y8" s="375"/>
      <c r="Z8" s="375"/>
      <c r="AA8" s="390" t="s">
        <v>70</v>
      </c>
      <c r="AB8" s="391">
        <v>90</v>
      </c>
      <c r="AC8" s="391">
        <v>60</v>
      </c>
      <c r="AD8" s="391">
        <v>40</v>
      </c>
      <c r="AE8" s="391">
        <v>25</v>
      </c>
      <c r="AF8" s="391">
        <v>10</v>
      </c>
      <c r="AG8" s="391">
        <v>5</v>
      </c>
      <c r="AH8" s="391">
        <v>2</v>
      </c>
      <c r="AI8" s="374"/>
      <c r="AJ8" s="374"/>
      <c r="AK8" s="374"/>
    </row>
    <row r="9" spans="1:37" s="34" customFormat="1" ht="12.9" customHeight="1" x14ac:dyDescent="0.25">
      <c r="A9" s="147">
        <v>2</v>
      </c>
      <c r="B9" s="243" t="str">
        <f>IF($E9="","",VLOOKUP($E9,'F18 csapat ELO'!$A$7:$O$22,14))</f>
        <v/>
      </c>
      <c r="C9" s="272" t="str">
        <f>IF($E9="","",VLOOKUP($E9,'F18 csapat ELO'!$A$7:$O$22,15))</f>
        <v/>
      </c>
      <c r="D9" s="272" t="str">
        <f>IF($E9="","",VLOOKUP($E9,'F18 csapat ELO'!$A$7:$O$22,5))</f>
        <v/>
      </c>
      <c r="E9" s="136"/>
      <c r="F9" s="155" t="str">
        <f>UPPER(IF($E9="","",VLOOKUP($E9,'F18 csapat ELO'!$A$7:$O$22,2)))</f>
        <v/>
      </c>
      <c r="G9" s="155" t="str">
        <f>IF($E9="","",VLOOKUP($E9,'F18 csapat ELO'!$A$7:$O$22,3))</f>
        <v/>
      </c>
      <c r="H9" s="155"/>
      <c r="I9" s="137" t="str">
        <f>IF($E9="","",VLOOKUP($E9,'F18 csapat ELO'!$A$7:$O$22,4))</f>
        <v/>
      </c>
      <c r="J9" s="156"/>
      <c r="K9" s="138"/>
      <c r="L9" s="157"/>
      <c r="M9" s="138"/>
      <c r="N9" s="138"/>
      <c r="O9" s="141"/>
      <c r="P9" s="142"/>
      <c r="Q9" s="143"/>
      <c r="R9" s="144"/>
      <c r="S9" s="145"/>
      <c r="U9" s="154" t="str">
        <f>Birók!P23</f>
        <v xml:space="preserve"> </v>
      </c>
      <c r="Y9" s="375"/>
      <c r="Z9" s="375"/>
      <c r="AA9" s="390" t="s">
        <v>71</v>
      </c>
      <c r="AB9" s="391">
        <v>60</v>
      </c>
      <c r="AC9" s="391">
        <v>40</v>
      </c>
      <c r="AD9" s="391">
        <v>25</v>
      </c>
      <c r="AE9" s="391">
        <v>10</v>
      </c>
      <c r="AF9" s="391">
        <v>5</v>
      </c>
      <c r="AG9" s="391">
        <v>2</v>
      </c>
      <c r="AH9" s="391">
        <v>1</v>
      </c>
      <c r="AI9" s="374"/>
      <c r="AJ9" s="374"/>
      <c r="AK9" s="374"/>
    </row>
    <row r="10" spans="1:37" s="34" customFormat="1" ht="12.9" customHeight="1" x14ac:dyDescent="0.25">
      <c r="A10" s="147"/>
      <c r="B10" s="285"/>
      <c r="C10" s="281"/>
      <c r="D10" s="281"/>
      <c r="E10" s="158"/>
      <c r="F10" s="149"/>
      <c r="G10" s="149"/>
      <c r="H10" s="150"/>
      <c r="I10" s="138"/>
      <c r="J10" s="159"/>
      <c r="K10" s="151" t="s">
        <v>0</v>
      </c>
      <c r="L10" s="160" t="s">
        <v>127</v>
      </c>
      <c r="M10" s="153" t="str">
        <f>UPPER(IF(OR(L10="a",L10="as"),K8,IF(OR(L10="b",L10="bs"),K12,)))</f>
        <v>VASAS SC</v>
      </c>
      <c r="N10" s="161"/>
      <c r="O10" s="162"/>
      <c r="P10" s="162"/>
      <c r="Q10" s="143"/>
      <c r="R10" s="144"/>
      <c r="S10" s="145"/>
      <c r="U10" s="154" t="str">
        <f>Birók!P24</f>
        <v xml:space="preserve"> </v>
      </c>
      <c r="Y10" s="375"/>
      <c r="Z10" s="375"/>
      <c r="AA10" s="390" t="s">
        <v>72</v>
      </c>
      <c r="AB10" s="391">
        <v>40</v>
      </c>
      <c r="AC10" s="391">
        <v>25</v>
      </c>
      <c r="AD10" s="391">
        <v>15</v>
      </c>
      <c r="AE10" s="391">
        <v>7</v>
      </c>
      <c r="AF10" s="391">
        <v>4</v>
      </c>
      <c r="AG10" s="391">
        <v>1</v>
      </c>
      <c r="AH10" s="391">
        <v>0</v>
      </c>
      <c r="AI10" s="374"/>
      <c r="AJ10" s="374"/>
      <c r="AK10" s="374"/>
    </row>
    <row r="11" spans="1:37" s="34" customFormat="1" ht="12.9" customHeight="1" x14ac:dyDescent="0.25">
      <c r="A11" s="147">
        <v>3</v>
      </c>
      <c r="B11" s="243" t="str">
        <f>IF($E11="","",VLOOKUP($E11,'F18 csapat ELO'!$A$7:$O$22,14))</f>
        <v/>
      </c>
      <c r="C11" s="272" t="str">
        <f>IF($E11="","",VLOOKUP($E11,'F18 csapat ELO'!$A$7:$O$22,15))</f>
        <v/>
      </c>
      <c r="D11" s="272" t="str">
        <f>IF($E11="","",VLOOKUP($E11,'F18 csapat ELO'!$A$7:$O$22,5))</f>
        <v/>
      </c>
      <c r="E11" s="136"/>
      <c r="F11" s="155" t="str">
        <f>UPPER(IF($E11="","",VLOOKUP($E11,'F18 csapat ELO'!$A$7:$O$22,2)))</f>
        <v/>
      </c>
      <c r="G11" s="155" t="str">
        <f>IF($E11="","",VLOOKUP($E11,'F18 csapat ELO'!$A$7:$O$22,3))</f>
        <v/>
      </c>
      <c r="H11" s="155"/>
      <c r="I11" s="155" t="str">
        <f>IF($E11="","",VLOOKUP($E11,'F18 csapat ELO'!$A$7:$O$22,4))</f>
        <v/>
      </c>
      <c r="J11" s="139"/>
      <c r="K11" s="138"/>
      <c r="L11" s="163"/>
      <c r="M11" s="138" t="s">
        <v>142</v>
      </c>
      <c r="N11" s="164"/>
      <c r="O11" s="162"/>
      <c r="P11" s="162"/>
      <c r="Q11" s="143"/>
      <c r="R11" s="144"/>
      <c r="S11" s="145"/>
      <c r="U11" s="154" t="str">
        <f>Birók!P25</f>
        <v xml:space="preserve"> </v>
      </c>
      <c r="Y11" s="375"/>
      <c r="Z11" s="375"/>
      <c r="AA11" s="390" t="s">
        <v>73</v>
      </c>
      <c r="AB11" s="391">
        <v>25</v>
      </c>
      <c r="AC11" s="391">
        <v>15</v>
      </c>
      <c r="AD11" s="391">
        <v>10</v>
      </c>
      <c r="AE11" s="391">
        <v>6</v>
      </c>
      <c r="AF11" s="391">
        <v>3</v>
      </c>
      <c r="AG11" s="391">
        <v>1</v>
      </c>
      <c r="AH11" s="391">
        <v>0</v>
      </c>
      <c r="AI11" s="374"/>
      <c r="AJ11" s="374"/>
      <c r="AK11" s="374"/>
    </row>
    <row r="12" spans="1:37" s="34" customFormat="1" ht="12.9" customHeight="1" x14ac:dyDescent="0.25">
      <c r="A12" s="147"/>
      <c r="B12" s="285"/>
      <c r="C12" s="281"/>
      <c r="D12" s="281"/>
      <c r="E12" s="158"/>
      <c r="F12" s="149"/>
      <c r="G12" s="149"/>
      <c r="H12" s="150"/>
      <c r="I12" s="413" t="s">
        <v>0</v>
      </c>
      <c r="J12" s="152" t="s">
        <v>130</v>
      </c>
      <c r="K12" s="153" t="str">
        <f>UPPER(IF(OR(J12="a",J12="as"),F11,IF(OR(J12="b",J12="bs"),F13,)))</f>
        <v>PG TENISZ 2</v>
      </c>
      <c r="L12" s="165"/>
      <c r="M12" s="138"/>
      <c r="N12" s="164"/>
      <c r="O12" s="162"/>
      <c r="P12" s="162"/>
      <c r="Q12" s="143"/>
      <c r="R12" s="144"/>
      <c r="S12" s="145"/>
      <c r="U12" s="154" t="str">
        <f>Birók!P26</f>
        <v xml:space="preserve"> </v>
      </c>
      <c r="Y12" s="375"/>
      <c r="Z12" s="375"/>
      <c r="AA12" s="390" t="s">
        <v>78</v>
      </c>
      <c r="AB12" s="391">
        <v>15</v>
      </c>
      <c r="AC12" s="391">
        <v>10</v>
      </c>
      <c r="AD12" s="391">
        <v>6</v>
      </c>
      <c r="AE12" s="391">
        <v>3</v>
      </c>
      <c r="AF12" s="391">
        <v>1</v>
      </c>
      <c r="AG12" s="391">
        <v>0</v>
      </c>
      <c r="AH12" s="391">
        <v>0</v>
      </c>
      <c r="AI12" s="374"/>
      <c r="AJ12" s="374"/>
      <c r="AK12" s="374"/>
    </row>
    <row r="13" spans="1:37" s="34" customFormat="1" ht="12.9" customHeight="1" x14ac:dyDescent="0.25">
      <c r="A13" s="147">
        <v>4</v>
      </c>
      <c r="B13" s="243">
        <f>IF($E13="","",VLOOKUP($E13,'F18 csapat ELO'!$A$7:$O$22,14))</f>
        <v>0</v>
      </c>
      <c r="C13" s="272">
        <f>IF($E13="","",VLOOKUP($E13,'F18 csapat ELO'!$A$7:$O$22,15))</f>
        <v>72</v>
      </c>
      <c r="D13" s="272">
        <f>IF($E13="","",VLOOKUP($E13,'F18 csapat ELO'!$A$7:$O$22,5))</f>
        <v>0</v>
      </c>
      <c r="E13" s="136">
        <v>6</v>
      </c>
      <c r="F13" s="155" t="str">
        <f>UPPER(IF($E13="","",VLOOKUP($E13,'F18 csapat ELO'!$A$7:$O$22,2)))</f>
        <v>PG TENISZ 2</v>
      </c>
      <c r="G13" s="155">
        <f>IF($E13="","",VLOOKUP($E13,'F18 csapat ELO'!$A$7:$O$22,3))</f>
        <v>0</v>
      </c>
      <c r="H13" s="155"/>
      <c r="I13" s="155">
        <f>IF($E13="","",VLOOKUP($E13,'F18 csapat ELO'!$A$7:$O$22,4))</f>
        <v>0</v>
      </c>
      <c r="J13" s="166"/>
      <c r="K13" s="138"/>
      <c r="L13" s="138"/>
      <c r="M13" s="138"/>
      <c r="N13" s="164"/>
      <c r="O13" s="162"/>
      <c r="P13" s="162"/>
      <c r="Q13" s="143"/>
      <c r="R13" s="144"/>
      <c r="S13" s="145"/>
      <c r="U13" s="154" t="str">
        <f>Birók!P27</f>
        <v xml:space="preserve"> </v>
      </c>
      <c r="Y13" s="375"/>
      <c r="Z13" s="375"/>
      <c r="AA13" s="390" t="s">
        <v>74</v>
      </c>
      <c r="AB13" s="391">
        <v>10</v>
      </c>
      <c r="AC13" s="391">
        <v>6</v>
      </c>
      <c r="AD13" s="391">
        <v>3</v>
      </c>
      <c r="AE13" s="391">
        <v>1</v>
      </c>
      <c r="AF13" s="391">
        <v>0</v>
      </c>
      <c r="AG13" s="391">
        <v>0</v>
      </c>
      <c r="AH13" s="391">
        <v>0</v>
      </c>
      <c r="AI13" s="374"/>
      <c r="AJ13" s="374"/>
      <c r="AK13" s="374"/>
    </row>
    <row r="14" spans="1:37" s="34" customFormat="1" ht="12.9" customHeight="1" x14ac:dyDescent="0.25">
      <c r="A14" s="147"/>
      <c r="B14" s="285"/>
      <c r="C14" s="281"/>
      <c r="D14" s="281"/>
      <c r="E14" s="158"/>
      <c r="F14" s="138"/>
      <c r="G14" s="138"/>
      <c r="H14" s="66"/>
      <c r="I14" s="167"/>
      <c r="J14" s="159"/>
      <c r="K14" s="138"/>
      <c r="L14" s="138"/>
      <c r="M14" s="151" t="s">
        <v>0</v>
      </c>
      <c r="N14" s="160" t="s">
        <v>65</v>
      </c>
      <c r="O14" s="153" t="str">
        <f>UPPER(IF(OR(N14="a",N14="as"),M10,IF(OR(N14="b",N14="bs"),M18,)))</f>
        <v>PG TENISZ 1</v>
      </c>
      <c r="P14" s="161"/>
      <c r="Q14" s="143"/>
      <c r="R14" s="144"/>
      <c r="S14" s="145"/>
      <c r="U14" s="154" t="str">
        <f>Birók!P28</f>
        <v xml:space="preserve"> </v>
      </c>
      <c r="Y14" s="375"/>
      <c r="Z14" s="375"/>
      <c r="AA14" s="390" t="s">
        <v>75</v>
      </c>
      <c r="AB14" s="391">
        <v>3</v>
      </c>
      <c r="AC14" s="391">
        <v>2</v>
      </c>
      <c r="AD14" s="391">
        <v>1</v>
      </c>
      <c r="AE14" s="391">
        <v>0</v>
      </c>
      <c r="AF14" s="391">
        <v>0</v>
      </c>
      <c r="AG14" s="391">
        <v>0</v>
      </c>
      <c r="AH14" s="391">
        <v>0</v>
      </c>
      <c r="AI14" s="374"/>
      <c r="AJ14" s="374"/>
      <c r="AK14" s="374"/>
    </row>
    <row r="15" spans="1:37" s="34" customFormat="1" ht="12.9" customHeight="1" x14ac:dyDescent="0.25">
      <c r="A15" s="135">
        <v>5</v>
      </c>
      <c r="B15" s="243">
        <f>IF($E15="","",VLOOKUP($E15,'F18 csapat ELO'!$A$7:$O$22,14))</f>
        <v>0</v>
      </c>
      <c r="C15" s="272">
        <f>IF($E15="","",VLOOKUP($E15,'F18 csapat ELO'!$A$7:$O$22,15))</f>
        <v>73</v>
      </c>
      <c r="D15" s="272">
        <f>IF($E15="","",VLOOKUP($E15,'F18 csapat ELO'!$A$7:$O$22,5))</f>
        <v>0</v>
      </c>
      <c r="E15" s="136">
        <v>7</v>
      </c>
      <c r="F15" s="137" t="str">
        <f>UPPER(IF($E15="","",VLOOKUP($E15,'F18 csapat ELO'!$A$7:$O$22,2)))</f>
        <v>PASARÉT TK 3</v>
      </c>
      <c r="G15" s="137">
        <f>IF($E15="","",VLOOKUP($E15,'F18 csapat ELO'!$A$7:$O$22,3))</f>
        <v>0</v>
      </c>
      <c r="H15" s="137"/>
      <c r="I15" s="137">
        <f>IF($E15="","",VLOOKUP($E15,'F18 csapat ELO'!$A$7:$O$22,4))</f>
        <v>0</v>
      </c>
      <c r="J15" s="168"/>
      <c r="K15" s="138"/>
      <c r="L15" s="138"/>
      <c r="M15" s="138"/>
      <c r="N15" s="164"/>
      <c r="O15" s="162" t="s">
        <v>141</v>
      </c>
      <c r="P15" s="164"/>
      <c r="Q15" s="143"/>
      <c r="R15" s="144"/>
      <c r="S15" s="145"/>
      <c r="U15" s="154" t="str">
        <f>Birók!P29</f>
        <v xml:space="preserve"> </v>
      </c>
      <c r="Y15" s="375"/>
      <c r="Z15" s="375"/>
      <c r="AA15" s="390"/>
      <c r="AB15" s="390"/>
      <c r="AC15" s="390"/>
      <c r="AD15" s="390"/>
      <c r="AE15" s="390"/>
      <c r="AF15" s="390"/>
      <c r="AG15" s="390"/>
      <c r="AH15" s="390"/>
      <c r="AI15" s="374"/>
      <c r="AJ15" s="374"/>
      <c r="AK15" s="374"/>
    </row>
    <row r="16" spans="1:37" s="34" customFormat="1" ht="12.9" customHeight="1" thickBot="1" x14ac:dyDescent="0.3">
      <c r="A16" s="147"/>
      <c r="B16" s="285"/>
      <c r="C16" s="281"/>
      <c r="D16" s="281"/>
      <c r="E16" s="158"/>
      <c r="F16" s="149"/>
      <c r="G16" s="149"/>
      <c r="H16" s="150"/>
      <c r="I16" s="413" t="s">
        <v>0</v>
      </c>
      <c r="J16" s="152" t="s">
        <v>129</v>
      </c>
      <c r="K16" s="153" t="str">
        <f>UPPER(IF(OR(J16="a",J16="as"),F15,IF(OR(J16="b",J16="bs"),F17,)))</f>
        <v>PASARÉT TK 3</v>
      </c>
      <c r="L16" s="153"/>
      <c r="M16" s="138"/>
      <c r="N16" s="164"/>
      <c r="O16" s="162"/>
      <c r="P16" s="164"/>
      <c r="Q16" s="143"/>
      <c r="R16" s="144"/>
      <c r="S16" s="145"/>
      <c r="U16" s="169" t="str">
        <f>Birók!P30</f>
        <v>Egyik sem</v>
      </c>
      <c r="Y16" s="375"/>
      <c r="Z16" s="375"/>
      <c r="AA16" s="390" t="s">
        <v>64</v>
      </c>
      <c r="AB16" s="391">
        <v>150</v>
      </c>
      <c r="AC16" s="391">
        <v>120</v>
      </c>
      <c r="AD16" s="391">
        <v>90</v>
      </c>
      <c r="AE16" s="391">
        <v>60</v>
      </c>
      <c r="AF16" s="391">
        <v>40</v>
      </c>
      <c r="AG16" s="391">
        <v>25</v>
      </c>
      <c r="AH16" s="391">
        <v>15</v>
      </c>
      <c r="AI16" s="374"/>
      <c r="AJ16" s="374"/>
      <c r="AK16" s="374"/>
    </row>
    <row r="17" spans="1:41" s="34" customFormat="1" ht="12.9" customHeight="1" x14ac:dyDescent="0.25">
      <c r="A17" s="147">
        <v>6</v>
      </c>
      <c r="B17" s="243">
        <f>IF($E17="","",VLOOKUP($E17,'F18 csapat ELO'!$A$7:$O$22,14))</f>
        <v>0</v>
      </c>
      <c r="C17" s="272">
        <f>IF($E17="","",VLOOKUP($E17,'F18 csapat ELO'!$A$7:$O$22,15))</f>
        <v>134</v>
      </c>
      <c r="D17" s="272">
        <f>IF($E17="","",VLOOKUP($E17,'F18 csapat ELO'!$A$7:$O$22,5))</f>
        <v>0</v>
      </c>
      <c r="E17" s="136">
        <v>9</v>
      </c>
      <c r="F17" s="155" t="str">
        <f>UPPER(IF($E17="","",VLOOKUP($E17,'F18 csapat ELO'!$A$7:$O$22,2)))</f>
        <v>METRO RSC 1</v>
      </c>
      <c r="G17" s="155">
        <f>IF($E17="","",VLOOKUP($E17,'F18 csapat ELO'!$A$7:$O$22,3))</f>
        <v>0</v>
      </c>
      <c r="H17" s="155"/>
      <c r="I17" s="155">
        <f>IF($E17="","",VLOOKUP($E17,'F18 csapat ELO'!$A$7:$O$22,4))</f>
        <v>0</v>
      </c>
      <c r="J17" s="156"/>
      <c r="K17" s="162" t="s">
        <v>141</v>
      </c>
      <c r="L17" s="157"/>
      <c r="M17" s="138"/>
      <c r="N17" s="164"/>
      <c r="O17" s="162"/>
      <c r="P17" s="164"/>
      <c r="Q17" s="143"/>
      <c r="R17" s="144"/>
      <c r="S17" s="145"/>
      <c r="Y17" s="375"/>
      <c r="Z17" s="375"/>
      <c r="AA17" s="390" t="s">
        <v>66</v>
      </c>
      <c r="AB17" s="391">
        <v>120</v>
      </c>
      <c r="AC17" s="391">
        <v>90</v>
      </c>
      <c r="AD17" s="391">
        <v>60</v>
      </c>
      <c r="AE17" s="391">
        <v>40</v>
      </c>
      <c r="AF17" s="391">
        <v>25</v>
      </c>
      <c r="AG17" s="391">
        <v>15</v>
      </c>
      <c r="AH17" s="391">
        <v>8</v>
      </c>
      <c r="AI17" s="374"/>
      <c r="AJ17" s="374"/>
      <c r="AK17" s="374"/>
    </row>
    <row r="18" spans="1:41" s="34" customFormat="1" ht="12.9" customHeight="1" x14ac:dyDescent="0.25">
      <c r="A18" s="147"/>
      <c r="B18" s="285"/>
      <c r="C18" s="281"/>
      <c r="D18" s="281"/>
      <c r="E18" s="158"/>
      <c r="F18" s="149"/>
      <c r="G18" s="149"/>
      <c r="H18" s="150"/>
      <c r="I18" s="138"/>
      <c r="J18" s="159"/>
      <c r="K18" s="151" t="s">
        <v>0</v>
      </c>
      <c r="L18" s="160" t="s">
        <v>130</v>
      </c>
      <c r="M18" s="153" t="str">
        <f>UPPER(IF(OR(L18="a",L18="as"),K16,IF(OR(L18="b",L18="bs"),K20,)))</f>
        <v>PG TENISZ 1</v>
      </c>
      <c r="N18" s="170"/>
      <c r="O18" s="162"/>
      <c r="P18" s="164"/>
      <c r="Q18" s="143"/>
      <c r="R18" s="144"/>
      <c r="S18" s="145"/>
      <c r="Y18" s="375"/>
      <c r="Z18" s="375"/>
      <c r="AA18" s="390" t="s">
        <v>67</v>
      </c>
      <c r="AB18" s="391">
        <v>90</v>
      </c>
      <c r="AC18" s="391">
        <v>60</v>
      </c>
      <c r="AD18" s="391">
        <v>40</v>
      </c>
      <c r="AE18" s="391">
        <v>25</v>
      </c>
      <c r="AF18" s="391">
        <v>15</v>
      </c>
      <c r="AG18" s="391">
        <v>8</v>
      </c>
      <c r="AH18" s="391">
        <v>4</v>
      </c>
      <c r="AI18" s="374"/>
      <c r="AJ18" s="374"/>
      <c r="AK18" s="374"/>
    </row>
    <row r="19" spans="1:41" s="34" customFormat="1" ht="12.9" customHeight="1" x14ac:dyDescent="0.25">
      <c r="A19" s="147">
        <v>7</v>
      </c>
      <c r="B19" s="243">
        <f>IF($E19="","",VLOOKUP($E19,'F18 csapat ELO'!$A$7:$O$22,14))</f>
        <v>0</v>
      </c>
      <c r="C19" s="272">
        <f>IF($E19="","",VLOOKUP($E19,'F18 csapat ELO'!$A$7:$O$22,15))</f>
        <v>33</v>
      </c>
      <c r="D19" s="272">
        <f>IF($E19="","",VLOOKUP($E19,'F18 csapat ELO'!$A$7:$O$22,5))</f>
        <v>0</v>
      </c>
      <c r="E19" s="136">
        <v>3</v>
      </c>
      <c r="F19" s="155" t="str">
        <f>UPPER(IF($E19="","",VLOOKUP($E19,'F18 csapat ELO'!$A$7:$O$22,2)))</f>
        <v>PG TENISZ 1</v>
      </c>
      <c r="G19" s="155">
        <f>IF($E19="","",VLOOKUP($E19,'F18 csapat ELO'!$A$7:$O$22,3))</f>
        <v>0</v>
      </c>
      <c r="H19" s="155"/>
      <c r="I19" s="155">
        <f>IF($E19="","",VLOOKUP($E19,'F18 csapat ELO'!$A$7:$O$22,4))</f>
        <v>0</v>
      </c>
      <c r="J19" s="139"/>
      <c r="K19" s="138"/>
      <c r="L19" s="163"/>
      <c r="M19" s="138" t="s">
        <v>140</v>
      </c>
      <c r="N19" s="162"/>
      <c r="O19" s="162"/>
      <c r="P19" s="164"/>
      <c r="Q19" s="143"/>
      <c r="R19" s="144"/>
      <c r="S19" s="145"/>
      <c r="Y19" s="375"/>
      <c r="Z19" s="375"/>
      <c r="AA19" s="390" t="s">
        <v>68</v>
      </c>
      <c r="AB19" s="391">
        <v>60</v>
      </c>
      <c r="AC19" s="391">
        <v>40</v>
      </c>
      <c r="AD19" s="391">
        <v>25</v>
      </c>
      <c r="AE19" s="391">
        <v>15</v>
      </c>
      <c r="AF19" s="391">
        <v>8</v>
      </c>
      <c r="AG19" s="391">
        <v>4</v>
      </c>
      <c r="AH19" s="391">
        <v>2</v>
      </c>
      <c r="AI19" s="374"/>
      <c r="AJ19" s="374"/>
      <c r="AK19" s="374"/>
    </row>
    <row r="20" spans="1:41" s="34" customFormat="1" ht="12.9" customHeight="1" x14ac:dyDescent="0.25">
      <c r="A20" s="147"/>
      <c r="B20" s="285"/>
      <c r="C20" s="281"/>
      <c r="D20" s="281"/>
      <c r="E20" s="148"/>
      <c r="F20" s="149"/>
      <c r="G20" s="149"/>
      <c r="H20" s="150"/>
      <c r="I20" s="413" t="s">
        <v>0</v>
      </c>
      <c r="J20" s="152" t="s">
        <v>129</v>
      </c>
      <c r="K20" s="153" t="str">
        <f>UPPER(IF(OR(J20="a",J20="as"),F19,IF(OR(J20="b",J20="bs"),F21,)))</f>
        <v>PG TENISZ 1</v>
      </c>
      <c r="L20" s="165"/>
      <c r="M20" s="138"/>
      <c r="N20" s="162"/>
      <c r="O20" s="162"/>
      <c r="P20" s="164"/>
      <c r="Q20" s="143"/>
      <c r="R20" s="144"/>
      <c r="S20" s="145"/>
      <c r="Y20" s="375"/>
      <c r="Z20" s="375"/>
      <c r="AA20" s="390" t="s">
        <v>69</v>
      </c>
      <c r="AB20" s="391">
        <v>40</v>
      </c>
      <c r="AC20" s="391">
        <v>25</v>
      </c>
      <c r="AD20" s="391">
        <v>15</v>
      </c>
      <c r="AE20" s="391">
        <v>8</v>
      </c>
      <c r="AF20" s="391">
        <v>4</v>
      </c>
      <c r="AG20" s="391">
        <v>2</v>
      </c>
      <c r="AH20" s="391">
        <v>1</v>
      </c>
      <c r="AI20" s="374"/>
      <c r="AJ20" s="374"/>
      <c r="AK20" s="374"/>
    </row>
    <row r="21" spans="1:41" s="34" customFormat="1" ht="12.9" customHeight="1" x14ac:dyDescent="0.25">
      <c r="A21" s="147">
        <v>8</v>
      </c>
      <c r="B21" s="243" t="str">
        <f>IF($E21="","",VLOOKUP($E21,'F18 csapat ELO'!$A$7:$O$22,14))</f>
        <v/>
      </c>
      <c r="C21" s="272" t="str">
        <f>IF($E21="","",VLOOKUP($E21,'F18 csapat ELO'!$A$7:$O$22,15))</f>
        <v/>
      </c>
      <c r="D21" s="272" t="str">
        <f>IF($E21="","",VLOOKUP($E21,'F18 csapat ELO'!$A$7:$O$22,5))</f>
        <v/>
      </c>
      <c r="E21" s="136"/>
      <c r="F21" s="155" t="str">
        <f>UPPER(IF($E21="","",VLOOKUP($E21,'F18 csapat ELO'!$A$7:$O$22,2)))</f>
        <v/>
      </c>
      <c r="G21" s="155" t="str">
        <f>IF($E21="","",VLOOKUP($E21,'F18 csapat ELO'!$A$7:$O$22,3))</f>
        <v/>
      </c>
      <c r="H21" s="155"/>
      <c r="I21" s="155" t="str">
        <f>IF($E21="","",VLOOKUP($E21,'F18 csapat ELO'!$A$7:$O$22,4))</f>
        <v/>
      </c>
      <c r="J21" s="166"/>
      <c r="K21" s="138"/>
      <c r="L21" s="138"/>
      <c r="M21" s="138"/>
      <c r="N21" s="162"/>
      <c r="O21" s="162"/>
      <c r="P21" s="164"/>
      <c r="Q21" s="143"/>
      <c r="R21" s="144"/>
      <c r="S21" s="145"/>
      <c r="Y21" s="375"/>
      <c r="Z21" s="375"/>
      <c r="AA21" s="390" t="s">
        <v>70</v>
      </c>
      <c r="AB21" s="391">
        <v>25</v>
      </c>
      <c r="AC21" s="391">
        <v>15</v>
      </c>
      <c r="AD21" s="391">
        <v>10</v>
      </c>
      <c r="AE21" s="391">
        <v>6</v>
      </c>
      <c r="AF21" s="391">
        <v>3</v>
      </c>
      <c r="AG21" s="391">
        <v>1</v>
      </c>
      <c r="AH21" s="391">
        <v>0</v>
      </c>
      <c r="AI21" s="374"/>
      <c r="AJ21" s="374"/>
      <c r="AK21" s="374"/>
    </row>
    <row r="22" spans="1:41" s="34" customFormat="1" ht="12.9" customHeight="1" x14ac:dyDescent="0.25">
      <c r="A22" s="147"/>
      <c r="B22" s="285"/>
      <c r="C22" s="281"/>
      <c r="D22" s="281"/>
      <c r="E22" s="148"/>
      <c r="F22" s="167"/>
      <c r="G22" s="167"/>
      <c r="H22" s="171"/>
      <c r="I22" s="167"/>
      <c r="J22" s="159"/>
      <c r="K22" s="138"/>
      <c r="L22" s="138"/>
      <c r="M22" s="138"/>
      <c r="N22" s="162"/>
      <c r="O22" s="151" t="s">
        <v>0</v>
      </c>
      <c r="P22" s="160" t="s">
        <v>143</v>
      </c>
      <c r="Q22" s="153" t="str">
        <f>UPPER(IF(OR(P22="a",P22="as"),O14,IF(OR(P22="b",P22="bs"),O30,)))</f>
        <v>PASARÉT TK 1</v>
      </c>
      <c r="R22" s="161"/>
      <c r="S22" s="145"/>
      <c r="Y22" s="375"/>
      <c r="Z22" s="375"/>
      <c r="AA22" s="390" t="s">
        <v>71</v>
      </c>
      <c r="AB22" s="391">
        <v>15</v>
      </c>
      <c r="AC22" s="391">
        <v>10</v>
      </c>
      <c r="AD22" s="391">
        <v>6</v>
      </c>
      <c r="AE22" s="391">
        <v>3</v>
      </c>
      <c r="AF22" s="391">
        <v>1</v>
      </c>
      <c r="AG22" s="391">
        <v>0</v>
      </c>
      <c r="AH22" s="391">
        <v>0</v>
      </c>
      <c r="AI22" s="374"/>
      <c r="AJ22" s="374"/>
      <c r="AK22" s="374"/>
    </row>
    <row r="23" spans="1:41" s="34" customFormat="1" ht="12.9" customHeight="1" x14ac:dyDescent="0.25">
      <c r="A23" s="147">
        <v>9</v>
      </c>
      <c r="B23" s="243">
        <f>IF($E23="","",VLOOKUP($E23,'F18 csapat ELO'!$A$7:$O$22,14))</f>
        <v>0</v>
      </c>
      <c r="C23" s="272">
        <f>IF($E23="","",VLOOKUP($E23,'F18 csapat ELO'!$A$7:$O$22,15))</f>
        <v>46</v>
      </c>
      <c r="D23" s="272">
        <f>IF($E23="","",VLOOKUP($E23,'F18 csapat ELO'!$A$7:$O$22,5))</f>
        <v>0</v>
      </c>
      <c r="E23" s="136">
        <v>4</v>
      </c>
      <c r="F23" s="155" t="str">
        <f>UPPER(IF($E23="","",VLOOKUP($E23,'F18 csapat ELO'!$A$7:$O$22,2)))</f>
        <v>PASARÉT TK 2</v>
      </c>
      <c r="G23" s="155">
        <f>IF($E23="","",VLOOKUP($E23,'F18 csapat ELO'!$A$7:$O$22,3))</f>
        <v>0</v>
      </c>
      <c r="H23" s="155"/>
      <c r="I23" s="155">
        <f>IF($E23="","",VLOOKUP($E23,'F18 csapat ELO'!$A$7:$O$22,4))</f>
        <v>0</v>
      </c>
      <c r="J23" s="139"/>
      <c r="K23" s="138"/>
      <c r="L23" s="138"/>
      <c r="M23" s="138"/>
      <c r="N23" s="162"/>
      <c r="O23" s="138"/>
      <c r="P23" s="164"/>
      <c r="Q23" s="167" t="s">
        <v>142</v>
      </c>
      <c r="R23" s="162"/>
      <c r="S23" s="145"/>
      <c r="Y23" s="375"/>
      <c r="Z23" s="375"/>
      <c r="AA23" s="390" t="s">
        <v>72</v>
      </c>
      <c r="AB23" s="391">
        <v>10</v>
      </c>
      <c r="AC23" s="391">
        <v>6</v>
      </c>
      <c r="AD23" s="391">
        <v>3</v>
      </c>
      <c r="AE23" s="391">
        <v>1</v>
      </c>
      <c r="AF23" s="391">
        <v>0</v>
      </c>
      <c r="AG23" s="391">
        <v>0</v>
      </c>
      <c r="AH23" s="391">
        <v>0</v>
      </c>
      <c r="AI23" s="374"/>
      <c r="AJ23" s="374"/>
      <c r="AK23" s="374"/>
    </row>
    <row r="24" spans="1:41" s="34" customFormat="1" ht="12.9" customHeight="1" x14ac:dyDescent="0.25">
      <c r="A24" s="147"/>
      <c r="B24" s="285"/>
      <c r="C24" s="281"/>
      <c r="D24" s="281"/>
      <c r="E24" s="148"/>
      <c r="F24" s="149"/>
      <c r="G24" s="149"/>
      <c r="H24" s="150"/>
      <c r="I24" s="413" t="s">
        <v>0</v>
      </c>
      <c r="J24" s="152" t="s">
        <v>129</v>
      </c>
      <c r="K24" s="153" t="str">
        <f>UPPER(IF(OR(J24="a",J24="as"),F23,IF(OR(J24="b",J24="bs"),F25,)))</f>
        <v>PASARÉT TK 2</v>
      </c>
      <c r="L24" s="153"/>
      <c r="M24" s="138"/>
      <c r="N24" s="162"/>
      <c r="O24" s="162"/>
      <c r="P24" s="164"/>
      <c r="Q24" s="143"/>
      <c r="R24" s="144"/>
      <c r="S24" s="145"/>
      <c r="Y24" s="375"/>
      <c r="Z24" s="375"/>
      <c r="AA24" s="390" t="s">
        <v>73</v>
      </c>
      <c r="AB24" s="391">
        <v>6</v>
      </c>
      <c r="AC24" s="391">
        <v>3</v>
      </c>
      <c r="AD24" s="391">
        <v>1</v>
      </c>
      <c r="AE24" s="391">
        <v>0</v>
      </c>
      <c r="AF24" s="391">
        <v>0</v>
      </c>
      <c r="AG24" s="391">
        <v>0</v>
      </c>
      <c r="AH24" s="391">
        <v>0</v>
      </c>
      <c r="AI24" s="374"/>
      <c r="AJ24" s="374"/>
      <c r="AK24" s="374"/>
    </row>
    <row r="25" spans="1:41" s="34" customFormat="1" ht="12.9" customHeight="1" x14ac:dyDescent="0.25">
      <c r="A25" s="147">
        <v>10</v>
      </c>
      <c r="B25" s="243" t="str">
        <f>IF($E25="","",VLOOKUP($E25,'F18 csapat ELO'!$A$7:$O$22,14))</f>
        <v/>
      </c>
      <c r="C25" s="272" t="str">
        <f>IF($E25="","",VLOOKUP($E25,'F18 csapat ELO'!$A$7:$O$22,15))</f>
        <v/>
      </c>
      <c r="D25" s="272" t="str">
        <f>IF($E25="","",VLOOKUP($E25,'F18 csapat ELO'!$A$7:$O$22,5))</f>
        <v/>
      </c>
      <c r="E25" s="136"/>
      <c r="F25" s="155" t="str">
        <f>UPPER(IF($E25="","",VLOOKUP($E25,'F18 csapat ELO'!$A$7:$O$22,2)))</f>
        <v/>
      </c>
      <c r="G25" s="155" t="str">
        <f>IF($E25="","",VLOOKUP($E25,'F18 csapat ELO'!$A$7:$O$22,3))</f>
        <v/>
      </c>
      <c r="H25" s="155"/>
      <c r="I25" s="155" t="str">
        <f>IF($E25="","",VLOOKUP($E25,'F18 csapat ELO'!$A$7:$O$22,4))</f>
        <v/>
      </c>
      <c r="J25" s="156"/>
      <c r="K25" s="138"/>
      <c r="L25" s="157"/>
      <c r="M25" s="138"/>
      <c r="N25" s="162"/>
      <c r="O25" s="162"/>
      <c r="P25" s="164"/>
      <c r="Q25" s="143"/>
      <c r="R25" s="144"/>
      <c r="S25" s="145"/>
      <c r="Y25" s="375"/>
      <c r="Z25" s="375"/>
      <c r="AA25" s="390" t="s">
        <v>78</v>
      </c>
      <c r="AB25" s="391">
        <v>3</v>
      </c>
      <c r="AC25" s="391">
        <v>2</v>
      </c>
      <c r="AD25" s="391">
        <v>1</v>
      </c>
      <c r="AE25" s="391">
        <v>0</v>
      </c>
      <c r="AF25" s="391">
        <v>0</v>
      </c>
      <c r="AG25" s="391">
        <v>0</v>
      </c>
      <c r="AH25" s="391">
        <v>0</v>
      </c>
      <c r="AI25" s="374"/>
      <c r="AJ25" s="374"/>
      <c r="AK25" s="374"/>
    </row>
    <row r="26" spans="1:41" s="34" customFormat="1" ht="12.9" customHeight="1" x14ac:dyDescent="0.25">
      <c r="A26" s="147"/>
      <c r="B26" s="285"/>
      <c r="C26" s="281"/>
      <c r="D26" s="281"/>
      <c r="E26" s="158"/>
      <c r="F26" s="149"/>
      <c r="G26" s="149"/>
      <c r="H26" s="150"/>
      <c r="I26" s="138"/>
      <c r="J26" s="159"/>
      <c r="K26" s="151" t="s">
        <v>0</v>
      </c>
      <c r="L26" s="160" t="s">
        <v>130</v>
      </c>
      <c r="M26" s="153" t="str">
        <f>UPPER(IF(OR(L26="a",L26="as"),K24,IF(OR(L26="b",L26="bs"),K28,)))</f>
        <v>MTK</v>
      </c>
      <c r="N26" s="161"/>
      <c r="O26" s="162"/>
      <c r="P26" s="164"/>
      <c r="Q26" s="143"/>
      <c r="R26" s="144"/>
      <c r="S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86"/>
      <c r="AM26" s="386"/>
      <c r="AN26" s="386"/>
      <c r="AO26" s="386"/>
    </row>
    <row r="27" spans="1:41" s="34" customFormat="1" ht="12.9" customHeight="1" x14ac:dyDescent="0.25">
      <c r="A27" s="147">
        <v>11</v>
      </c>
      <c r="B27" s="243">
        <f>IF($E27="","",VLOOKUP($E27,'F18 csapat ELO'!$A$7:$O$22,14))</f>
        <v>0</v>
      </c>
      <c r="C27" s="272">
        <f>IF($E27="","",VLOOKUP($E27,'F18 csapat ELO'!$A$7:$O$22,15))</f>
        <v>50</v>
      </c>
      <c r="D27" s="272">
        <f>IF($E27="","",VLOOKUP($E27,'F18 csapat ELO'!$A$7:$O$22,5))</f>
        <v>0</v>
      </c>
      <c r="E27" s="136">
        <v>5</v>
      </c>
      <c r="F27" s="155" t="str">
        <f>UPPER(IF($E27="","",VLOOKUP($E27,'F18 csapat ELO'!$A$7:$O$22,2)))</f>
        <v>MTK</v>
      </c>
      <c r="G27" s="155">
        <f>IF($E27="","",VLOOKUP($E27,'F18 csapat ELO'!$A$7:$O$22,3))</f>
        <v>0</v>
      </c>
      <c r="H27" s="155"/>
      <c r="I27" s="155">
        <f>IF($E27="","",VLOOKUP($E27,'F18 csapat ELO'!$A$7:$O$22,4))</f>
        <v>0</v>
      </c>
      <c r="J27" s="139"/>
      <c r="K27" s="138"/>
      <c r="L27" s="163"/>
      <c r="M27" s="162" t="s">
        <v>141</v>
      </c>
      <c r="N27" s="164"/>
      <c r="O27" s="162"/>
      <c r="P27" s="164"/>
      <c r="Q27" s="143"/>
      <c r="R27" s="144"/>
      <c r="S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86"/>
      <c r="AM27" s="386"/>
      <c r="AN27" s="386"/>
      <c r="AO27" s="386"/>
    </row>
    <row r="28" spans="1:41" s="34" customFormat="1" ht="12.9" customHeight="1" x14ac:dyDescent="0.25">
      <c r="A28" s="172"/>
      <c r="B28" s="285"/>
      <c r="C28" s="281"/>
      <c r="D28" s="281"/>
      <c r="E28" s="158"/>
      <c r="F28" s="149"/>
      <c r="G28" s="149"/>
      <c r="H28" s="150"/>
      <c r="I28" s="413" t="s">
        <v>0</v>
      </c>
      <c r="J28" s="152" t="s">
        <v>129</v>
      </c>
      <c r="K28" s="153" t="str">
        <f>UPPER(IF(OR(J28="a",J28="as"),F27,IF(OR(J28="b",J28="bs"),F29,)))</f>
        <v>MTK</v>
      </c>
      <c r="L28" s="165"/>
      <c r="M28" s="138"/>
      <c r="N28" s="164"/>
      <c r="O28" s="162"/>
      <c r="P28" s="164"/>
      <c r="Q28" s="143"/>
      <c r="R28" s="144"/>
      <c r="S28" s="145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</row>
    <row r="29" spans="1:41" s="34" customFormat="1" ht="12.9" customHeight="1" x14ac:dyDescent="0.25">
      <c r="A29" s="135">
        <v>12</v>
      </c>
      <c r="B29" s="243" t="str">
        <f>IF($E29="","",VLOOKUP($E29,'F18 csapat ELO'!$A$7:$O$22,14))</f>
        <v/>
      </c>
      <c r="C29" s="272" t="str">
        <f>IF($E29="","",VLOOKUP($E29,'F18 csapat ELO'!$A$7:$O$22,15))</f>
        <v/>
      </c>
      <c r="D29" s="272" t="str">
        <f>IF($E29="","",VLOOKUP($E29,'F18 csapat ELO'!$A$7:$O$22,5))</f>
        <v/>
      </c>
      <c r="E29" s="136"/>
      <c r="F29" s="137" t="str">
        <f>UPPER(IF($E29="","",VLOOKUP($E29,'F18 csapat ELO'!$A$7:$O$22,2)))</f>
        <v/>
      </c>
      <c r="G29" s="137" t="str">
        <f>IF($E29="","",VLOOKUP($E29,'F18 csapat ELO'!$A$7:$O$22,3))</f>
        <v/>
      </c>
      <c r="H29" s="137"/>
      <c r="I29" s="137" t="str">
        <f>IF($E29="","",VLOOKUP($E29,'F18 csapat ELO'!$A$7:$O$22,4))</f>
        <v/>
      </c>
      <c r="J29" s="166"/>
      <c r="K29" s="138"/>
      <c r="L29" s="138"/>
      <c r="M29" s="138"/>
      <c r="N29" s="164"/>
      <c r="O29" s="162"/>
      <c r="P29" s="164"/>
      <c r="Q29" s="143"/>
      <c r="R29" s="144"/>
      <c r="S29" s="145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</row>
    <row r="30" spans="1:41" s="34" customFormat="1" ht="12.9" customHeight="1" x14ac:dyDescent="0.25">
      <c r="A30" s="147"/>
      <c r="B30" s="285"/>
      <c r="C30" s="281"/>
      <c r="D30" s="281"/>
      <c r="E30" s="158"/>
      <c r="F30" s="138"/>
      <c r="G30" s="138"/>
      <c r="H30" s="66"/>
      <c r="I30" s="167"/>
      <c r="J30" s="159"/>
      <c r="K30" s="138"/>
      <c r="L30" s="138"/>
      <c r="M30" s="151" t="s">
        <v>0</v>
      </c>
      <c r="N30" s="160" t="s">
        <v>143</v>
      </c>
      <c r="O30" s="153" t="str">
        <f>UPPER(IF(OR(N30="a",N30="as"),M26,IF(OR(N30="b",N30="bs"),M34,)))</f>
        <v>PASARÉT TK 1</v>
      </c>
      <c r="P30" s="170"/>
      <c r="Q30" s="143"/>
      <c r="R30" s="144"/>
      <c r="S30" s="145"/>
      <c r="AI30" s="386"/>
      <c r="AJ30" s="386"/>
      <c r="AK30" s="386"/>
    </row>
    <row r="31" spans="1:41" s="34" customFormat="1" ht="12.9" customHeight="1" x14ac:dyDescent="0.25">
      <c r="A31" s="147">
        <v>13</v>
      </c>
      <c r="B31" s="243">
        <f>IF($E31="","",VLOOKUP($E31,'F18 csapat ELO'!$A$7:$O$22,14))</f>
        <v>0</v>
      </c>
      <c r="C31" s="272">
        <f>IF($E31="","",VLOOKUP($E31,'F18 csapat ELO'!$A$7:$O$22,15))</f>
        <v>229</v>
      </c>
      <c r="D31" s="272">
        <f>IF($E31="","",VLOOKUP($E31,'F18 csapat ELO'!$A$7:$O$22,5))</f>
        <v>0</v>
      </c>
      <c r="E31" s="136">
        <v>10</v>
      </c>
      <c r="F31" s="155" t="str">
        <f>UPPER(IF($E31="","",VLOOKUP($E31,'F18 csapat ELO'!$A$7:$O$22,2)))</f>
        <v>METRO RSC 2</v>
      </c>
      <c r="G31" s="155">
        <f>IF($E31="","",VLOOKUP($E31,'F18 csapat ELO'!$A$7:$O$22,3))</f>
        <v>0</v>
      </c>
      <c r="H31" s="155"/>
      <c r="I31" s="155">
        <f>IF($E31="","",VLOOKUP($E31,'F18 csapat ELO'!$A$7:$O$22,4))</f>
        <v>0</v>
      </c>
      <c r="J31" s="168"/>
      <c r="K31" s="138"/>
      <c r="L31" s="138"/>
      <c r="M31" s="138"/>
      <c r="N31" s="164"/>
      <c r="O31" s="138" t="s">
        <v>142</v>
      </c>
      <c r="P31" s="162"/>
      <c r="Q31" s="143"/>
      <c r="R31" s="144"/>
      <c r="S31" s="145"/>
      <c r="AI31" s="386"/>
      <c r="AJ31" s="386"/>
      <c r="AK31" s="386"/>
    </row>
    <row r="32" spans="1:41" s="34" customFormat="1" ht="12.9" customHeight="1" x14ac:dyDescent="0.25">
      <c r="A32" s="147"/>
      <c r="B32" s="285"/>
      <c r="C32" s="281"/>
      <c r="D32" s="281"/>
      <c r="E32" s="158"/>
      <c r="F32" s="149"/>
      <c r="G32" s="149"/>
      <c r="H32" s="150"/>
      <c r="I32" s="151" t="s">
        <v>0</v>
      </c>
      <c r="J32" s="152" t="s">
        <v>130</v>
      </c>
      <c r="K32" s="153" t="str">
        <f>UPPER(IF(OR(J32="a",J32="as"),F31,IF(OR(J32="b",J32="bs"),F33,)))</f>
        <v>NEXT TA</v>
      </c>
      <c r="L32" s="153"/>
      <c r="M32" s="138"/>
      <c r="N32" s="164"/>
      <c r="O32" s="162"/>
      <c r="P32" s="162"/>
      <c r="Q32" s="143"/>
      <c r="R32" s="144"/>
      <c r="S32" s="145"/>
      <c r="AI32" s="386"/>
      <c r="AJ32" s="386"/>
      <c r="AK32" s="386"/>
    </row>
    <row r="33" spans="1:37" s="34" customFormat="1" ht="12.9" customHeight="1" x14ac:dyDescent="0.25">
      <c r="A33" s="147">
        <v>14</v>
      </c>
      <c r="B33" s="243">
        <f>IF($E33="","",VLOOKUP($E33,'F18 csapat ELO'!$A$7:$O$22,14))</f>
        <v>0</v>
      </c>
      <c r="C33" s="272">
        <f>IF($E33="","",VLOOKUP($E33,'F18 csapat ELO'!$A$7:$O$22,15))</f>
        <v>81</v>
      </c>
      <c r="D33" s="272">
        <f>IF($E33="","",VLOOKUP($E33,'F18 csapat ELO'!$A$7:$O$22,5))</f>
        <v>0</v>
      </c>
      <c r="E33" s="136">
        <v>8</v>
      </c>
      <c r="F33" s="155" t="str">
        <f>UPPER(IF($E33="","",VLOOKUP($E33,'F18 csapat ELO'!$A$7:$O$22,2)))</f>
        <v>NEXT TA</v>
      </c>
      <c r="G33" s="155">
        <f>IF($E33="","",VLOOKUP($E33,'F18 csapat ELO'!$A$7:$O$22,3))</f>
        <v>0</v>
      </c>
      <c r="H33" s="155"/>
      <c r="I33" s="155">
        <f>IF($E33="","",VLOOKUP($E33,'F18 csapat ELO'!$A$7:$O$22,4))</f>
        <v>0</v>
      </c>
      <c r="J33" s="156"/>
      <c r="K33" s="138" t="s">
        <v>140</v>
      </c>
      <c r="L33" s="157"/>
      <c r="M33" s="138"/>
      <c r="N33" s="164"/>
      <c r="O33" s="162"/>
      <c r="P33" s="162"/>
      <c r="Q33" s="143"/>
      <c r="R33" s="144"/>
      <c r="S33" s="145"/>
      <c r="AI33" s="386"/>
      <c r="AJ33" s="386"/>
      <c r="AK33" s="386"/>
    </row>
    <row r="34" spans="1:37" s="34" customFormat="1" ht="12.9" customHeight="1" x14ac:dyDescent="0.25">
      <c r="A34" s="147"/>
      <c r="B34" s="285"/>
      <c r="C34" s="281"/>
      <c r="D34" s="281"/>
      <c r="E34" s="158"/>
      <c r="F34" s="149"/>
      <c r="G34" s="149"/>
      <c r="H34" s="150"/>
      <c r="I34" s="138"/>
      <c r="J34" s="159"/>
      <c r="K34" s="151" t="s">
        <v>0</v>
      </c>
      <c r="L34" s="160" t="s">
        <v>128</v>
      </c>
      <c r="M34" s="153" t="str">
        <f>UPPER(IF(OR(L34="a",L34="as"),K32,IF(OR(L34="b",L34="bs"),K36,)))</f>
        <v>PASARÉT TK 1</v>
      </c>
      <c r="N34" s="170"/>
      <c r="O34" s="162"/>
      <c r="P34" s="162"/>
      <c r="Q34" s="143"/>
      <c r="R34" s="144"/>
      <c r="S34" s="145"/>
      <c r="AI34" s="386"/>
      <c r="AJ34" s="386"/>
      <c r="AK34" s="386"/>
    </row>
    <row r="35" spans="1:37" s="34" customFormat="1" ht="12.9" customHeight="1" x14ac:dyDescent="0.25">
      <c r="A35" s="147">
        <v>15</v>
      </c>
      <c r="B35" s="243" t="str">
        <f>IF($E35="","",VLOOKUP($E35,'F18 csapat ELO'!$A$7:$O$22,14))</f>
        <v/>
      </c>
      <c r="C35" s="272" t="str">
        <f>IF($E35="","",VLOOKUP($E35,'F18 csapat ELO'!$A$7:$O$22,15))</f>
        <v/>
      </c>
      <c r="D35" s="272" t="str">
        <f>IF($E35="","",VLOOKUP($E35,'F18 csapat ELO'!$A$7:$O$22,5))</f>
        <v/>
      </c>
      <c r="E35" s="136"/>
      <c r="F35" s="155" t="str">
        <f>UPPER(IF($E35="","",VLOOKUP($E35,'F18 csapat ELO'!$A$7:$O$22,2)))</f>
        <v/>
      </c>
      <c r="G35" s="155" t="str">
        <f>IF($E35="","",VLOOKUP($E35,'F18 csapat ELO'!$A$7:$O$22,3))</f>
        <v/>
      </c>
      <c r="H35" s="155"/>
      <c r="I35" s="155" t="str">
        <f>IF($E35="","",VLOOKUP($E35,'F18 csapat ELO'!$A$7:$O$22,4))</f>
        <v/>
      </c>
      <c r="J35" s="139"/>
      <c r="K35" s="138"/>
      <c r="L35" s="163"/>
      <c r="M35" s="138" t="s">
        <v>142</v>
      </c>
      <c r="N35" s="162"/>
      <c r="O35" s="162"/>
      <c r="P35" s="162"/>
      <c r="Q35" s="143"/>
      <c r="R35" s="144"/>
      <c r="S35" s="145"/>
      <c r="AI35" s="386"/>
      <c r="AJ35" s="386"/>
      <c r="AK35" s="386"/>
    </row>
    <row r="36" spans="1:37" s="34" customFormat="1" ht="12.9" customHeight="1" x14ac:dyDescent="0.25">
      <c r="A36" s="147"/>
      <c r="B36" s="285"/>
      <c r="C36" s="281"/>
      <c r="D36" s="281"/>
      <c r="E36" s="148"/>
      <c r="F36" s="149"/>
      <c r="G36" s="149"/>
      <c r="H36" s="150"/>
      <c r="I36" s="151" t="s">
        <v>0</v>
      </c>
      <c r="J36" s="152" t="s">
        <v>128</v>
      </c>
      <c r="K36" s="153" t="str">
        <f>UPPER(IF(OR(J36="a",J36="as"),F35,IF(OR(J36="b",J36="bs"),F37,)))</f>
        <v>PASARÉT TK 1</v>
      </c>
      <c r="L36" s="165"/>
      <c r="M36" s="138"/>
      <c r="N36" s="162"/>
      <c r="O36" s="162"/>
      <c r="P36" s="162"/>
      <c r="Q36" s="143"/>
      <c r="R36" s="144"/>
      <c r="S36" s="145"/>
      <c r="AI36" s="386"/>
      <c r="AJ36" s="386"/>
      <c r="AK36" s="386"/>
    </row>
    <row r="37" spans="1:37" s="34" customFormat="1" ht="12.9" customHeight="1" x14ac:dyDescent="0.25">
      <c r="A37" s="135">
        <v>16</v>
      </c>
      <c r="B37" s="243">
        <f>IF($E37="","",VLOOKUP($E37,'F18 csapat ELO'!$A$7:$O$22,14))</f>
        <v>0</v>
      </c>
      <c r="C37" s="272">
        <f>IF($E37="","",VLOOKUP($E37,'F18 csapat ELO'!$A$7:$O$22,15))</f>
        <v>20</v>
      </c>
      <c r="D37" s="272">
        <f>IF($E37="","",VLOOKUP($E37,'F18 csapat ELO'!$A$7:$O$22,5))</f>
        <v>0</v>
      </c>
      <c r="E37" s="136">
        <v>2</v>
      </c>
      <c r="F37" s="137" t="str">
        <f>UPPER(IF($E37="","",VLOOKUP($E37,'F18 csapat ELO'!$A$7:$O$22,2)))</f>
        <v>PASARÉT TK 1</v>
      </c>
      <c r="G37" s="137">
        <f>IF($E37="","",VLOOKUP($E37,'F18 csapat ELO'!$A$7:$O$22,3))</f>
        <v>0</v>
      </c>
      <c r="H37" s="155"/>
      <c r="I37" s="137">
        <f>IF($E37="","",VLOOKUP($E37,'F18 csapat ELO'!$A$7:$O$22,4))</f>
        <v>0</v>
      </c>
      <c r="J37" s="166"/>
      <c r="K37" s="138"/>
      <c r="L37" s="138"/>
      <c r="M37" s="138"/>
      <c r="N37" s="162"/>
      <c r="O37" s="162"/>
      <c r="P37" s="162"/>
      <c r="Q37" s="143"/>
      <c r="R37" s="144"/>
      <c r="S37" s="145"/>
      <c r="AI37" s="386"/>
      <c r="AJ37" s="386"/>
      <c r="AK37" s="386"/>
    </row>
    <row r="38" spans="1:37" s="34" customFormat="1" ht="9.6" customHeight="1" x14ac:dyDescent="0.25">
      <c r="A38" s="173"/>
      <c r="B38" s="148"/>
      <c r="C38" s="148"/>
      <c r="D38" s="148"/>
      <c r="E38" s="148"/>
      <c r="F38" s="167"/>
      <c r="G38" s="167"/>
      <c r="H38" s="171"/>
      <c r="I38" s="138"/>
      <c r="J38" s="159"/>
      <c r="K38" s="138"/>
      <c r="L38" s="138"/>
      <c r="M38" s="138"/>
      <c r="N38" s="162"/>
      <c r="O38" s="162"/>
      <c r="P38" s="162"/>
      <c r="Q38" s="143"/>
      <c r="R38" s="144"/>
      <c r="S38" s="145"/>
      <c r="AI38" s="386"/>
      <c r="AJ38" s="386"/>
      <c r="AK38" s="386"/>
    </row>
    <row r="39" spans="1:37" s="34" customFormat="1" ht="9.6" customHeight="1" x14ac:dyDescent="0.25">
      <c r="A39" s="174"/>
      <c r="B39" s="140"/>
      <c r="C39" s="140"/>
      <c r="D39" s="140"/>
      <c r="E39" s="148"/>
      <c r="F39" s="140"/>
      <c r="G39" s="140"/>
      <c r="H39" s="140"/>
      <c r="I39" s="140"/>
      <c r="J39" s="148"/>
      <c r="K39" s="140"/>
      <c r="L39" s="140"/>
      <c r="M39" s="140"/>
      <c r="N39" s="175"/>
      <c r="O39" s="175"/>
      <c r="P39" s="175"/>
      <c r="Q39" s="143"/>
      <c r="R39" s="144"/>
      <c r="S39" s="145"/>
      <c r="AI39" s="386"/>
      <c r="AJ39" s="386"/>
      <c r="AK39" s="386"/>
    </row>
    <row r="40" spans="1:37" s="34" customFormat="1" ht="9.6" customHeight="1" x14ac:dyDescent="0.25">
      <c r="A40" s="173"/>
      <c r="B40" s="148"/>
      <c r="C40" s="148"/>
      <c r="D40" s="148"/>
      <c r="E40" s="148"/>
      <c r="F40" s="140"/>
      <c r="G40" s="140"/>
      <c r="I40" s="140"/>
      <c r="J40" s="148"/>
      <c r="K40" s="140"/>
      <c r="L40" s="140"/>
      <c r="M40" s="176"/>
      <c r="N40" s="148"/>
      <c r="O40" s="140"/>
      <c r="P40" s="175"/>
      <c r="Q40" s="143"/>
      <c r="R40" s="144"/>
      <c r="S40" s="145"/>
      <c r="AI40" s="386"/>
      <c r="AJ40" s="386"/>
      <c r="AK40" s="386"/>
    </row>
    <row r="41" spans="1:37" s="34" customFormat="1" ht="9.6" customHeight="1" x14ac:dyDescent="0.25">
      <c r="A41" s="173"/>
      <c r="B41" s="140"/>
      <c r="C41" s="140"/>
      <c r="D41" s="140"/>
      <c r="E41" s="148"/>
      <c r="F41" s="140"/>
      <c r="G41" s="140"/>
      <c r="H41" s="140"/>
      <c r="I41" s="140"/>
      <c r="J41" s="148"/>
      <c r="K41" s="140"/>
      <c r="L41" s="140"/>
      <c r="M41" s="140"/>
      <c r="N41" s="175"/>
      <c r="O41" s="140"/>
      <c r="P41" s="175"/>
      <c r="Q41" s="143"/>
      <c r="R41" s="144"/>
      <c r="S41" s="145"/>
      <c r="AI41" s="386"/>
      <c r="AJ41" s="386"/>
      <c r="AK41" s="386"/>
    </row>
    <row r="42" spans="1:37" s="34" customFormat="1" ht="9.6" customHeight="1" x14ac:dyDescent="0.25">
      <c r="A42" s="173"/>
      <c r="B42" s="148"/>
      <c r="C42" s="148"/>
      <c r="D42" s="148"/>
      <c r="E42" s="148"/>
      <c r="F42" s="140"/>
      <c r="G42" s="140"/>
      <c r="I42" s="176"/>
      <c r="J42" s="148"/>
      <c r="K42" s="140"/>
      <c r="L42" s="140"/>
      <c r="M42" s="140"/>
      <c r="N42" s="175"/>
      <c r="O42" s="175"/>
      <c r="P42" s="175"/>
      <c r="Q42" s="143"/>
      <c r="R42" s="144"/>
      <c r="S42" s="145"/>
      <c r="AI42" s="386"/>
      <c r="AJ42" s="386"/>
      <c r="AK42" s="386"/>
    </row>
    <row r="43" spans="1:37" s="34" customFormat="1" ht="9.6" customHeight="1" x14ac:dyDescent="0.25">
      <c r="A43" s="173"/>
      <c r="B43" s="140"/>
      <c r="C43" s="140"/>
      <c r="D43" s="140"/>
      <c r="E43" s="148"/>
      <c r="F43" s="140"/>
      <c r="G43" s="140"/>
      <c r="H43" s="140"/>
      <c r="I43" s="140"/>
      <c r="J43" s="148"/>
      <c r="K43" s="140"/>
      <c r="L43" s="177"/>
      <c r="M43" s="140"/>
      <c r="N43" s="175"/>
      <c r="O43" s="175"/>
      <c r="P43" s="175"/>
      <c r="Q43" s="143"/>
      <c r="R43" s="144"/>
      <c r="S43" s="145"/>
      <c r="AI43" s="386"/>
      <c r="AJ43" s="386"/>
      <c r="AK43" s="386"/>
    </row>
    <row r="44" spans="1:37" s="34" customFormat="1" ht="9.6" customHeight="1" x14ac:dyDescent="0.25">
      <c r="A44" s="173"/>
      <c r="B44" s="148"/>
      <c r="C44" s="148"/>
      <c r="D44" s="148"/>
      <c r="E44" s="148"/>
      <c r="F44" s="140"/>
      <c r="G44" s="140"/>
      <c r="I44" s="140"/>
      <c r="J44" s="148"/>
      <c r="K44" s="176"/>
      <c r="L44" s="148"/>
      <c r="M44" s="140"/>
      <c r="N44" s="175"/>
      <c r="O44" s="175"/>
      <c r="P44" s="175"/>
      <c r="Q44" s="143"/>
      <c r="R44" s="144"/>
      <c r="S44" s="145"/>
      <c r="AI44" s="386"/>
      <c r="AJ44" s="386"/>
      <c r="AK44" s="386"/>
    </row>
    <row r="45" spans="1:37" s="34" customFormat="1" ht="9.6" customHeight="1" x14ac:dyDescent="0.25">
      <c r="A45" s="173"/>
      <c r="B45" s="140"/>
      <c r="C45" s="140"/>
      <c r="D45" s="140"/>
      <c r="E45" s="148"/>
      <c r="F45" s="140"/>
      <c r="G45" s="140"/>
      <c r="H45" s="140"/>
      <c r="I45" s="140"/>
      <c r="J45" s="148"/>
      <c r="K45" s="140"/>
      <c r="L45" s="140"/>
      <c r="M45" s="140"/>
      <c r="N45" s="175"/>
      <c r="O45" s="175"/>
      <c r="P45" s="175"/>
      <c r="Q45" s="143"/>
      <c r="R45" s="144"/>
      <c r="S45" s="145"/>
      <c r="AI45" s="386"/>
      <c r="AJ45" s="386"/>
      <c r="AK45" s="386"/>
    </row>
    <row r="46" spans="1:37" s="34" customFormat="1" ht="9.6" customHeight="1" x14ac:dyDescent="0.25">
      <c r="A46" s="173"/>
      <c r="B46" s="148"/>
      <c r="C46" s="148"/>
      <c r="D46" s="148"/>
      <c r="E46" s="148"/>
      <c r="F46" s="140"/>
      <c r="G46" s="140"/>
      <c r="I46" s="176"/>
      <c r="J46" s="148"/>
      <c r="K46" s="140"/>
      <c r="L46" s="140"/>
      <c r="M46" s="140"/>
      <c r="N46" s="175"/>
      <c r="O46" s="175"/>
      <c r="P46" s="175"/>
      <c r="Q46" s="143"/>
      <c r="R46" s="144"/>
      <c r="S46" s="145"/>
      <c r="AI46" s="386"/>
      <c r="AJ46" s="386"/>
      <c r="AK46" s="386"/>
    </row>
    <row r="47" spans="1:37" s="34" customFormat="1" ht="9.6" customHeight="1" x14ac:dyDescent="0.25">
      <c r="A47" s="174"/>
      <c r="B47" s="140"/>
      <c r="C47" s="140"/>
      <c r="D47" s="140"/>
      <c r="E47" s="148"/>
      <c r="F47" s="140"/>
      <c r="G47" s="140"/>
      <c r="H47" s="140"/>
      <c r="I47" s="140"/>
      <c r="J47" s="148"/>
      <c r="K47" s="140"/>
      <c r="L47" s="140"/>
      <c r="M47" s="140"/>
      <c r="N47" s="140"/>
      <c r="O47" s="141"/>
      <c r="P47" s="141"/>
      <c r="Q47" s="143"/>
      <c r="R47" s="144"/>
      <c r="S47" s="145"/>
      <c r="AI47" s="386"/>
      <c r="AJ47" s="386"/>
      <c r="AK47" s="386"/>
    </row>
    <row r="48" spans="1:37" s="2" customFormat="1" ht="6.75" customHeight="1" x14ac:dyDescent="0.25">
      <c r="A48" s="179"/>
      <c r="B48" s="179"/>
      <c r="C48" s="179"/>
      <c r="D48" s="179"/>
      <c r="E48" s="179"/>
      <c r="F48" s="180"/>
      <c r="G48" s="180"/>
      <c r="H48" s="180"/>
      <c r="I48" s="180"/>
      <c r="J48" s="181"/>
      <c r="K48" s="182"/>
      <c r="L48" s="183"/>
      <c r="M48" s="182"/>
      <c r="N48" s="183"/>
      <c r="O48" s="182"/>
      <c r="P48" s="183"/>
      <c r="Q48" s="182"/>
      <c r="R48" s="183"/>
      <c r="S48" s="184"/>
      <c r="AI48" s="387"/>
      <c r="AJ48" s="387"/>
      <c r="AK48" s="387"/>
    </row>
    <row r="49" spans="1:37" s="18" customFormat="1" ht="10.5" customHeight="1" x14ac:dyDescent="0.25">
      <c r="A49" s="185" t="s">
        <v>44</v>
      </c>
      <c r="B49" s="186"/>
      <c r="C49" s="186"/>
      <c r="D49" s="276"/>
      <c r="E49" s="187" t="s">
        <v>5</v>
      </c>
      <c r="F49" s="188" t="s">
        <v>46</v>
      </c>
      <c r="G49" s="187"/>
      <c r="H49" s="189"/>
      <c r="I49" s="190"/>
      <c r="J49" s="187" t="s">
        <v>5</v>
      </c>
      <c r="K49" s="188" t="s">
        <v>54</v>
      </c>
      <c r="L49" s="191"/>
      <c r="M49" s="188" t="s">
        <v>55</v>
      </c>
      <c r="N49" s="192"/>
      <c r="O49" s="193" t="s">
        <v>56</v>
      </c>
      <c r="P49" s="193"/>
      <c r="Q49" s="194"/>
      <c r="R49" s="195"/>
      <c r="AI49" s="388"/>
      <c r="AJ49" s="388"/>
      <c r="AK49" s="388"/>
    </row>
    <row r="50" spans="1:37" s="18" customFormat="1" ht="9" customHeight="1" x14ac:dyDescent="0.25">
      <c r="A50" s="277" t="s">
        <v>45</v>
      </c>
      <c r="B50" s="278"/>
      <c r="C50" s="279"/>
      <c r="D50" s="280"/>
      <c r="E50" s="197">
        <v>1</v>
      </c>
      <c r="F50" s="87" t="str">
        <f>IF(E50&gt;$R$57,,UPPER(VLOOKUP(E50,'F18 csapat ELO'!$A$7:$Q$134,2)))</f>
        <v>VASAS SC</v>
      </c>
      <c r="G50" s="198"/>
      <c r="H50" s="87"/>
      <c r="I50" s="86"/>
      <c r="J50" s="199" t="s">
        <v>6</v>
      </c>
      <c r="K50" s="196"/>
      <c r="L50" s="200"/>
      <c r="M50" s="196"/>
      <c r="N50" s="201"/>
      <c r="O50" s="202" t="s">
        <v>47</v>
      </c>
      <c r="P50" s="203"/>
      <c r="Q50" s="203"/>
      <c r="R50" s="204"/>
      <c r="AI50" s="388"/>
      <c r="AJ50" s="388"/>
      <c r="AK50" s="388"/>
    </row>
    <row r="51" spans="1:37" s="18" customFormat="1" ht="9" customHeight="1" x14ac:dyDescent="0.25">
      <c r="A51" s="209" t="s">
        <v>53</v>
      </c>
      <c r="B51" s="207"/>
      <c r="C51" s="273"/>
      <c r="D51" s="210"/>
      <c r="E51" s="197">
        <v>2</v>
      </c>
      <c r="F51" s="87" t="str">
        <f>IF(E51&gt;$R$57,,UPPER(VLOOKUP(E51,'F18 csapat ELO'!$A$7:$Q$134,2)))</f>
        <v>PASARÉT TK 1</v>
      </c>
      <c r="G51" s="198"/>
      <c r="H51" s="87"/>
      <c r="I51" s="86"/>
      <c r="J51" s="199" t="s">
        <v>7</v>
      </c>
      <c r="K51" s="196"/>
      <c r="L51" s="200"/>
      <c r="M51" s="196"/>
      <c r="N51" s="201"/>
      <c r="O51" s="205"/>
      <c r="P51" s="206"/>
      <c r="Q51" s="207"/>
      <c r="R51" s="208"/>
      <c r="AI51" s="388"/>
      <c r="AJ51" s="388"/>
      <c r="AK51" s="388"/>
    </row>
    <row r="52" spans="1:37" s="18" customFormat="1" ht="9" customHeight="1" x14ac:dyDescent="0.25">
      <c r="A52" s="236"/>
      <c r="B52" s="237"/>
      <c r="C52" s="274"/>
      <c r="D52" s="238"/>
      <c r="E52" s="197">
        <v>3</v>
      </c>
      <c r="F52" s="87" t="str">
        <f>IF(E52&gt;$R$57,,UPPER(VLOOKUP(E52,'F18 csapat ELO'!$A$7:$Q$134,2)))</f>
        <v>PG TENISZ 1</v>
      </c>
      <c r="G52" s="198"/>
      <c r="H52" s="87"/>
      <c r="I52" s="86"/>
      <c r="J52" s="199" t="s">
        <v>8</v>
      </c>
      <c r="K52" s="196"/>
      <c r="L52" s="200"/>
      <c r="M52" s="196"/>
      <c r="N52" s="201"/>
      <c r="O52" s="202" t="s">
        <v>48</v>
      </c>
      <c r="P52" s="203"/>
      <c r="Q52" s="203"/>
      <c r="R52" s="204"/>
      <c r="AI52" s="388"/>
      <c r="AJ52" s="388"/>
      <c r="AK52" s="388"/>
    </row>
    <row r="53" spans="1:37" s="18" customFormat="1" ht="9" customHeight="1" x14ac:dyDescent="0.25">
      <c r="A53" s="211"/>
      <c r="B53" s="269"/>
      <c r="C53" s="269"/>
      <c r="D53" s="212"/>
      <c r="E53" s="197">
        <v>4</v>
      </c>
      <c r="F53" s="87" t="str">
        <f>IF(E53&gt;$R$57,,UPPER(VLOOKUP(E53,'F18 csapat ELO'!$A$7:$Q$134,2)))</f>
        <v>PASARÉT TK 2</v>
      </c>
      <c r="G53" s="198"/>
      <c r="H53" s="87"/>
      <c r="I53" s="86"/>
      <c r="J53" s="199" t="s">
        <v>9</v>
      </c>
      <c r="K53" s="196"/>
      <c r="L53" s="200"/>
      <c r="M53" s="196"/>
      <c r="N53" s="201"/>
      <c r="O53" s="196"/>
      <c r="P53" s="200"/>
      <c r="Q53" s="196"/>
      <c r="R53" s="201"/>
      <c r="AI53" s="388"/>
      <c r="AJ53" s="388"/>
      <c r="AK53" s="388"/>
    </row>
    <row r="54" spans="1:37" s="18" customFormat="1" ht="9" customHeight="1" x14ac:dyDescent="0.25">
      <c r="A54" s="224"/>
      <c r="B54" s="239"/>
      <c r="C54" s="239"/>
      <c r="D54" s="275"/>
      <c r="E54" s="197"/>
      <c r="F54" s="87"/>
      <c r="G54" s="198"/>
      <c r="H54" s="87"/>
      <c r="I54" s="86"/>
      <c r="J54" s="199" t="s">
        <v>10</v>
      </c>
      <c r="K54" s="196"/>
      <c r="L54" s="200"/>
      <c r="M54" s="196"/>
      <c r="N54" s="201"/>
      <c r="O54" s="207"/>
      <c r="P54" s="206"/>
      <c r="Q54" s="207"/>
      <c r="R54" s="208"/>
      <c r="AI54" s="388"/>
      <c r="AJ54" s="388"/>
      <c r="AK54" s="388"/>
    </row>
    <row r="55" spans="1:37" s="18" customFormat="1" ht="9" customHeight="1" x14ac:dyDescent="0.25">
      <c r="A55" s="225"/>
      <c r="B55" s="242"/>
      <c r="C55" s="269"/>
      <c r="D55" s="212"/>
      <c r="E55" s="197"/>
      <c r="F55" s="87"/>
      <c r="G55" s="198"/>
      <c r="H55" s="87"/>
      <c r="I55" s="86"/>
      <c r="J55" s="199" t="s">
        <v>11</v>
      </c>
      <c r="K55" s="196"/>
      <c r="L55" s="200"/>
      <c r="M55" s="196"/>
      <c r="N55" s="201"/>
      <c r="O55" s="202" t="s">
        <v>34</v>
      </c>
      <c r="P55" s="203"/>
      <c r="Q55" s="203"/>
      <c r="R55" s="204"/>
      <c r="AI55" s="388"/>
      <c r="AJ55" s="388"/>
      <c r="AK55" s="388"/>
    </row>
    <row r="56" spans="1:37" s="18" customFormat="1" ht="9" customHeight="1" x14ac:dyDescent="0.25">
      <c r="A56" s="225"/>
      <c r="B56" s="242"/>
      <c r="C56" s="270"/>
      <c r="D56" s="234"/>
      <c r="E56" s="197"/>
      <c r="F56" s="87"/>
      <c r="G56" s="198"/>
      <c r="H56" s="87"/>
      <c r="I56" s="86"/>
      <c r="J56" s="199" t="s">
        <v>12</v>
      </c>
      <c r="K56" s="196"/>
      <c r="L56" s="200"/>
      <c r="M56" s="196"/>
      <c r="N56" s="201"/>
      <c r="O56" s="196"/>
      <c r="P56" s="200"/>
      <c r="Q56" s="196"/>
      <c r="R56" s="201"/>
      <c r="AI56" s="388"/>
      <c r="AJ56" s="388"/>
      <c r="AK56" s="388"/>
    </row>
    <row r="57" spans="1:37" s="18" customFormat="1" ht="9" customHeight="1" x14ac:dyDescent="0.25">
      <c r="A57" s="226"/>
      <c r="B57" s="223"/>
      <c r="C57" s="271"/>
      <c r="D57" s="235"/>
      <c r="E57" s="213"/>
      <c r="F57" s="214"/>
      <c r="G57" s="215"/>
      <c r="H57" s="214"/>
      <c r="I57" s="216"/>
      <c r="J57" s="217" t="s">
        <v>13</v>
      </c>
      <c r="K57" s="207"/>
      <c r="L57" s="206"/>
      <c r="M57" s="207"/>
      <c r="N57" s="208"/>
      <c r="O57" s="207" t="str">
        <f>R4</f>
        <v>Rákóczi Andrea</v>
      </c>
      <c r="P57" s="206"/>
      <c r="Q57" s="207"/>
      <c r="R57" s="218">
        <f>MIN(4,'F18 csapat ELO'!Q5)</f>
        <v>4</v>
      </c>
      <c r="AI57" s="388"/>
      <c r="AJ57" s="388"/>
      <c r="AK57" s="388"/>
    </row>
  </sheetData>
  <mergeCells count="1">
    <mergeCell ref="A4:C4"/>
  </mergeCells>
  <conditionalFormatting sqref="G45:I45 G39:I39 H23 H25 H27 H29 H31 H33 H35 H37 G47:I47 G41:I41 G43:I43 H7 H9 H11 H13 H15 H17 H19 H21">
    <cfRule type="expression" dxfId="13" priority="14" stopIfTrue="1">
      <formula>AND($E7&lt;9,$C7&gt;0)</formula>
    </cfRule>
  </conditionalFormatting>
  <conditionalFormatting sqref="I32 I46 I36 K44 I42 K10 M14 K18 K26 K34 M30 M40 O22 I8 I12 I16 I20 I24 I28">
    <cfRule type="expression" dxfId="12" priority="11" stopIfTrue="1">
      <formula>AND($O$1="CU",I8="Umpire")</formula>
    </cfRule>
    <cfRule type="expression" dxfId="11" priority="12" stopIfTrue="1">
      <formula>AND($O$1="CU",I8&lt;&gt;"Umpire",J8&lt;&gt;"")</formula>
    </cfRule>
    <cfRule type="expression" dxfId="10" priority="13" stopIfTrue="1">
      <formula>AND($O$1="CU",I8&lt;&gt;"Umpire")</formula>
    </cfRule>
  </conditionalFormatting>
  <conditionalFormatting sqref="E39 E47 E45 E43 E41">
    <cfRule type="expression" dxfId="9" priority="10" stopIfTrue="1">
      <formula>AND($E39&lt;9,$C39&gt;0)</formula>
    </cfRule>
  </conditionalFormatting>
  <conditionalFormatting sqref="F41 F43 F45 F47 F39">
    <cfRule type="cellIs" dxfId="8" priority="8" stopIfTrue="1" operator="equal">
      <formula>"Bye"</formula>
    </cfRule>
    <cfRule type="expression" dxfId="7" priority="9" stopIfTrue="1">
      <formula>AND($E39&lt;9,$C39&gt;0)</formula>
    </cfRule>
  </conditionalFormatting>
  <conditionalFormatting sqref="M10 M18 M26 M34 O30 O40 M44 O14 Q22 K8 K12 K16 K20 K24 K28 K32 K36 K42 K46">
    <cfRule type="expression" dxfId="6" priority="6" stopIfTrue="1">
      <formula>J8="as"</formula>
    </cfRule>
    <cfRule type="expression" dxfId="5" priority="7" stopIfTrue="1">
      <formula>J8="bs"</formula>
    </cfRule>
  </conditionalFormatting>
  <conditionalFormatting sqref="B41 B43 B45 B47 B39">
    <cfRule type="cellIs" dxfId="4" priority="4" stopIfTrue="1" operator="equal">
      <formula>"QA"</formula>
    </cfRule>
    <cfRule type="cellIs" dxfId="3" priority="5" stopIfTrue="1" operator="equal">
      <formula>"DA"</formula>
    </cfRule>
  </conditionalFormatting>
  <conditionalFormatting sqref="R57 J8 J12 J16 J20 J24 J28 J32 J36 N30 N14 L10 L34 L18 L26 P22">
    <cfRule type="expression" dxfId="2" priority="3" stopIfTrue="1">
      <formula>$O$1="CU"</formula>
    </cfRule>
  </conditionalFormatting>
  <conditionalFormatting sqref="E9 E7 E11 E13 E15 E17 E19 E21 E23 E25 E27 E29 E31 E33 E35 E37">
    <cfRule type="expression" dxfId="1" priority="2" stopIfTrue="1">
      <formula>$E7&lt;5</formula>
    </cfRule>
  </conditionalFormatting>
  <conditionalFormatting sqref="F35 F37 F25 F33 F31 F29 F27 F23 F19 F21 F9 F17 F15 F13 F11 F7">
    <cfRule type="cellIs" dxfId="0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 xr:uid="{4E775E0C-4EC8-468E-87D5-A935B1805AE7}">
      <formula1>$U$7:$U$16</formula1>
    </dataValidation>
  </dataValidations>
  <printOptions horizontalCentered="1"/>
  <pageMargins left="0.35" right="0.35" top="0.39" bottom="0.39" header="0" footer="0"/>
  <pageSetup paperSize="9" scale="98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34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4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DD3A-9951-4EF1-B1E1-4E57E9845844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1" customWidth="1"/>
    <col min="15" max="15" width="8.5546875" customWidth="1"/>
    <col min="16" max="16" width="11.5546875" hidden="1" customWidth="1"/>
  </cols>
  <sheetData>
    <row r="1" spans="1:14" ht="24.6" x14ac:dyDescent="0.3">
      <c r="A1" s="42" t="str">
        <f>Altalanos!$A$6</f>
        <v>Budapest Bajnokság</v>
      </c>
      <c r="B1" s="43"/>
      <c r="C1" s="43"/>
      <c r="D1" s="33"/>
      <c r="E1" s="33"/>
      <c r="F1" s="44"/>
      <c r="G1" s="33"/>
      <c r="H1" s="33"/>
      <c r="I1" s="33"/>
      <c r="J1" s="33"/>
      <c r="K1" s="33"/>
      <c r="L1" s="33"/>
      <c r="M1" s="33"/>
      <c r="N1" s="45"/>
    </row>
    <row r="2" spans="1:14" x14ac:dyDescent="0.25">
      <c r="A2" s="46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4"/>
    </row>
    <row r="3" spans="1:14" s="2" customFormat="1" ht="39.75" customHeight="1" thickBot="1" x14ac:dyDescent="0.3">
      <c r="A3" s="47"/>
      <c r="B3" s="48" t="s">
        <v>24</v>
      </c>
      <c r="C3" s="49"/>
      <c r="D3" s="50"/>
      <c r="E3" s="50"/>
      <c r="F3" s="51"/>
      <c r="G3" s="50"/>
      <c r="H3" s="52"/>
      <c r="I3" s="51"/>
      <c r="J3" s="50"/>
      <c r="K3" s="50"/>
      <c r="L3" s="50"/>
      <c r="M3" s="50"/>
      <c r="N3" s="52"/>
    </row>
    <row r="4" spans="1:14" s="18" customFormat="1" ht="9.6" x14ac:dyDescent="0.25">
      <c r="A4" s="51" t="s">
        <v>25</v>
      </c>
      <c r="B4" s="49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34" customFormat="1" ht="12.75" customHeight="1" x14ac:dyDescent="0.25">
      <c r="A5" s="54" t="str">
        <f>Altalanos!$A$10</f>
        <v>2025.06.19-29.</v>
      </c>
      <c r="B5" s="55" t="str">
        <f>Altalanos!$C$10</f>
        <v>Budapest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</row>
    <row r="6" spans="1:14" s="2" customFormat="1" ht="60" customHeight="1" thickBot="1" x14ac:dyDescent="0.3">
      <c r="A6" s="440" t="s">
        <v>26</v>
      </c>
      <c r="B6" s="440"/>
      <c r="C6" s="58"/>
      <c r="D6" s="58"/>
      <c r="E6" s="58"/>
      <c r="F6" s="59"/>
      <c r="G6" s="60"/>
      <c r="H6" s="58"/>
      <c r="I6" s="59"/>
      <c r="J6" s="58"/>
      <c r="K6" s="58"/>
      <c r="L6" s="58"/>
      <c r="M6" s="58"/>
      <c r="N6" s="61"/>
    </row>
    <row r="7" spans="1:14" s="18" customFormat="1" ht="13.5" hidden="1" customHeight="1" x14ac:dyDescent="0.2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3"/>
    </row>
    <row r="8" spans="1:14" s="11" customFormat="1" ht="12.75" hidden="1" customHeight="1" x14ac:dyDescent="0.25">
      <c r="A8" s="64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6"/>
    </row>
    <row r="9" spans="1:14" s="18" customFormat="1" hidden="1" x14ac:dyDescent="0.25">
      <c r="A9" s="65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</row>
    <row r="10" spans="1:14" s="18" customFormat="1" ht="9.6" hidden="1" x14ac:dyDescent="0.25">
      <c r="A10" s="62"/>
      <c r="B10" s="6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4" customFormat="1" ht="12.75" hidden="1" customHeight="1" x14ac:dyDescent="0.25">
      <c r="A11" s="70"/>
      <c r="B11" s="3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3"/>
    </row>
    <row r="12" spans="1:14" s="18" customFormat="1" ht="9.6" hidden="1" x14ac:dyDescent="0.2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3"/>
    </row>
    <row r="13" spans="1:14" s="11" customFormat="1" ht="12.75" hidden="1" customHeight="1" x14ac:dyDescent="0.25">
      <c r="A13" s="64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5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</row>
    <row r="15" spans="1:14" s="18" customFormat="1" ht="9.6" hidden="1" x14ac:dyDescent="0.25">
      <c r="A15" s="62"/>
      <c r="B15" s="6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18" customFormat="1" hidden="1" x14ac:dyDescent="0.25">
      <c r="A16" s="70"/>
      <c r="B16" s="3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3"/>
    </row>
    <row r="17" spans="1:16" s="18" customFormat="1" ht="9.6" hidden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3"/>
    </row>
    <row r="18" spans="1:16" s="11" customFormat="1" ht="12.75" hidden="1" customHeight="1" x14ac:dyDescent="0.25">
      <c r="A18" s="64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1"/>
      <c r="B19" s="7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31" t="s">
        <v>27</v>
      </c>
      <c r="B20" s="232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</row>
    <row r="21" spans="1:16" s="18" customFormat="1" ht="9.6" x14ac:dyDescent="0.25">
      <c r="A21" s="72" t="s">
        <v>28</v>
      </c>
      <c r="B21" s="73" t="s">
        <v>29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P21" s="74" t="s">
        <v>60</v>
      </c>
    </row>
    <row r="22" spans="1:16" s="18" customFormat="1" ht="19.5" customHeight="1" x14ac:dyDescent="0.25">
      <c r="A22" s="75"/>
      <c r="B22" s="7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53"/>
      <c r="P22" s="77" t="str">
        <f t="shared" ref="P22:P29" si="0">LEFT(B22,1)&amp;" "&amp;A22</f>
        <v xml:space="preserve"> </v>
      </c>
    </row>
    <row r="23" spans="1:16" s="18" customFormat="1" ht="19.5" customHeight="1" x14ac:dyDescent="0.25">
      <c r="A23" s="75"/>
      <c r="B23" s="7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3"/>
      <c r="P23" s="77" t="str">
        <f t="shared" si="0"/>
        <v xml:space="preserve"> </v>
      </c>
    </row>
    <row r="24" spans="1:16" s="18" customFormat="1" ht="19.5" customHeight="1" x14ac:dyDescent="0.25">
      <c r="A24" s="75"/>
      <c r="B24" s="7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3"/>
      <c r="P24" s="77" t="str">
        <f t="shared" si="0"/>
        <v xml:space="preserve"> </v>
      </c>
    </row>
    <row r="25" spans="1:16" s="2" customFormat="1" ht="19.5" customHeight="1" x14ac:dyDescent="0.25">
      <c r="A25" s="75"/>
      <c r="B25" s="7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3"/>
      <c r="P25" s="77" t="str">
        <f t="shared" si="0"/>
        <v xml:space="preserve"> </v>
      </c>
    </row>
    <row r="26" spans="1:16" s="2" customFormat="1" ht="19.5" customHeight="1" x14ac:dyDescent="0.25">
      <c r="A26" s="75"/>
      <c r="B26" s="7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53"/>
      <c r="P26" s="77" t="str">
        <f t="shared" si="0"/>
        <v xml:space="preserve"> </v>
      </c>
    </row>
    <row r="27" spans="1:16" s="2" customFormat="1" ht="19.5" customHeight="1" x14ac:dyDescent="0.25">
      <c r="A27" s="75"/>
      <c r="B27" s="7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3"/>
      <c r="P27" s="77" t="str">
        <f t="shared" si="0"/>
        <v xml:space="preserve"> </v>
      </c>
    </row>
    <row r="28" spans="1:16" s="2" customFormat="1" ht="19.5" customHeight="1" x14ac:dyDescent="0.25">
      <c r="A28" s="75"/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53"/>
      <c r="P28" s="77" t="str">
        <f t="shared" si="0"/>
        <v xml:space="preserve"> </v>
      </c>
    </row>
    <row r="29" spans="1:16" s="2" customFormat="1" ht="19.5" customHeight="1" thickBot="1" x14ac:dyDescent="0.3">
      <c r="A29" s="78"/>
      <c r="B29" s="79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3"/>
      <c r="P29" s="77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80"/>
      <c r="P30" s="81" t="s">
        <v>61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80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80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80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80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80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80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80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0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0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</row>
  </sheetData>
  <mergeCells count="1">
    <mergeCell ref="A6:B6"/>
  </mergeCells>
  <phoneticPr fontId="62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369B-7219-426C-A7D2-073CF45E62C1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B14" sqref="B14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41" customWidth="1"/>
    <col min="5" max="5" width="10.5546875" style="418" customWidth="1"/>
    <col min="6" max="6" width="6.109375" style="94" hidden="1" customWidth="1"/>
    <col min="7" max="7" width="28.6640625" style="94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8" thickBot="1" x14ac:dyDescent="0.3">
      <c r="B2" s="90" t="s">
        <v>51</v>
      </c>
      <c r="C2" s="90" t="str">
        <f>Altalanos!$A$8</f>
        <v>F12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8" thickBot="1" x14ac:dyDescent="0.3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5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8" thickBot="1" x14ac:dyDescent="0.3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3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899999999999999" customHeight="1" thickBot="1" x14ac:dyDescent="0.3">
      <c r="A7" s="253">
        <v>1</v>
      </c>
      <c r="B7" s="96" t="s">
        <v>115</v>
      </c>
      <c r="C7" s="96"/>
      <c r="D7" s="97"/>
      <c r="E7" s="268"/>
      <c r="F7" s="399"/>
      <c r="G7" s="400"/>
      <c r="H7" s="97"/>
      <c r="I7" s="97"/>
      <c r="J7" s="250"/>
      <c r="K7" s="248"/>
      <c r="L7" s="252"/>
      <c r="M7" s="248"/>
      <c r="N7" s="241"/>
      <c r="O7" s="429">
        <v>45</v>
      </c>
      <c r="P7" s="116"/>
      <c r="Q7" s="98"/>
    </row>
    <row r="8" spans="1:17" s="11" customFormat="1" ht="18.899999999999999" customHeight="1" x14ac:dyDescent="0.25">
      <c r="A8" s="253">
        <v>2</v>
      </c>
      <c r="B8" s="96" t="s">
        <v>96</v>
      </c>
      <c r="C8" s="96"/>
      <c r="D8" s="97"/>
      <c r="E8" s="268"/>
      <c r="F8" s="399"/>
      <c r="G8" s="400"/>
      <c r="H8" s="97"/>
      <c r="I8" s="97"/>
      <c r="J8" s="250"/>
      <c r="K8" s="248"/>
      <c r="L8" s="252"/>
      <c r="M8" s="248"/>
      <c r="N8" s="241"/>
      <c r="O8" s="429">
        <v>46</v>
      </c>
      <c r="P8" s="116"/>
      <c r="Q8" s="98"/>
    </row>
    <row r="9" spans="1:17" s="11" customFormat="1" ht="18.899999999999999" customHeight="1" x14ac:dyDescent="0.25">
      <c r="A9" s="253">
        <v>3</v>
      </c>
      <c r="B9" s="96" t="s">
        <v>99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56</v>
      </c>
      <c r="P9" s="412"/>
      <c r="Q9" s="283"/>
    </row>
    <row r="10" spans="1:17" s="11" customFormat="1" ht="18.899999999999999" customHeight="1" x14ac:dyDescent="0.25">
      <c r="A10" s="253">
        <v>4</v>
      </c>
      <c r="B10" s="96" t="s">
        <v>100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83</v>
      </c>
      <c r="P10" s="411"/>
      <c r="Q10" s="408"/>
    </row>
    <row r="11" spans="1:17" s="11" customFormat="1" ht="18.899999999999999" customHeight="1" x14ac:dyDescent="0.25">
      <c r="A11" s="253">
        <v>5</v>
      </c>
      <c r="B11" s="96" t="s">
        <v>101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147</v>
      </c>
      <c r="P11" s="411"/>
      <c r="Q11" s="408"/>
    </row>
    <row r="12" spans="1:17" s="11" customFormat="1" ht="18.899999999999999" customHeight="1" x14ac:dyDescent="0.25">
      <c r="A12" s="253">
        <v>6</v>
      </c>
      <c r="B12" s="96" t="s">
        <v>102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158</v>
      </c>
      <c r="P12" s="411"/>
      <c r="Q12" s="408"/>
    </row>
    <row r="13" spans="1:17" s="11" customFormat="1" ht="18.899999999999999" customHeight="1" x14ac:dyDescent="0.25">
      <c r="A13" s="253">
        <v>7</v>
      </c>
      <c r="B13" s="96" t="s">
        <v>103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161</v>
      </c>
      <c r="P13" s="411"/>
      <c r="Q13" s="408"/>
    </row>
    <row r="14" spans="1:17" s="11" customFormat="1" ht="18.899999999999999" customHeight="1" x14ac:dyDescent="0.25">
      <c r="A14" s="253">
        <v>8</v>
      </c>
      <c r="B14" s="96" t="s">
        <v>123</v>
      </c>
      <c r="C14" s="96"/>
      <c r="D14" s="97"/>
      <c r="E14" s="268"/>
      <c r="F14" s="401"/>
      <c r="G14" s="402"/>
      <c r="H14" s="97"/>
      <c r="I14" s="97"/>
      <c r="J14" s="250"/>
      <c r="K14" s="248"/>
      <c r="L14" s="252"/>
      <c r="M14" s="248"/>
      <c r="N14" s="241"/>
      <c r="O14" s="97">
        <v>252</v>
      </c>
      <c r="P14" s="411"/>
      <c r="Q14" s="408"/>
    </row>
    <row r="15" spans="1:17" s="11" customFormat="1" ht="18.899999999999999" customHeight="1" x14ac:dyDescent="0.25">
      <c r="A15" s="253">
        <v>9</v>
      </c>
      <c r="B15" s="96"/>
      <c r="C15" s="96"/>
      <c r="D15" s="97"/>
      <c r="E15" s="268"/>
      <c r="F15" s="115"/>
      <c r="G15" s="115"/>
      <c r="H15" s="97"/>
      <c r="I15" s="97"/>
      <c r="J15" s="250"/>
      <c r="K15" s="248"/>
      <c r="L15" s="252"/>
      <c r="M15" s="288"/>
      <c r="N15" s="241"/>
      <c r="O15" s="97"/>
      <c r="P15" s="98"/>
      <c r="Q15" s="98"/>
    </row>
    <row r="16" spans="1:17" s="11" customFormat="1" ht="18.899999999999999" customHeight="1" x14ac:dyDescent="0.25">
      <c r="A16" s="253">
        <v>10</v>
      </c>
      <c r="B16" s="428"/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/>
      <c r="P16" s="116"/>
      <c r="Q16" s="98"/>
    </row>
    <row r="17" spans="1:17" s="11" customFormat="1" ht="18.899999999999999" customHeight="1" x14ac:dyDescent="0.25">
      <c r="A17" s="253">
        <v>11</v>
      </c>
      <c r="B17" s="96"/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/>
      <c r="P17" s="116"/>
      <c r="Q17" s="98"/>
    </row>
    <row r="18" spans="1:17" s="11" customFormat="1" ht="18.899999999999999" customHeight="1" x14ac:dyDescent="0.25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899999999999999" customHeight="1" x14ac:dyDescent="0.25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899999999999999" customHeight="1" x14ac:dyDescent="0.25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899999999999999" customHeight="1" x14ac:dyDescent="0.25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899999999999999" customHeight="1" x14ac:dyDescent="0.25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899999999999999" customHeight="1" x14ac:dyDescent="0.25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899999999999999" customHeight="1" x14ac:dyDescent="0.25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899999999999999" customHeight="1" x14ac:dyDescent="0.25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899999999999999" customHeight="1" x14ac:dyDescent="0.25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899999999999999" customHeight="1" x14ac:dyDescent="0.25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899999999999999" customHeight="1" x14ac:dyDescent="0.25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899999999999999" customHeight="1" x14ac:dyDescent="0.25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899999999999999" customHeight="1" x14ac:dyDescent="0.25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899999999999999" customHeight="1" x14ac:dyDescent="0.25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899999999999999" customHeight="1" x14ac:dyDescent="0.25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899999999999999" customHeight="1" x14ac:dyDescent="0.25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899999999999999" customHeight="1" x14ac:dyDescent="0.25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899999999999999" customHeight="1" x14ac:dyDescent="0.25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899999999999999" customHeight="1" x14ac:dyDescent="0.25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899999999999999" customHeight="1" x14ac:dyDescent="0.25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899999999999999" customHeight="1" x14ac:dyDescent="0.25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899999999999999" customHeight="1" x14ac:dyDescent="0.25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899999999999999" customHeight="1" x14ac:dyDescent="0.25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71" si="0">IF(Q40="",999,Q40)</f>
        <v>999</v>
      </c>
      <c r="M40" s="288">
        <f t="shared" ref="M40:M71" si="1">IF(P40=999,999,1)</f>
        <v>999</v>
      </c>
      <c r="N40" s="283"/>
      <c r="O40" s="245"/>
      <c r="P40" s="116">
        <f t="shared" ref="P40:P71" si="2">IF(N40="DA",1,IF(N40="WC",2,IF(N40="SE",3,IF(N40="Q",4,IF(N40="LL",5,999)))))</f>
        <v>999</v>
      </c>
      <c r="Q40" s="98"/>
    </row>
    <row r="41" spans="1:17" s="11" customFormat="1" ht="18.899999999999999" customHeight="1" x14ac:dyDescent="0.25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899999999999999" customHeight="1" x14ac:dyDescent="0.25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899999999999999" customHeight="1" x14ac:dyDescent="0.25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899999999999999" customHeight="1" x14ac:dyDescent="0.25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899999999999999" customHeight="1" x14ac:dyDescent="0.25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899999999999999" customHeight="1" x14ac:dyDescent="0.25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899999999999999" customHeight="1" x14ac:dyDescent="0.25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899999999999999" customHeight="1" x14ac:dyDescent="0.25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899999999999999" customHeight="1" x14ac:dyDescent="0.25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899999999999999" customHeight="1" x14ac:dyDescent="0.25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899999999999999" customHeight="1" x14ac:dyDescent="0.25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899999999999999" customHeight="1" x14ac:dyDescent="0.25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899999999999999" customHeight="1" x14ac:dyDescent="0.25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899999999999999" customHeight="1" x14ac:dyDescent="0.25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899999999999999" customHeight="1" x14ac:dyDescent="0.25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899999999999999" customHeight="1" x14ac:dyDescent="0.25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899999999999999" customHeight="1" x14ac:dyDescent="0.25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899999999999999" customHeight="1" x14ac:dyDescent="0.25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899999999999999" customHeight="1" x14ac:dyDescent="0.25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899999999999999" customHeight="1" x14ac:dyDescent="0.25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899999999999999" customHeight="1" x14ac:dyDescent="0.25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899999999999999" customHeight="1" x14ac:dyDescent="0.25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899999999999999" customHeight="1" x14ac:dyDescent="0.25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899999999999999" customHeight="1" x14ac:dyDescent="0.25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899999999999999" customHeight="1" x14ac:dyDescent="0.25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899999999999999" customHeight="1" x14ac:dyDescent="0.25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899999999999999" customHeight="1" x14ac:dyDescent="0.25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899999999999999" customHeight="1" x14ac:dyDescent="0.25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899999999999999" customHeight="1" x14ac:dyDescent="0.25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899999999999999" customHeight="1" x14ac:dyDescent="0.25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899999999999999" customHeight="1" x14ac:dyDescent="0.25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899999999999999" customHeight="1" x14ac:dyDescent="0.25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ref="L72:L100" si="3">IF(Q72="",999,Q72)</f>
        <v>999</v>
      </c>
      <c r="M72" s="288">
        <f t="shared" ref="M72:M100" si="4">IF(P72=999,999,1)</f>
        <v>999</v>
      </c>
      <c r="N72" s="283"/>
      <c r="O72" s="245"/>
      <c r="P72" s="116">
        <f t="shared" ref="P72:P100" si="5">IF(N72="DA",1,IF(N72="WC",2,IF(N72="SE",3,IF(N72="Q",4,IF(N72="LL",5,999)))))</f>
        <v>999</v>
      </c>
      <c r="Q72" s="98"/>
    </row>
    <row r="73" spans="1:17" s="11" customFormat="1" ht="18.899999999999999" customHeight="1" x14ac:dyDescent="0.25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3"/>
        <v>999</v>
      </c>
      <c r="M73" s="288">
        <f t="shared" si="4"/>
        <v>999</v>
      </c>
      <c r="N73" s="283"/>
      <c r="O73" s="245"/>
      <c r="P73" s="116">
        <f t="shared" si="5"/>
        <v>999</v>
      </c>
      <c r="Q73" s="98"/>
    </row>
    <row r="74" spans="1:17" s="11" customFormat="1" ht="18.899999999999999" customHeight="1" x14ac:dyDescent="0.25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3"/>
        <v>999</v>
      </c>
      <c r="M74" s="288">
        <f t="shared" si="4"/>
        <v>999</v>
      </c>
      <c r="N74" s="283"/>
      <c r="O74" s="245"/>
      <c r="P74" s="116">
        <f t="shared" si="5"/>
        <v>999</v>
      </c>
      <c r="Q74" s="98"/>
    </row>
    <row r="75" spans="1:17" s="11" customFormat="1" ht="18.899999999999999" customHeight="1" x14ac:dyDescent="0.25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3"/>
        <v>999</v>
      </c>
      <c r="M75" s="288">
        <f t="shared" si="4"/>
        <v>999</v>
      </c>
      <c r="N75" s="283"/>
      <c r="O75" s="245"/>
      <c r="P75" s="116">
        <f t="shared" si="5"/>
        <v>999</v>
      </c>
      <c r="Q75" s="98"/>
    </row>
    <row r="76" spans="1:17" s="11" customFormat="1" ht="18.899999999999999" customHeight="1" x14ac:dyDescent="0.25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3"/>
        <v>999</v>
      </c>
      <c r="M76" s="288">
        <f t="shared" si="4"/>
        <v>999</v>
      </c>
      <c r="N76" s="283"/>
      <c r="O76" s="245"/>
      <c r="P76" s="116">
        <f t="shared" si="5"/>
        <v>999</v>
      </c>
      <c r="Q76" s="98"/>
    </row>
    <row r="77" spans="1:17" s="11" customFormat="1" ht="18.899999999999999" customHeight="1" x14ac:dyDescent="0.25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3"/>
        <v>999</v>
      </c>
      <c r="M77" s="288">
        <f t="shared" si="4"/>
        <v>999</v>
      </c>
      <c r="N77" s="283"/>
      <c r="O77" s="245"/>
      <c r="P77" s="116">
        <f t="shared" si="5"/>
        <v>999</v>
      </c>
      <c r="Q77" s="98"/>
    </row>
    <row r="78" spans="1:17" s="11" customFormat="1" ht="18.899999999999999" customHeight="1" x14ac:dyDescent="0.25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3"/>
        <v>999</v>
      </c>
      <c r="M78" s="288">
        <f t="shared" si="4"/>
        <v>999</v>
      </c>
      <c r="N78" s="283"/>
      <c r="O78" s="245"/>
      <c r="P78" s="116">
        <f t="shared" si="5"/>
        <v>999</v>
      </c>
      <c r="Q78" s="98"/>
    </row>
    <row r="79" spans="1:17" s="11" customFormat="1" ht="18.899999999999999" customHeight="1" x14ac:dyDescent="0.25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3"/>
        <v>999</v>
      </c>
      <c r="M79" s="288">
        <f t="shared" si="4"/>
        <v>999</v>
      </c>
      <c r="N79" s="283"/>
      <c r="O79" s="245"/>
      <c r="P79" s="116">
        <f t="shared" si="5"/>
        <v>999</v>
      </c>
      <c r="Q79" s="98"/>
    </row>
    <row r="80" spans="1:17" s="11" customFormat="1" ht="18.899999999999999" customHeight="1" x14ac:dyDescent="0.25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3"/>
        <v>999</v>
      </c>
      <c r="M80" s="288">
        <f t="shared" si="4"/>
        <v>999</v>
      </c>
      <c r="N80" s="283"/>
      <c r="O80" s="245"/>
      <c r="P80" s="116">
        <f t="shared" si="5"/>
        <v>999</v>
      </c>
      <c r="Q80" s="98"/>
    </row>
    <row r="81" spans="1:17" s="11" customFormat="1" ht="18.899999999999999" customHeight="1" x14ac:dyDescent="0.25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3"/>
        <v>999</v>
      </c>
      <c r="M81" s="288">
        <f t="shared" si="4"/>
        <v>999</v>
      </c>
      <c r="N81" s="283"/>
      <c r="O81" s="245"/>
      <c r="P81" s="116">
        <f t="shared" si="5"/>
        <v>999</v>
      </c>
      <c r="Q81" s="98"/>
    </row>
    <row r="82" spans="1:17" s="11" customFormat="1" ht="18.899999999999999" customHeight="1" x14ac:dyDescent="0.25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3"/>
        <v>999</v>
      </c>
      <c r="M82" s="288">
        <f t="shared" si="4"/>
        <v>999</v>
      </c>
      <c r="N82" s="283"/>
      <c r="O82" s="245"/>
      <c r="P82" s="116">
        <f t="shared" si="5"/>
        <v>999</v>
      </c>
      <c r="Q82" s="98"/>
    </row>
    <row r="83" spans="1:17" s="11" customFormat="1" ht="18.899999999999999" customHeight="1" x14ac:dyDescent="0.25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3"/>
        <v>999</v>
      </c>
      <c r="M83" s="288">
        <f t="shared" si="4"/>
        <v>999</v>
      </c>
      <c r="N83" s="283"/>
      <c r="O83" s="245"/>
      <c r="P83" s="116">
        <f t="shared" si="5"/>
        <v>999</v>
      </c>
      <c r="Q83" s="98"/>
    </row>
    <row r="84" spans="1:17" s="11" customFormat="1" ht="18.899999999999999" customHeight="1" x14ac:dyDescent="0.25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3"/>
        <v>999</v>
      </c>
      <c r="M84" s="288">
        <f t="shared" si="4"/>
        <v>999</v>
      </c>
      <c r="N84" s="283"/>
      <c r="O84" s="245"/>
      <c r="P84" s="116">
        <f t="shared" si="5"/>
        <v>999</v>
      </c>
      <c r="Q84" s="98"/>
    </row>
    <row r="85" spans="1:17" s="11" customFormat="1" ht="18.899999999999999" customHeight="1" x14ac:dyDescent="0.25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3"/>
        <v>999</v>
      </c>
      <c r="M85" s="288">
        <f t="shared" si="4"/>
        <v>999</v>
      </c>
      <c r="N85" s="283"/>
      <c r="O85" s="245"/>
      <c r="P85" s="116">
        <f t="shared" si="5"/>
        <v>999</v>
      </c>
      <c r="Q85" s="98"/>
    </row>
    <row r="86" spans="1:17" s="11" customFormat="1" ht="18.899999999999999" customHeight="1" x14ac:dyDescent="0.25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3"/>
        <v>999</v>
      </c>
      <c r="M86" s="288">
        <f t="shared" si="4"/>
        <v>999</v>
      </c>
      <c r="N86" s="283"/>
      <c r="O86" s="245"/>
      <c r="P86" s="116">
        <f t="shared" si="5"/>
        <v>999</v>
      </c>
      <c r="Q86" s="98"/>
    </row>
    <row r="87" spans="1:17" s="11" customFormat="1" ht="18.899999999999999" customHeight="1" x14ac:dyDescent="0.25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3"/>
        <v>999</v>
      </c>
      <c r="M87" s="288">
        <f t="shared" si="4"/>
        <v>999</v>
      </c>
      <c r="N87" s="283"/>
      <c r="O87" s="245"/>
      <c r="P87" s="116">
        <f t="shared" si="5"/>
        <v>999</v>
      </c>
      <c r="Q87" s="98"/>
    </row>
    <row r="88" spans="1:17" s="11" customFormat="1" ht="18.899999999999999" customHeight="1" x14ac:dyDescent="0.25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3"/>
        <v>999</v>
      </c>
      <c r="M88" s="288">
        <f t="shared" si="4"/>
        <v>999</v>
      </c>
      <c r="N88" s="283"/>
      <c r="O88" s="245"/>
      <c r="P88" s="116">
        <f t="shared" si="5"/>
        <v>999</v>
      </c>
      <c r="Q88" s="98"/>
    </row>
    <row r="89" spans="1:17" s="11" customFormat="1" ht="18.899999999999999" customHeight="1" x14ac:dyDescent="0.25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3"/>
        <v>999</v>
      </c>
      <c r="M89" s="288">
        <f t="shared" si="4"/>
        <v>999</v>
      </c>
      <c r="N89" s="283"/>
      <c r="O89" s="245"/>
      <c r="P89" s="116">
        <f t="shared" si="5"/>
        <v>999</v>
      </c>
      <c r="Q89" s="98"/>
    </row>
    <row r="90" spans="1:17" s="11" customFormat="1" ht="18.899999999999999" customHeight="1" x14ac:dyDescent="0.25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3"/>
        <v>999</v>
      </c>
      <c r="M90" s="288">
        <f t="shared" si="4"/>
        <v>999</v>
      </c>
      <c r="N90" s="283"/>
      <c r="O90" s="245"/>
      <c r="P90" s="116">
        <f t="shared" si="5"/>
        <v>999</v>
      </c>
      <c r="Q90" s="98"/>
    </row>
    <row r="91" spans="1:17" s="11" customFormat="1" ht="18.899999999999999" customHeight="1" x14ac:dyDescent="0.25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3"/>
        <v>999</v>
      </c>
      <c r="M91" s="288">
        <f t="shared" si="4"/>
        <v>999</v>
      </c>
      <c r="N91" s="283"/>
      <c r="O91" s="245"/>
      <c r="P91" s="116">
        <f t="shared" si="5"/>
        <v>999</v>
      </c>
      <c r="Q91" s="98"/>
    </row>
    <row r="92" spans="1:17" s="11" customFormat="1" ht="18.899999999999999" customHeight="1" x14ac:dyDescent="0.25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3"/>
        <v>999</v>
      </c>
      <c r="M92" s="288">
        <f t="shared" si="4"/>
        <v>999</v>
      </c>
      <c r="N92" s="283"/>
      <c r="O92" s="245"/>
      <c r="P92" s="116">
        <f t="shared" si="5"/>
        <v>999</v>
      </c>
      <c r="Q92" s="98"/>
    </row>
    <row r="93" spans="1:17" s="11" customFormat="1" ht="18.899999999999999" customHeight="1" x14ac:dyDescent="0.25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3"/>
        <v>999</v>
      </c>
      <c r="M93" s="288">
        <f t="shared" si="4"/>
        <v>999</v>
      </c>
      <c r="N93" s="283"/>
      <c r="O93" s="245"/>
      <c r="P93" s="116">
        <f t="shared" si="5"/>
        <v>999</v>
      </c>
      <c r="Q93" s="98"/>
    </row>
    <row r="94" spans="1:17" s="11" customFormat="1" ht="18.899999999999999" customHeight="1" x14ac:dyDescent="0.25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3"/>
        <v>999</v>
      </c>
      <c r="M94" s="288">
        <f t="shared" si="4"/>
        <v>999</v>
      </c>
      <c r="N94" s="283"/>
      <c r="O94" s="245"/>
      <c r="P94" s="116">
        <f t="shared" si="5"/>
        <v>999</v>
      </c>
      <c r="Q94" s="98"/>
    </row>
    <row r="95" spans="1:17" s="11" customFormat="1" ht="18.899999999999999" customHeight="1" x14ac:dyDescent="0.25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3"/>
        <v>999</v>
      </c>
      <c r="M95" s="288">
        <f t="shared" si="4"/>
        <v>999</v>
      </c>
      <c r="N95" s="283"/>
      <c r="O95" s="245"/>
      <c r="P95" s="116">
        <f t="shared" si="5"/>
        <v>999</v>
      </c>
      <c r="Q95" s="98"/>
    </row>
    <row r="96" spans="1:17" s="11" customFormat="1" ht="18.899999999999999" customHeight="1" x14ac:dyDescent="0.25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3"/>
        <v>999</v>
      </c>
      <c r="M96" s="288">
        <f t="shared" si="4"/>
        <v>999</v>
      </c>
      <c r="N96" s="283"/>
      <c r="O96" s="245"/>
      <c r="P96" s="116">
        <f t="shared" si="5"/>
        <v>999</v>
      </c>
      <c r="Q96" s="98"/>
    </row>
    <row r="97" spans="1:17" s="11" customFormat="1" ht="18.899999999999999" customHeight="1" x14ac:dyDescent="0.25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3"/>
        <v>999</v>
      </c>
      <c r="M97" s="288">
        <f t="shared" si="4"/>
        <v>999</v>
      </c>
      <c r="N97" s="283"/>
      <c r="O97" s="245"/>
      <c r="P97" s="116">
        <f t="shared" si="5"/>
        <v>999</v>
      </c>
      <c r="Q97" s="98"/>
    </row>
    <row r="98" spans="1:17" s="11" customFormat="1" ht="18.899999999999999" customHeight="1" x14ac:dyDescent="0.25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3"/>
        <v>999</v>
      </c>
      <c r="M98" s="288">
        <f t="shared" si="4"/>
        <v>999</v>
      </c>
      <c r="N98" s="283"/>
      <c r="O98" s="245"/>
      <c r="P98" s="116">
        <f t="shared" si="5"/>
        <v>999</v>
      </c>
      <c r="Q98" s="98"/>
    </row>
    <row r="99" spans="1:17" s="11" customFormat="1" ht="18.899999999999999" customHeight="1" x14ac:dyDescent="0.25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3"/>
        <v>999</v>
      </c>
      <c r="M99" s="288">
        <f t="shared" si="4"/>
        <v>999</v>
      </c>
      <c r="N99" s="283"/>
      <c r="O99" s="245"/>
      <c r="P99" s="116">
        <f t="shared" si="5"/>
        <v>999</v>
      </c>
      <c r="Q99" s="98"/>
    </row>
    <row r="100" spans="1:17" s="11" customFormat="1" ht="18.899999999999999" customHeight="1" x14ac:dyDescent="0.25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3"/>
        <v>999</v>
      </c>
      <c r="M100" s="288">
        <f t="shared" si="4"/>
        <v>999</v>
      </c>
      <c r="N100" s="283"/>
      <c r="O100" s="245"/>
      <c r="P100" s="116">
        <f t="shared" si="5"/>
        <v>999</v>
      </c>
      <c r="Q100" s="98"/>
    </row>
    <row r="101" spans="1:17" s="11" customFormat="1" ht="18.899999999999999" customHeight="1" x14ac:dyDescent="0.25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ref="L101:L134" si="6">IF(Q101="",999,Q101)</f>
        <v>999</v>
      </c>
      <c r="M101" s="288">
        <f t="shared" ref="M101:M134" si="7">IF(P101=999,999,1)</f>
        <v>999</v>
      </c>
      <c r="N101" s="283"/>
      <c r="O101" s="245"/>
      <c r="P101" s="116">
        <f t="shared" ref="P101:P134" si="8">IF(N101="DA",1,IF(N101="WC",2,IF(N101="SE",3,IF(N101="Q",4,IF(N101="LL",5,999)))))</f>
        <v>999</v>
      </c>
      <c r="Q101" s="98"/>
    </row>
    <row r="102" spans="1:17" s="11" customFormat="1" ht="18.899999999999999" customHeight="1" x14ac:dyDescent="0.25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6"/>
        <v>999</v>
      </c>
      <c r="M102" s="288">
        <f t="shared" si="7"/>
        <v>999</v>
      </c>
      <c r="N102" s="283"/>
      <c r="O102" s="245"/>
      <c r="P102" s="116">
        <f t="shared" si="8"/>
        <v>999</v>
      </c>
      <c r="Q102" s="98"/>
    </row>
    <row r="103" spans="1:17" s="11" customFormat="1" ht="18.899999999999999" customHeight="1" x14ac:dyDescent="0.25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6"/>
        <v>999</v>
      </c>
      <c r="M103" s="288">
        <f t="shared" si="7"/>
        <v>999</v>
      </c>
      <c r="N103" s="283"/>
      <c r="O103" s="245"/>
      <c r="P103" s="116">
        <f t="shared" si="8"/>
        <v>999</v>
      </c>
      <c r="Q103" s="98"/>
    </row>
    <row r="104" spans="1:17" s="11" customFormat="1" ht="18.899999999999999" customHeight="1" x14ac:dyDescent="0.25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si="6"/>
        <v>999</v>
      </c>
      <c r="M104" s="288">
        <f t="shared" si="7"/>
        <v>999</v>
      </c>
      <c r="N104" s="283"/>
      <c r="O104" s="245"/>
      <c r="P104" s="116">
        <f t="shared" si="8"/>
        <v>999</v>
      </c>
      <c r="Q104" s="98"/>
    </row>
    <row r="105" spans="1:17" s="11" customFormat="1" ht="18.899999999999999" customHeight="1" x14ac:dyDescent="0.25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6"/>
        <v>999</v>
      </c>
      <c r="M105" s="288">
        <f t="shared" si="7"/>
        <v>999</v>
      </c>
      <c r="N105" s="283"/>
      <c r="O105" s="245"/>
      <c r="P105" s="116">
        <f t="shared" si="8"/>
        <v>999</v>
      </c>
      <c r="Q105" s="98"/>
    </row>
    <row r="106" spans="1:17" s="11" customFormat="1" ht="18.899999999999999" customHeight="1" x14ac:dyDescent="0.25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6"/>
        <v>999</v>
      </c>
      <c r="M106" s="288">
        <f t="shared" si="7"/>
        <v>999</v>
      </c>
      <c r="N106" s="283"/>
      <c r="O106" s="245"/>
      <c r="P106" s="116">
        <f t="shared" si="8"/>
        <v>999</v>
      </c>
      <c r="Q106" s="98"/>
    </row>
    <row r="107" spans="1:17" s="11" customFormat="1" ht="18.899999999999999" customHeight="1" x14ac:dyDescent="0.25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6"/>
        <v>999</v>
      </c>
      <c r="M107" s="288">
        <f t="shared" si="7"/>
        <v>999</v>
      </c>
      <c r="N107" s="283"/>
      <c r="O107" s="245"/>
      <c r="P107" s="116">
        <f t="shared" si="8"/>
        <v>999</v>
      </c>
      <c r="Q107" s="98"/>
    </row>
    <row r="108" spans="1:17" s="11" customFormat="1" ht="18.899999999999999" customHeight="1" x14ac:dyDescent="0.25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6"/>
        <v>999</v>
      </c>
      <c r="M108" s="288">
        <f t="shared" si="7"/>
        <v>999</v>
      </c>
      <c r="N108" s="283"/>
      <c r="O108" s="245"/>
      <c r="P108" s="116">
        <f t="shared" si="8"/>
        <v>999</v>
      </c>
      <c r="Q108" s="98"/>
    </row>
    <row r="109" spans="1:17" s="11" customFormat="1" ht="18.899999999999999" customHeight="1" x14ac:dyDescent="0.25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6"/>
        <v>999</v>
      </c>
      <c r="M109" s="288">
        <f t="shared" si="7"/>
        <v>999</v>
      </c>
      <c r="N109" s="283"/>
      <c r="O109" s="245"/>
      <c r="P109" s="116">
        <f t="shared" si="8"/>
        <v>999</v>
      </c>
      <c r="Q109" s="98"/>
    </row>
    <row r="110" spans="1:17" s="11" customFormat="1" ht="18.899999999999999" customHeight="1" x14ac:dyDescent="0.25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6"/>
        <v>999</v>
      </c>
      <c r="M110" s="288">
        <f t="shared" si="7"/>
        <v>999</v>
      </c>
      <c r="N110" s="283"/>
      <c r="O110" s="245"/>
      <c r="P110" s="116">
        <f t="shared" si="8"/>
        <v>999</v>
      </c>
      <c r="Q110" s="98"/>
    </row>
    <row r="111" spans="1:17" s="11" customFormat="1" ht="18.899999999999999" customHeight="1" x14ac:dyDescent="0.25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6"/>
        <v>999</v>
      </c>
      <c r="M111" s="288">
        <f t="shared" si="7"/>
        <v>999</v>
      </c>
      <c r="N111" s="283"/>
      <c r="O111" s="245"/>
      <c r="P111" s="116">
        <f t="shared" si="8"/>
        <v>999</v>
      </c>
      <c r="Q111" s="98"/>
    </row>
    <row r="112" spans="1:17" s="11" customFormat="1" ht="18.899999999999999" customHeight="1" x14ac:dyDescent="0.25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6"/>
        <v>999</v>
      </c>
      <c r="M112" s="288">
        <f t="shared" si="7"/>
        <v>999</v>
      </c>
      <c r="N112" s="283"/>
      <c r="O112" s="245"/>
      <c r="P112" s="116">
        <f t="shared" si="8"/>
        <v>999</v>
      </c>
      <c r="Q112" s="98"/>
    </row>
    <row r="113" spans="1:17" s="11" customFormat="1" ht="18.899999999999999" customHeight="1" x14ac:dyDescent="0.25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6"/>
        <v>999</v>
      </c>
      <c r="M113" s="288">
        <f t="shared" si="7"/>
        <v>999</v>
      </c>
      <c r="N113" s="283"/>
      <c r="O113" s="245"/>
      <c r="P113" s="116">
        <f t="shared" si="8"/>
        <v>999</v>
      </c>
      <c r="Q113" s="98"/>
    </row>
    <row r="114" spans="1:17" s="11" customFormat="1" ht="18.899999999999999" customHeight="1" x14ac:dyDescent="0.25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6"/>
        <v>999</v>
      </c>
      <c r="M114" s="288">
        <f t="shared" si="7"/>
        <v>999</v>
      </c>
      <c r="N114" s="283"/>
      <c r="O114" s="245"/>
      <c r="P114" s="116">
        <f t="shared" si="8"/>
        <v>999</v>
      </c>
      <c r="Q114" s="98"/>
    </row>
    <row r="115" spans="1:17" s="11" customFormat="1" ht="18.899999999999999" customHeight="1" x14ac:dyDescent="0.25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6"/>
        <v>999</v>
      </c>
      <c r="M115" s="288">
        <f t="shared" si="7"/>
        <v>999</v>
      </c>
      <c r="N115" s="283"/>
      <c r="O115" s="245"/>
      <c r="P115" s="116">
        <f t="shared" si="8"/>
        <v>999</v>
      </c>
      <c r="Q115" s="98"/>
    </row>
    <row r="116" spans="1:17" s="11" customFormat="1" ht="18.899999999999999" customHeight="1" x14ac:dyDescent="0.25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6"/>
        <v>999</v>
      </c>
      <c r="M116" s="288">
        <f t="shared" si="7"/>
        <v>999</v>
      </c>
      <c r="N116" s="283"/>
      <c r="O116" s="245"/>
      <c r="P116" s="116">
        <f t="shared" si="8"/>
        <v>999</v>
      </c>
      <c r="Q116" s="98"/>
    </row>
    <row r="117" spans="1:17" s="11" customFormat="1" ht="18.899999999999999" customHeight="1" x14ac:dyDescent="0.25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6"/>
        <v>999</v>
      </c>
      <c r="M117" s="288">
        <f t="shared" si="7"/>
        <v>999</v>
      </c>
      <c r="N117" s="283"/>
      <c r="O117" s="245"/>
      <c r="P117" s="116">
        <f t="shared" si="8"/>
        <v>999</v>
      </c>
      <c r="Q117" s="98"/>
    </row>
    <row r="118" spans="1:17" s="11" customFormat="1" ht="18.899999999999999" customHeight="1" x14ac:dyDescent="0.25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6"/>
        <v>999</v>
      </c>
      <c r="M118" s="288">
        <f t="shared" si="7"/>
        <v>999</v>
      </c>
      <c r="N118" s="283"/>
      <c r="O118" s="245"/>
      <c r="P118" s="116">
        <f t="shared" si="8"/>
        <v>999</v>
      </c>
      <c r="Q118" s="98"/>
    </row>
    <row r="119" spans="1:17" s="11" customFormat="1" ht="18.899999999999999" customHeight="1" x14ac:dyDescent="0.25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6"/>
        <v>999</v>
      </c>
      <c r="M119" s="288">
        <f t="shared" si="7"/>
        <v>999</v>
      </c>
      <c r="N119" s="283"/>
      <c r="O119" s="245"/>
      <c r="P119" s="116">
        <f t="shared" si="8"/>
        <v>999</v>
      </c>
      <c r="Q119" s="98"/>
    </row>
    <row r="120" spans="1:17" s="11" customFormat="1" ht="18.899999999999999" customHeight="1" x14ac:dyDescent="0.25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6"/>
        <v>999</v>
      </c>
      <c r="M120" s="288">
        <f t="shared" si="7"/>
        <v>999</v>
      </c>
      <c r="N120" s="283"/>
      <c r="O120" s="245"/>
      <c r="P120" s="116">
        <f t="shared" si="8"/>
        <v>999</v>
      </c>
      <c r="Q120" s="98"/>
    </row>
    <row r="121" spans="1:17" s="11" customFormat="1" ht="18.899999999999999" customHeight="1" x14ac:dyDescent="0.25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6"/>
        <v>999</v>
      </c>
      <c r="M121" s="288">
        <f t="shared" si="7"/>
        <v>999</v>
      </c>
      <c r="N121" s="283"/>
      <c r="O121" s="245"/>
      <c r="P121" s="116">
        <f t="shared" si="8"/>
        <v>999</v>
      </c>
      <c r="Q121" s="98"/>
    </row>
    <row r="122" spans="1:17" s="11" customFormat="1" ht="18.899999999999999" customHeight="1" x14ac:dyDescent="0.25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6"/>
        <v>999</v>
      </c>
      <c r="M122" s="288">
        <f t="shared" si="7"/>
        <v>999</v>
      </c>
      <c r="N122" s="283"/>
      <c r="O122" s="245"/>
      <c r="P122" s="116">
        <f t="shared" si="8"/>
        <v>999</v>
      </c>
      <c r="Q122" s="98"/>
    </row>
    <row r="123" spans="1:17" s="11" customFormat="1" ht="18.899999999999999" customHeight="1" x14ac:dyDescent="0.25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6"/>
        <v>999</v>
      </c>
      <c r="M123" s="288">
        <f t="shared" si="7"/>
        <v>999</v>
      </c>
      <c r="N123" s="283"/>
      <c r="O123" s="245"/>
      <c r="P123" s="116">
        <f t="shared" si="8"/>
        <v>999</v>
      </c>
      <c r="Q123" s="98"/>
    </row>
    <row r="124" spans="1:17" s="11" customFormat="1" ht="18.899999999999999" customHeight="1" x14ac:dyDescent="0.25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6"/>
        <v>999</v>
      </c>
      <c r="M124" s="288">
        <f t="shared" si="7"/>
        <v>999</v>
      </c>
      <c r="N124" s="283"/>
      <c r="O124" s="245"/>
      <c r="P124" s="116">
        <f t="shared" si="8"/>
        <v>999</v>
      </c>
      <c r="Q124" s="98"/>
    </row>
    <row r="125" spans="1:17" s="11" customFormat="1" ht="18.899999999999999" customHeight="1" x14ac:dyDescent="0.25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6"/>
        <v>999</v>
      </c>
      <c r="M125" s="288">
        <f t="shared" si="7"/>
        <v>999</v>
      </c>
      <c r="N125" s="283"/>
      <c r="O125" s="245"/>
      <c r="P125" s="116">
        <f t="shared" si="8"/>
        <v>999</v>
      </c>
      <c r="Q125" s="98"/>
    </row>
    <row r="126" spans="1:17" s="11" customFormat="1" ht="18.899999999999999" customHeight="1" x14ac:dyDescent="0.25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6"/>
        <v>999</v>
      </c>
      <c r="M126" s="288">
        <f t="shared" si="7"/>
        <v>999</v>
      </c>
      <c r="N126" s="283"/>
      <c r="O126" s="245"/>
      <c r="P126" s="116">
        <f t="shared" si="8"/>
        <v>999</v>
      </c>
      <c r="Q126" s="98"/>
    </row>
    <row r="127" spans="1:17" s="11" customFormat="1" ht="18.899999999999999" customHeight="1" x14ac:dyDescent="0.25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6"/>
        <v>999</v>
      </c>
      <c r="M127" s="288">
        <f t="shared" si="7"/>
        <v>999</v>
      </c>
      <c r="N127" s="283"/>
      <c r="O127" s="245"/>
      <c r="P127" s="116">
        <f t="shared" si="8"/>
        <v>999</v>
      </c>
      <c r="Q127" s="98"/>
    </row>
    <row r="128" spans="1:17" s="11" customFormat="1" ht="18.899999999999999" customHeight="1" x14ac:dyDescent="0.25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6"/>
        <v>999</v>
      </c>
      <c r="M128" s="288">
        <f t="shared" si="7"/>
        <v>999</v>
      </c>
      <c r="N128" s="283"/>
      <c r="O128" s="245"/>
      <c r="P128" s="116">
        <f t="shared" si="8"/>
        <v>999</v>
      </c>
      <c r="Q128" s="98"/>
    </row>
    <row r="129" spans="1:17" s="11" customFormat="1" ht="18.899999999999999" customHeight="1" x14ac:dyDescent="0.25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6"/>
        <v>999</v>
      </c>
      <c r="M129" s="288">
        <f t="shared" si="7"/>
        <v>999</v>
      </c>
      <c r="N129" s="283"/>
      <c r="O129" s="245"/>
      <c r="P129" s="116">
        <f t="shared" si="8"/>
        <v>999</v>
      </c>
      <c r="Q129" s="98"/>
    </row>
    <row r="130" spans="1:17" s="11" customFormat="1" ht="18.899999999999999" customHeight="1" x14ac:dyDescent="0.25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6"/>
        <v>999</v>
      </c>
      <c r="M130" s="288">
        <f t="shared" si="7"/>
        <v>999</v>
      </c>
      <c r="N130" s="283"/>
      <c r="O130" s="245"/>
      <c r="P130" s="116">
        <f t="shared" si="8"/>
        <v>999</v>
      </c>
      <c r="Q130" s="98"/>
    </row>
    <row r="131" spans="1:17" s="11" customFormat="1" ht="18.899999999999999" customHeight="1" x14ac:dyDescent="0.25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6"/>
        <v>999</v>
      </c>
      <c r="M131" s="288">
        <f t="shared" si="7"/>
        <v>999</v>
      </c>
      <c r="N131" s="283"/>
      <c r="O131" s="245"/>
      <c r="P131" s="116">
        <f t="shared" si="8"/>
        <v>999</v>
      </c>
      <c r="Q131" s="98"/>
    </row>
    <row r="132" spans="1:17" s="11" customFormat="1" ht="18.899999999999999" customHeight="1" x14ac:dyDescent="0.25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6"/>
        <v>999</v>
      </c>
      <c r="M132" s="288">
        <f t="shared" si="7"/>
        <v>999</v>
      </c>
      <c r="N132" s="283"/>
      <c r="O132" s="245"/>
      <c r="P132" s="116">
        <f t="shared" si="8"/>
        <v>999</v>
      </c>
      <c r="Q132" s="98"/>
    </row>
    <row r="133" spans="1:17" s="11" customFormat="1" ht="18.899999999999999" customHeight="1" x14ac:dyDescent="0.25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6"/>
        <v>999</v>
      </c>
      <c r="M133" s="288">
        <f t="shared" si="7"/>
        <v>999</v>
      </c>
      <c r="N133" s="283"/>
      <c r="O133" s="245"/>
      <c r="P133" s="116">
        <f t="shared" si="8"/>
        <v>999</v>
      </c>
      <c r="Q133" s="98"/>
    </row>
    <row r="134" spans="1:17" s="11" customFormat="1" ht="18.899999999999999" customHeight="1" x14ac:dyDescent="0.25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6"/>
        <v>999</v>
      </c>
      <c r="M134" s="288">
        <f t="shared" si="7"/>
        <v>999</v>
      </c>
      <c r="N134" s="283"/>
      <c r="O134" s="289"/>
      <c r="P134" s="290">
        <f t="shared" si="8"/>
        <v>999</v>
      </c>
      <c r="Q134" s="291"/>
    </row>
    <row r="135" spans="1:17" x14ac:dyDescent="0.25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ref="L135:L156" si="9">IF(Q135="",999,Q135)</f>
        <v>999</v>
      </c>
      <c r="M135" s="288">
        <f t="shared" ref="M135:M156" si="10">IF(P135=999,999,1)</f>
        <v>999</v>
      </c>
      <c r="N135" s="283"/>
      <c r="O135" s="245"/>
      <c r="P135" s="116">
        <f t="shared" ref="P135:P156" si="11">IF(N135="DA",1,IF(N135="WC",2,IF(N135="SE",3,IF(N135="Q",4,IF(N135="LL",5,999)))))</f>
        <v>999</v>
      </c>
      <c r="Q135" s="98"/>
    </row>
    <row r="136" spans="1:17" x14ac:dyDescent="0.25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9"/>
        <v>999</v>
      </c>
      <c r="M136" s="288">
        <f t="shared" si="10"/>
        <v>999</v>
      </c>
      <c r="N136" s="283"/>
      <c r="O136" s="245"/>
      <c r="P136" s="116">
        <f t="shared" si="11"/>
        <v>999</v>
      </c>
      <c r="Q136" s="98"/>
    </row>
    <row r="137" spans="1:17" x14ac:dyDescent="0.25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9"/>
        <v>999</v>
      </c>
      <c r="M137" s="288">
        <f t="shared" si="10"/>
        <v>999</v>
      </c>
      <c r="N137" s="283"/>
      <c r="O137" s="245"/>
      <c r="P137" s="116">
        <f t="shared" si="11"/>
        <v>999</v>
      </c>
      <c r="Q137" s="98"/>
    </row>
    <row r="138" spans="1:17" x14ac:dyDescent="0.25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9"/>
        <v>999</v>
      </c>
      <c r="M138" s="288">
        <f t="shared" si="10"/>
        <v>999</v>
      </c>
      <c r="N138" s="283"/>
      <c r="O138" s="245"/>
      <c r="P138" s="116">
        <f t="shared" si="11"/>
        <v>999</v>
      </c>
      <c r="Q138" s="98"/>
    </row>
    <row r="139" spans="1:17" x14ac:dyDescent="0.25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9"/>
        <v>999</v>
      </c>
      <c r="M139" s="288">
        <f t="shared" si="10"/>
        <v>999</v>
      </c>
      <c r="N139" s="283"/>
      <c r="O139" s="245"/>
      <c r="P139" s="116">
        <f t="shared" si="11"/>
        <v>999</v>
      </c>
      <c r="Q139" s="98"/>
    </row>
    <row r="140" spans="1:17" x14ac:dyDescent="0.25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9"/>
        <v>999</v>
      </c>
      <c r="M140" s="288">
        <f t="shared" si="10"/>
        <v>999</v>
      </c>
      <c r="N140" s="283"/>
      <c r="O140" s="245"/>
      <c r="P140" s="116">
        <f t="shared" si="11"/>
        <v>999</v>
      </c>
      <c r="Q140" s="98"/>
    </row>
    <row r="141" spans="1:17" x14ac:dyDescent="0.25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9"/>
        <v>999</v>
      </c>
      <c r="M141" s="288">
        <f t="shared" si="10"/>
        <v>999</v>
      </c>
      <c r="N141" s="283"/>
      <c r="O141" s="289"/>
      <c r="P141" s="290">
        <f t="shared" si="11"/>
        <v>999</v>
      </c>
      <c r="Q141" s="291"/>
    </row>
    <row r="142" spans="1:17" x14ac:dyDescent="0.25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9"/>
        <v>999</v>
      </c>
      <c r="M142" s="288">
        <f t="shared" si="10"/>
        <v>999</v>
      </c>
      <c r="N142" s="283"/>
      <c r="O142" s="245"/>
      <c r="P142" s="116">
        <f t="shared" si="11"/>
        <v>999</v>
      </c>
      <c r="Q142" s="98"/>
    </row>
    <row r="143" spans="1:17" x14ac:dyDescent="0.25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9"/>
        <v>999</v>
      </c>
      <c r="M143" s="288">
        <f t="shared" si="10"/>
        <v>999</v>
      </c>
      <c r="N143" s="283"/>
      <c r="O143" s="245"/>
      <c r="P143" s="116">
        <f t="shared" si="11"/>
        <v>999</v>
      </c>
      <c r="Q143" s="98"/>
    </row>
    <row r="144" spans="1:17" x14ac:dyDescent="0.25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9"/>
        <v>999</v>
      </c>
      <c r="M144" s="288">
        <f t="shared" si="10"/>
        <v>999</v>
      </c>
      <c r="N144" s="283"/>
      <c r="O144" s="245"/>
      <c r="P144" s="116">
        <f t="shared" si="11"/>
        <v>999</v>
      </c>
      <c r="Q144" s="98"/>
    </row>
    <row r="145" spans="1:17" x14ac:dyDescent="0.25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9"/>
        <v>999</v>
      </c>
      <c r="M145" s="288">
        <f t="shared" si="10"/>
        <v>999</v>
      </c>
      <c r="N145" s="283"/>
      <c r="O145" s="245"/>
      <c r="P145" s="116">
        <f t="shared" si="11"/>
        <v>999</v>
      </c>
      <c r="Q145" s="98"/>
    </row>
    <row r="146" spans="1:17" x14ac:dyDescent="0.25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9"/>
        <v>999</v>
      </c>
      <c r="M146" s="288">
        <f t="shared" si="10"/>
        <v>999</v>
      </c>
      <c r="N146" s="283"/>
      <c r="O146" s="245"/>
      <c r="P146" s="116">
        <f t="shared" si="11"/>
        <v>999</v>
      </c>
      <c r="Q146" s="98"/>
    </row>
    <row r="147" spans="1:17" x14ac:dyDescent="0.25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9"/>
        <v>999</v>
      </c>
      <c r="M147" s="288">
        <f t="shared" si="10"/>
        <v>999</v>
      </c>
      <c r="N147" s="283"/>
      <c r="O147" s="245"/>
      <c r="P147" s="116">
        <f t="shared" si="11"/>
        <v>999</v>
      </c>
      <c r="Q147" s="98"/>
    </row>
    <row r="148" spans="1:17" x14ac:dyDescent="0.25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9"/>
        <v>999</v>
      </c>
      <c r="M148" s="288">
        <f t="shared" si="10"/>
        <v>999</v>
      </c>
      <c r="N148" s="283"/>
      <c r="O148" s="289"/>
      <c r="P148" s="290">
        <f t="shared" si="11"/>
        <v>999</v>
      </c>
      <c r="Q148" s="291"/>
    </row>
    <row r="149" spans="1:17" x14ac:dyDescent="0.25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9"/>
        <v>999</v>
      </c>
      <c r="M149" s="288">
        <f t="shared" si="10"/>
        <v>999</v>
      </c>
      <c r="N149" s="283"/>
      <c r="O149" s="245"/>
      <c r="P149" s="116">
        <f t="shared" si="11"/>
        <v>999</v>
      </c>
      <c r="Q149" s="98"/>
    </row>
    <row r="150" spans="1:17" x14ac:dyDescent="0.25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9"/>
        <v>999</v>
      </c>
      <c r="M150" s="288">
        <f t="shared" si="10"/>
        <v>999</v>
      </c>
      <c r="N150" s="283"/>
      <c r="O150" s="245"/>
      <c r="P150" s="116">
        <f t="shared" si="11"/>
        <v>999</v>
      </c>
      <c r="Q150" s="98"/>
    </row>
    <row r="151" spans="1:17" x14ac:dyDescent="0.25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9"/>
        <v>999</v>
      </c>
      <c r="M151" s="288">
        <f t="shared" si="10"/>
        <v>999</v>
      </c>
      <c r="N151" s="283"/>
      <c r="O151" s="245"/>
      <c r="P151" s="116">
        <f t="shared" si="11"/>
        <v>999</v>
      </c>
      <c r="Q151" s="98"/>
    </row>
    <row r="152" spans="1:17" x14ac:dyDescent="0.25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9"/>
        <v>999</v>
      </c>
      <c r="M152" s="288">
        <f t="shared" si="10"/>
        <v>999</v>
      </c>
      <c r="N152" s="283"/>
      <c r="O152" s="245"/>
      <c r="P152" s="116">
        <f t="shared" si="11"/>
        <v>999</v>
      </c>
      <c r="Q152" s="98"/>
    </row>
    <row r="153" spans="1:17" x14ac:dyDescent="0.25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9"/>
        <v>999</v>
      </c>
      <c r="M153" s="288">
        <f t="shared" si="10"/>
        <v>999</v>
      </c>
      <c r="N153" s="283"/>
      <c r="O153" s="245"/>
      <c r="P153" s="116">
        <f t="shared" si="11"/>
        <v>999</v>
      </c>
      <c r="Q153" s="98"/>
    </row>
    <row r="154" spans="1:17" x14ac:dyDescent="0.25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9"/>
        <v>999</v>
      </c>
      <c r="M154" s="288">
        <f t="shared" si="10"/>
        <v>999</v>
      </c>
      <c r="N154" s="283"/>
      <c r="O154" s="245"/>
      <c r="P154" s="116">
        <f t="shared" si="11"/>
        <v>999</v>
      </c>
      <c r="Q154" s="98"/>
    </row>
    <row r="155" spans="1:17" x14ac:dyDescent="0.25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9"/>
        <v>999</v>
      </c>
      <c r="M155" s="288">
        <f t="shared" si="10"/>
        <v>999</v>
      </c>
      <c r="N155" s="283"/>
      <c r="O155" s="245"/>
      <c r="P155" s="116">
        <f t="shared" si="11"/>
        <v>999</v>
      </c>
      <c r="Q155" s="98"/>
    </row>
    <row r="156" spans="1:17" x14ac:dyDescent="0.25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9"/>
        <v>999</v>
      </c>
      <c r="M156" s="288">
        <f t="shared" si="10"/>
        <v>999</v>
      </c>
      <c r="N156" s="283"/>
      <c r="O156" s="245"/>
      <c r="P156" s="116">
        <f t="shared" si="11"/>
        <v>999</v>
      </c>
      <c r="Q156" s="98"/>
    </row>
  </sheetData>
  <phoneticPr fontId="62" type="noConversion"/>
  <conditionalFormatting sqref="E7:E156">
    <cfRule type="expression" dxfId="174" priority="14" stopIfTrue="1">
      <formula>AND(ROUNDDOWN(($A$4-E7)/365.25,0)&lt;=13,G7&lt;&gt;"OK")</formula>
    </cfRule>
    <cfRule type="expression" dxfId="173" priority="15" stopIfTrue="1">
      <formula>AND(ROUNDDOWN(($A$4-E7)/365.25,0)&lt;=14,G7&lt;&gt;"OK")</formula>
    </cfRule>
    <cfRule type="expression" dxfId="172" priority="16" stopIfTrue="1">
      <formula>AND(ROUNDDOWN(($A$4-E7)/365.25,0)&lt;=17,G7&lt;&gt;"OK")</formula>
    </cfRule>
  </conditionalFormatting>
  <conditionalFormatting sqref="J7:J156">
    <cfRule type="cellIs" dxfId="171" priority="17" stopIfTrue="1" operator="equal">
      <formula>"Z"</formula>
    </cfRule>
  </conditionalFormatting>
  <conditionalFormatting sqref="A7:D156">
    <cfRule type="expression" dxfId="170" priority="18" stopIfTrue="1">
      <formula>$Q7&gt;=1</formula>
    </cfRule>
  </conditionalFormatting>
  <conditionalFormatting sqref="E7:E14">
    <cfRule type="expression" dxfId="169" priority="11" stopIfTrue="1">
      <formula>AND(ROUNDDOWN(($A$4-E7)/365.25,0)&lt;=13,G7&lt;&gt;"OK")</formula>
    </cfRule>
    <cfRule type="expression" dxfId="168" priority="12" stopIfTrue="1">
      <formula>AND(ROUNDDOWN(($A$4-E7)/365.25,0)&lt;=14,G7&lt;&gt;"OK")</formula>
    </cfRule>
    <cfRule type="expression" dxfId="167" priority="13" stopIfTrue="1">
      <formula>AND(ROUNDDOWN(($A$4-E7)/365.25,0)&lt;=17,G7&lt;&gt;"OK")</formula>
    </cfRule>
  </conditionalFormatting>
  <conditionalFormatting sqref="J7:J14">
    <cfRule type="cellIs" dxfId="166" priority="10" stopIfTrue="1" operator="equal">
      <formula>"Z"</formula>
    </cfRule>
  </conditionalFormatting>
  <conditionalFormatting sqref="B7:D14">
    <cfRule type="expression" dxfId="165" priority="9" stopIfTrue="1">
      <formula>$Q7&gt;=1</formula>
    </cfRule>
  </conditionalFormatting>
  <conditionalFormatting sqref="E7:E14">
    <cfRule type="expression" dxfId="164" priority="6" stopIfTrue="1">
      <formula>AND(ROUNDDOWN(($A$4-E7)/365.25,0)&lt;=13,G7&lt;&gt;"OK")</formula>
    </cfRule>
    <cfRule type="expression" dxfId="163" priority="7" stopIfTrue="1">
      <formula>AND(ROUNDDOWN(($A$4-E7)/365.25,0)&lt;=14,G7&lt;&gt;"OK")</formula>
    </cfRule>
    <cfRule type="expression" dxfId="162" priority="8" stopIfTrue="1">
      <formula>AND(ROUNDDOWN(($A$4-E7)/365.25,0)&lt;=17,G7&lt;&gt;"OK")</formula>
    </cfRule>
  </conditionalFormatting>
  <conditionalFormatting sqref="B7:D14">
    <cfRule type="expression" dxfId="161" priority="5" stopIfTrue="1">
      <formula>$Q7&gt;=1</formula>
    </cfRule>
  </conditionalFormatting>
  <conditionalFormatting sqref="E29:E37 E7:E27">
    <cfRule type="expression" dxfId="160" priority="2" stopIfTrue="1">
      <formula>AND(ROUNDDOWN(($A$4-E7)/365.25,0)&lt;=13,G7&lt;&gt;"OK")</formula>
    </cfRule>
    <cfRule type="expression" dxfId="159" priority="3" stopIfTrue="1">
      <formula>AND(ROUNDDOWN(($A$4-E7)/365.25,0)&lt;=14,G7&lt;&gt;"OK")</formula>
    </cfRule>
    <cfRule type="expression" dxfId="158" priority="4" stopIfTrue="1">
      <formula>AND(ROUNDDOWN(($A$4-E7)/365.25,0)&lt;=17,G7&lt;&gt;"OK")</formula>
    </cfRule>
  </conditionalFormatting>
  <conditionalFormatting sqref="B7:D37">
    <cfRule type="expression" dxfId="157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2A9F-4F3B-450B-9050-7C2FC68347DF}">
  <sheetPr codeName="Munka6">
    <tabColor indexed="11"/>
  </sheetPr>
  <dimension ref="A1:AS140"/>
  <sheetViews>
    <sheetView tabSelected="1" workbookViewId="0">
      <selection activeCell="O1" sqref="O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7" customWidth="1"/>
    <col min="11" max="11" width="10.6640625" customWidth="1"/>
    <col min="12" max="12" width="1.6640625" style="117" customWidth="1"/>
    <col min="13" max="13" width="10.6640625" customWidth="1"/>
    <col min="14" max="14" width="1.6640625" style="118" customWidth="1"/>
    <col min="15" max="15" width="10.6640625" customWidth="1"/>
    <col min="16" max="16" width="1.6640625" style="117" customWidth="1"/>
    <col min="17" max="17" width="10.6640625" customWidth="1"/>
    <col min="18" max="18" width="1.6640625" style="118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95" customWidth="1"/>
  </cols>
  <sheetData>
    <row r="1" spans="1:45" s="119" customFormat="1" ht="21.75" customHeight="1" x14ac:dyDescent="0.25">
      <c r="A1" s="297" t="str">
        <f>Altalanos!$A$6</f>
        <v>Budapest Bajnokság</v>
      </c>
      <c r="B1" s="297"/>
      <c r="C1" s="298"/>
      <c r="D1" s="298"/>
      <c r="E1" s="298"/>
      <c r="F1" s="298"/>
      <c r="G1" s="298"/>
      <c r="H1" s="297"/>
      <c r="I1" s="299"/>
      <c r="J1" s="300"/>
      <c r="K1" s="301" t="s">
        <v>52</v>
      </c>
      <c r="L1" s="302"/>
      <c r="M1" s="303"/>
      <c r="N1" s="300"/>
      <c r="O1" s="300" t="s">
        <v>14</v>
      </c>
      <c r="P1" s="300"/>
      <c r="Q1" s="298"/>
      <c r="R1" s="300"/>
      <c r="T1" s="349"/>
      <c r="U1" s="349"/>
      <c r="V1" s="349"/>
      <c r="W1" s="349"/>
      <c r="X1" s="349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92"/>
      <c r="AJ1" s="392"/>
      <c r="AK1" s="392"/>
    </row>
    <row r="2" spans="1:45" s="99" customFormat="1" x14ac:dyDescent="0.25">
      <c r="A2" s="304" t="s">
        <v>51</v>
      </c>
      <c r="B2" s="305"/>
      <c r="C2" s="305"/>
      <c r="D2" s="305"/>
      <c r="E2" s="305" t="str">
        <f>Altalanos!$A$8</f>
        <v>F12 csapat</v>
      </c>
      <c r="F2" s="305"/>
      <c r="G2" s="306"/>
      <c r="H2" s="307"/>
      <c r="I2" s="307"/>
      <c r="J2" s="308"/>
      <c r="K2" s="302"/>
      <c r="L2" s="302"/>
      <c r="M2" s="302"/>
      <c r="N2" s="308"/>
      <c r="O2" s="307"/>
      <c r="P2" s="308"/>
      <c r="Q2" s="307"/>
      <c r="R2" s="308"/>
      <c r="T2" s="342"/>
      <c r="U2" s="342"/>
      <c r="V2" s="342"/>
      <c r="W2" s="342"/>
      <c r="X2" s="342"/>
      <c r="Y2" s="376"/>
      <c r="Z2" s="375"/>
      <c r="AA2" s="375" t="s">
        <v>64</v>
      </c>
      <c r="AB2" s="384">
        <v>300</v>
      </c>
      <c r="AC2" s="384">
        <v>250</v>
      </c>
      <c r="AD2" s="384">
        <v>200</v>
      </c>
      <c r="AE2" s="384">
        <v>150</v>
      </c>
      <c r="AF2" s="384">
        <v>120</v>
      </c>
      <c r="AG2" s="384">
        <v>90</v>
      </c>
      <c r="AH2" s="384">
        <v>40</v>
      </c>
      <c r="AI2" s="371"/>
      <c r="AJ2" s="371"/>
      <c r="AK2" s="371"/>
      <c r="AL2" s="342"/>
      <c r="AM2" s="342"/>
      <c r="AN2" s="342"/>
      <c r="AO2" s="342"/>
      <c r="AP2" s="342"/>
      <c r="AQ2" s="342"/>
      <c r="AR2" s="342"/>
      <c r="AS2" s="342"/>
    </row>
    <row r="3" spans="1:45" s="19" customFormat="1" ht="11.25" customHeight="1" x14ac:dyDescent="0.25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T3" s="343"/>
      <c r="U3" s="343"/>
      <c r="V3" s="343"/>
      <c r="W3" s="343"/>
      <c r="X3" s="343"/>
      <c r="Y3" s="375" t="str">
        <f>IF(K4="OB","A",IF(K4="IX","W",IF(K4="","",K4)))</f>
        <v/>
      </c>
      <c r="Z3" s="375"/>
      <c r="AA3" s="375" t="s">
        <v>65</v>
      </c>
      <c r="AB3" s="384">
        <v>280</v>
      </c>
      <c r="AC3" s="384">
        <v>230</v>
      </c>
      <c r="AD3" s="384">
        <v>180</v>
      </c>
      <c r="AE3" s="384">
        <v>140</v>
      </c>
      <c r="AF3" s="384">
        <v>80</v>
      </c>
      <c r="AG3" s="384">
        <v>0</v>
      </c>
      <c r="AH3" s="384">
        <v>0</v>
      </c>
      <c r="AI3" s="371"/>
      <c r="AJ3" s="371"/>
      <c r="AK3" s="371"/>
      <c r="AL3" s="343"/>
      <c r="AM3" s="343"/>
      <c r="AN3" s="343"/>
      <c r="AO3" s="343"/>
      <c r="AP3" s="343"/>
      <c r="AQ3" s="343"/>
      <c r="AR3" s="343"/>
      <c r="AS3" s="343"/>
    </row>
    <row r="4" spans="1:45" s="28" customFormat="1" ht="11.25" customHeight="1" thickBot="1" x14ac:dyDescent="0.3">
      <c r="A4" s="441" t="str">
        <f>Altalanos!$A$10</f>
        <v>2025.06.19-29.</v>
      </c>
      <c r="B4" s="441"/>
      <c r="C4" s="441"/>
      <c r="D4" s="309"/>
      <c r="E4" s="310"/>
      <c r="F4" s="310"/>
      <c r="G4" s="310" t="str">
        <f>Altalanos!$C$10</f>
        <v>Budapest</v>
      </c>
      <c r="H4" s="311"/>
      <c r="I4" s="310"/>
      <c r="J4" s="312"/>
      <c r="K4" s="313"/>
      <c r="L4" s="312"/>
      <c r="M4" s="314"/>
      <c r="N4" s="312"/>
      <c r="O4" s="310"/>
      <c r="P4" s="312"/>
      <c r="Q4" s="310"/>
      <c r="R4" s="315" t="str">
        <f>Altalanos!$E$10</f>
        <v>Rákóczi Andrea</v>
      </c>
      <c r="T4" s="344"/>
      <c r="U4" s="344"/>
      <c r="V4" s="344"/>
      <c r="W4" s="344"/>
      <c r="X4" s="344"/>
      <c r="Y4" s="375"/>
      <c r="Z4" s="375"/>
      <c r="AA4" s="375" t="s">
        <v>66</v>
      </c>
      <c r="AB4" s="384">
        <v>250</v>
      </c>
      <c r="AC4" s="384">
        <v>200</v>
      </c>
      <c r="AD4" s="384">
        <v>150</v>
      </c>
      <c r="AE4" s="384">
        <v>120</v>
      </c>
      <c r="AF4" s="384">
        <v>90</v>
      </c>
      <c r="AG4" s="384">
        <v>60</v>
      </c>
      <c r="AH4" s="384">
        <v>25</v>
      </c>
      <c r="AI4" s="371"/>
      <c r="AJ4" s="371"/>
      <c r="AK4" s="371"/>
      <c r="AL4" s="344"/>
      <c r="AM4" s="344"/>
      <c r="AN4" s="344"/>
      <c r="AO4" s="344"/>
      <c r="AP4" s="344"/>
      <c r="AQ4" s="344"/>
      <c r="AR4" s="344"/>
      <c r="AS4" s="344"/>
    </row>
    <row r="5" spans="1:45" s="19" customFormat="1" x14ac:dyDescent="0.25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58</v>
      </c>
      <c r="N5" s="132"/>
      <c r="O5" s="130" t="s">
        <v>57</v>
      </c>
      <c r="P5" s="132"/>
      <c r="Q5" s="130"/>
      <c r="R5" s="133"/>
      <c r="T5" s="343"/>
      <c r="U5" s="343"/>
      <c r="V5" s="343"/>
      <c r="W5" s="343"/>
      <c r="X5" s="343"/>
      <c r="Y5" s="375">
        <f>IF(OR(Altalanos!$A$8="F1",Altalanos!$A$8="F2",Altalanos!$A$8="N1",Altalanos!$A$8="N2"),1,2)</f>
        <v>2</v>
      </c>
      <c r="Z5" s="375"/>
      <c r="AA5" s="375" t="s">
        <v>67</v>
      </c>
      <c r="AB5" s="384">
        <v>200</v>
      </c>
      <c r="AC5" s="384">
        <v>150</v>
      </c>
      <c r="AD5" s="384">
        <v>120</v>
      </c>
      <c r="AE5" s="384">
        <v>90</v>
      </c>
      <c r="AF5" s="384">
        <v>60</v>
      </c>
      <c r="AG5" s="384">
        <v>40</v>
      </c>
      <c r="AH5" s="384">
        <v>15</v>
      </c>
      <c r="AI5" s="371"/>
      <c r="AJ5" s="371"/>
      <c r="AK5" s="371"/>
      <c r="AL5" s="343"/>
      <c r="AM5" s="343"/>
      <c r="AN5" s="343"/>
      <c r="AO5" s="343"/>
      <c r="AP5" s="343"/>
      <c r="AQ5" s="343"/>
      <c r="AR5" s="343"/>
      <c r="AS5" s="343"/>
    </row>
    <row r="6" spans="1:45" s="19" customFormat="1" ht="11.1" customHeight="1" thickBot="1" x14ac:dyDescent="0.3">
      <c r="A6" s="378"/>
      <c r="B6" s="379"/>
      <c r="C6" s="379"/>
      <c r="D6" s="379"/>
      <c r="E6" s="379"/>
      <c r="F6" s="378" t="str">
        <f>IF(Y3="","",CONCATENATE(VLOOKUP(Y3,AB1:AH1,4)," pont"))</f>
        <v/>
      </c>
      <c r="G6" s="380"/>
      <c r="H6" s="381"/>
      <c r="I6" s="380"/>
      <c r="J6" s="382"/>
      <c r="K6" s="379" t="str">
        <f>IF(Y3="","",CONCATENATE(VLOOKUP(Y3,AB1:AH1,3)," pont"))</f>
        <v/>
      </c>
      <c r="L6" s="382"/>
      <c r="M6" s="379" t="str">
        <f>IF(Y3="","",CONCATENATE(VLOOKUP(Y3,AB1:AH1,2)," pont"))</f>
        <v/>
      </c>
      <c r="N6" s="382"/>
      <c r="O6" s="379" t="str">
        <f>IF(Y3="","",CONCATENATE(VLOOKUP(Y3,AB1:AH1,1)," pont"))</f>
        <v/>
      </c>
      <c r="P6" s="382"/>
      <c r="Q6" s="379"/>
      <c r="R6" s="383"/>
      <c r="T6" s="343"/>
      <c r="U6" s="343"/>
      <c r="V6" s="343"/>
      <c r="W6" s="343"/>
      <c r="X6" s="343"/>
      <c r="Y6" s="375"/>
      <c r="Z6" s="375"/>
      <c r="AA6" s="375" t="s">
        <v>68</v>
      </c>
      <c r="AB6" s="384">
        <v>150</v>
      </c>
      <c r="AC6" s="384">
        <v>120</v>
      </c>
      <c r="AD6" s="384">
        <v>90</v>
      </c>
      <c r="AE6" s="384">
        <v>60</v>
      </c>
      <c r="AF6" s="384">
        <v>40</v>
      </c>
      <c r="AG6" s="384">
        <v>25</v>
      </c>
      <c r="AH6" s="384">
        <v>10</v>
      </c>
      <c r="AI6" s="371"/>
      <c r="AJ6" s="371"/>
      <c r="AK6" s="371"/>
      <c r="AL6" s="343"/>
      <c r="AM6" s="343"/>
      <c r="AN6" s="343"/>
      <c r="AO6" s="343"/>
      <c r="AP6" s="343"/>
      <c r="AQ6" s="343"/>
      <c r="AR6" s="343"/>
      <c r="AS6" s="343"/>
    </row>
    <row r="7" spans="1:45" s="34" customFormat="1" ht="12.9" customHeight="1" x14ac:dyDescent="0.25">
      <c r="A7" s="135">
        <v>1</v>
      </c>
      <c r="B7" s="316">
        <f>IF($E7="","",VLOOKUP($E7,'F12 csapat ELO'!$A$7:$O$22,14))</f>
        <v>0</v>
      </c>
      <c r="C7" s="317">
        <f>IF($E7="","",VLOOKUP($E7,'F12 csapat ELO'!$A$7:$O$22,15))</f>
        <v>45</v>
      </c>
      <c r="D7" s="317">
        <f>IF($E7="","",VLOOKUP($E7,'F12 csapat ELO'!$A$7:$O$22,5))</f>
        <v>0</v>
      </c>
      <c r="E7" s="318">
        <v>1</v>
      </c>
      <c r="F7" s="319" t="str">
        <f>UPPER(IF($E7="","",VLOOKUP($E7,'F12 csapat ELO'!$A$7:$O$22,2)))</f>
        <v>TENISZ MŰHELY</v>
      </c>
      <c r="G7" s="319">
        <f>IF($E7="","",VLOOKUP($E7,'F12 csapat ELO'!$A$7:$O$22,3))</f>
        <v>0</v>
      </c>
      <c r="H7" s="319"/>
      <c r="I7" s="319">
        <f>IF($E7="","",VLOOKUP($E7,'F12 csapat ELO'!$A$7:$O$22,4))</f>
        <v>0</v>
      </c>
      <c r="J7" s="320"/>
      <c r="K7" s="321"/>
      <c r="L7" s="321"/>
      <c r="M7" s="321"/>
      <c r="N7" s="321"/>
      <c r="O7" s="141"/>
      <c r="P7" s="142"/>
      <c r="Q7" s="143"/>
      <c r="R7" s="144"/>
      <c r="S7" s="145"/>
      <c r="T7" s="145"/>
      <c r="U7" s="345" t="str">
        <f>Birók!P21</f>
        <v>Bíró</v>
      </c>
      <c r="V7" s="145"/>
      <c r="W7" s="145"/>
      <c r="X7" s="145"/>
      <c r="Y7" s="375"/>
      <c r="Z7" s="375"/>
      <c r="AA7" s="375" t="s">
        <v>69</v>
      </c>
      <c r="AB7" s="384">
        <v>120</v>
      </c>
      <c r="AC7" s="384">
        <v>90</v>
      </c>
      <c r="AD7" s="384">
        <v>60</v>
      </c>
      <c r="AE7" s="384">
        <v>40</v>
      </c>
      <c r="AF7" s="384">
        <v>25</v>
      </c>
      <c r="AG7" s="384">
        <v>10</v>
      </c>
      <c r="AH7" s="384">
        <v>5</v>
      </c>
      <c r="AI7" s="371"/>
      <c r="AJ7" s="371"/>
      <c r="AK7" s="371"/>
      <c r="AL7" s="145"/>
      <c r="AM7" s="145"/>
      <c r="AN7" s="145"/>
      <c r="AO7" s="145"/>
      <c r="AP7" s="145"/>
      <c r="AQ7" s="145"/>
      <c r="AR7" s="145"/>
      <c r="AS7" s="145"/>
    </row>
    <row r="8" spans="1:45" s="34" customFormat="1" ht="12.9" customHeight="1" x14ac:dyDescent="0.25">
      <c r="A8" s="147"/>
      <c r="B8" s="322"/>
      <c r="C8" s="323"/>
      <c r="D8" s="323"/>
      <c r="E8" s="220"/>
      <c r="F8" s="324"/>
      <c r="G8" s="324"/>
      <c r="H8" s="325"/>
      <c r="I8" s="424" t="s">
        <v>0</v>
      </c>
      <c r="J8" s="152" t="s">
        <v>127</v>
      </c>
      <c r="K8" s="326" t="str">
        <f>UPPER(IF(OR(J8="a",J8="as"),F7,IF(OR(J8="b",J8="bs"),F9,)))</f>
        <v>TENISZ MŰHELY</v>
      </c>
      <c r="L8" s="326"/>
      <c r="M8" s="321"/>
      <c r="N8" s="321"/>
      <c r="O8" s="141"/>
      <c r="P8" s="142"/>
      <c r="Q8" s="143"/>
      <c r="R8" s="144"/>
      <c r="S8" s="145"/>
      <c r="T8" s="145"/>
      <c r="U8" s="346" t="str">
        <f>Birók!P22</f>
        <v xml:space="preserve"> </v>
      </c>
      <c r="V8" s="145"/>
      <c r="W8" s="145"/>
      <c r="X8" s="145"/>
      <c r="Y8" s="375"/>
      <c r="Z8" s="375"/>
      <c r="AA8" s="375" t="s">
        <v>70</v>
      </c>
      <c r="AB8" s="384">
        <v>90</v>
      </c>
      <c r="AC8" s="384">
        <v>60</v>
      </c>
      <c r="AD8" s="384">
        <v>40</v>
      </c>
      <c r="AE8" s="384">
        <v>25</v>
      </c>
      <c r="AF8" s="384">
        <v>10</v>
      </c>
      <c r="AG8" s="384">
        <v>5</v>
      </c>
      <c r="AH8" s="384">
        <v>2</v>
      </c>
      <c r="AI8" s="371"/>
      <c r="AJ8" s="371"/>
      <c r="AK8" s="371"/>
      <c r="AL8" s="145"/>
      <c r="AM8" s="145"/>
      <c r="AN8" s="145"/>
      <c r="AO8" s="145"/>
      <c r="AP8" s="145"/>
      <c r="AQ8" s="145"/>
      <c r="AR8" s="145"/>
      <c r="AS8" s="145"/>
    </row>
    <row r="9" spans="1:45" s="34" customFormat="1" ht="12.9" customHeight="1" x14ac:dyDescent="0.25">
      <c r="A9" s="147">
        <v>2</v>
      </c>
      <c r="B9" s="316">
        <f>IF($E9="","",VLOOKUP($E9,'F12 csapat ELO'!$A$7:$O$22,14))</f>
        <v>0</v>
      </c>
      <c r="C9" s="317">
        <f>IF($E9="","",VLOOKUP($E9,'F12 csapat ELO'!$A$7:$O$22,15))</f>
        <v>161</v>
      </c>
      <c r="D9" s="317">
        <f>IF($E9="","",VLOOKUP($E9,'F12 csapat ELO'!$A$7:$O$22,5))</f>
        <v>0</v>
      </c>
      <c r="E9" s="414">
        <v>7</v>
      </c>
      <c r="F9" s="368" t="str">
        <f>UPPER(IF($E9="","",VLOOKUP($E9,'F12 csapat ELO'!$A$7:$O$22,2)))</f>
        <v>PASARÉT TK 3.</v>
      </c>
      <c r="G9" s="368">
        <f>IF($E9="","",VLOOKUP($E9,'F12 csapat ELO'!$A$7:$O$22,3))</f>
        <v>0</v>
      </c>
      <c r="H9" s="368"/>
      <c r="I9" s="368">
        <f>IF($E9="","",VLOOKUP($E9,'F12 csapat ELO'!$A$7:$O$22,4))</f>
        <v>0</v>
      </c>
      <c r="J9" s="327"/>
      <c r="K9" s="331" t="s">
        <v>133</v>
      </c>
      <c r="L9" s="328"/>
      <c r="M9" s="321"/>
      <c r="N9" s="321"/>
      <c r="O9" s="141"/>
      <c r="P9" s="142"/>
      <c r="Q9" s="143"/>
      <c r="R9" s="144"/>
      <c r="S9" s="145"/>
      <c r="T9" s="145"/>
      <c r="U9" s="346" t="str">
        <f>Birók!P23</f>
        <v xml:space="preserve"> </v>
      </c>
      <c r="V9" s="145"/>
      <c r="W9" s="145"/>
      <c r="X9" s="145"/>
      <c r="Y9" s="375"/>
      <c r="Z9" s="375"/>
      <c r="AA9" s="375" t="s">
        <v>71</v>
      </c>
      <c r="AB9" s="384">
        <v>60</v>
      </c>
      <c r="AC9" s="384">
        <v>40</v>
      </c>
      <c r="AD9" s="384">
        <v>25</v>
      </c>
      <c r="AE9" s="384">
        <v>10</v>
      </c>
      <c r="AF9" s="384">
        <v>5</v>
      </c>
      <c r="AG9" s="384">
        <v>2</v>
      </c>
      <c r="AH9" s="384">
        <v>1</v>
      </c>
      <c r="AI9" s="371"/>
      <c r="AJ9" s="371"/>
      <c r="AK9" s="371"/>
      <c r="AL9" s="145"/>
      <c r="AM9" s="145"/>
      <c r="AN9" s="145"/>
      <c r="AO9" s="145"/>
      <c r="AP9" s="145"/>
      <c r="AQ9" s="145"/>
      <c r="AR9" s="145"/>
      <c r="AS9" s="145"/>
    </row>
    <row r="10" spans="1:45" s="34" customFormat="1" ht="12.9" customHeight="1" x14ac:dyDescent="0.25">
      <c r="A10" s="147"/>
      <c r="B10" s="322"/>
      <c r="C10" s="323"/>
      <c r="D10" s="323"/>
      <c r="E10" s="415"/>
      <c r="F10" s="416"/>
      <c r="G10" s="416"/>
      <c r="H10" s="417"/>
      <c r="I10" s="416"/>
      <c r="J10" s="329"/>
      <c r="K10" s="424" t="s">
        <v>0</v>
      </c>
      <c r="L10" s="160" t="s">
        <v>127</v>
      </c>
      <c r="M10" s="326" t="str">
        <f>UPPER(IF(OR(L10="a",L10="as"),K8,IF(OR(L10="b",L10="bs"),K12,)))</f>
        <v>TENISZ MŰHELY</v>
      </c>
      <c r="N10" s="330"/>
      <c r="O10" s="331"/>
      <c r="P10" s="331"/>
      <c r="Q10" s="143"/>
      <c r="R10" s="144"/>
      <c r="S10" s="145"/>
      <c r="T10" s="145"/>
      <c r="U10" s="346" t="str">
        <f>Birók!P24</f>
        <v xml:space="preserve"> </v>
      </c>
      <c r="V10" s="145"/>
      <c r="W10" s="145"/>
      <c r="X10" s="145"/>
      <c r="Y10" s="375"/>
      <c r="Z10" s="375"/>
      <c r="AA10" s="375" t="s">
        <v>72</v>
      </c>
      <c r="AB10" s="384">
        <v>40</v>
      </c>
      <c r="AC10" s="384">
        <v>25</v>
      </c>
      <c r="AD10" s="384">
        <v>15</v>
      </c>
      <c r="AE10" s="384">
        <v>7</v>
      </c>
      <c r="AF10" s="384">
        <v>4</v>
      </c>
      <c r="AG10" s="384">
        <v>1</v>
      </c>
      <c r="AH10" s="384">
        <v>0</v>
      </c>
      <c r="AI10" s="371"/>
      <c r="AJ10" s="371"/>
      <c r="AK10" s="371"/>
      <c r="AL10" s="145"/>
      <c r="AM10" s="145"/>
      <c r="AN10" s="145"/>
      <c r="AO10" s="145"/>
      <c r="AP10" s="145"/>
      <c r="AQ10" s="145"/>
      <c r="AR10" s="145"/>
      <c r="AS10" s="145"/>
    </row>
    <row r="11" spans="1:45" s="34" customFormat="1" ht="12.9" customHeight="1" x14ac:dyDescent="0.25">
      <c r="A11" s="147">
        <v>3</v>
      </c>
      <c r="B11" s="316">
        <f>IF($E11="","",VLOOKUP($E11,'F12 csapat ELO'!$A$7:$O$22,14))</f>
        <v>0</v>
      </c>
      <c r="C11" s="317">
        <f>IF($E11="","",VLOOKUP($E11,'F12 csapat ELO'!$A$7:$O$22,15))</f>
        <v>83</v>
      </c>
      <c r="D11" s="317">
        <f>IF($E11="","",VLOOKUP($E11,'F12 csapat ELO'!$A$7:$O$22,5))</f>
        <v>0</v>
      </c>
      <c r="E11" s="414">
        <v>4</v>
      </c>
      <c r="F11" s="368" t="str">
        <f>UPPER(IF($E11="","",VLOOKUP($E11,'F12 csapat ELO'!$A$7:$O$22,2)))</f>
        <v>VASAS SC</v>
      </c>
      <c r="G11" s="368">
        <f>IF($E11="","",VLOOKUP($E11,'F12 csapat ELO'!$A$7:$O$22,3))</f>
        <v>0</v>
      </c>
      <c r="H11" s="368"/>
      <c r="I11" s="368">
        <f>IF($E11="","",VLOOKUP($E11,'F12 csapat ELO'!$A$7:$O$22,4))</f>
        <v>0</v>
      </c>
      <c r="J11" s="320"/>
      <c r="K11" s="321"/>
      <c r="L11" s="332"/>
      <c r="M11" s="331" t="s">
        <v>133</v>
      </c>
      <c r="N11" s="333"/>
      <c r="O11" s="331"/>
      <c r="P11" s="331"/>
      <c r="Q11" s="143"/>
      <c r="R11" s="144"/>
      <c r="S11" s="145"/>
      <c r="T11" s="145"/>
      <c r="U11" s="346" t="str">
        <f>Birók!P25</f>
        <v xml:space="preserve"> </v>
      </c>
      <c r="V11" s="145"/>
      <c r="W11" s="145"/>
      <c r="X11" s="145"/>
      <c r="Y11" s="375"/>
      <c r="Z11" s="375"/>
      <c r="AA11" s="375" t="s">
        <v>73</v>
      </c>
      <c r="AB11" s="384">
        <v>25</v>
      </c>
      <c r="AC11" s="384">
        <v>15</v>
      </c>
      <c r="AD11" s="384">
        <v>10</v>
      </c>
      <c r="AE11" s="384">
        <v>6</v>
      </c>
      <c r="AF11" s="384">
        <v>3</v>
      </c>
      <c r="AG11" s="384">
        <v>1</v>
      </c>
      <c r="AH11" s="384">
        <v>0</v>
      </c>
      <c r="AI11" s="371"/>
      <c r="AJ11" s="371"/>
      <c r="AK11" s="371"/>
      <c r="AL11" s="145"/>
      <c r="AM11" s="145"/>
      <c r="AN11" s="145"/>
      <c r="AO11" s="145"/>
      <c r="AP11" s="145"/>
      <c r="AQ11" s="145"/>
      <c r="AR11" s="145"/>
      <c r="AS11" s="145"/>
    </row>
    <row r="12" spans="1:45" s="34" customFormat="1" ht="12.9" customHeight="1" x14ac:dyDescent="0.25">
      <c r="A12" s="147"/>
      <c r="B12" s="322"/>
      <c r="C12" s="323"/>
      <c r="D12" s="323"/>
      <c r="E12" s="415"/>
      <c r="F12" s="416"/>
      <c r="G12" s="416"/>
      <c r="H12" s="417"/>
      <c r="I12" s="424" t="s">
        <v>0</v>
      </c>
      <c r="J12" s="152" t="s">
        <v>129</v>
      </c>
      <c r="K12" s="326" t="str">
        <f>UPPER(IF(OR(J12="a",J12="as"),F11,IF(OR(J12="b",J12="bs"),F13,)))</f>
        <v>VASAS SC</v>
      </c>
      <c r="L12" s="334"/>
      <c r="M12" s="321"/>
      <c r="N12" s="333"/>
      <c r="O12" s="331"/>
      <c r="P12" s="331"/>
      <c r="Q12" s="143"/>
      <c r="R12" s="144"/>
      <c r="S12" s="145"/>
      <c r="T12" s="145"/>
      <c r="U12" s="346" t="str">
        <f>Birók!P26</f>
        <v xml:space="preserve"> </v>
      </c>
      <c r="V12" s="145"/>
      <c r="W12" s="145"/>
      <c r="X12" s="145"/>
      <c r="Y12" s="375"/>
      <c r="Z12" s="375"/>
      <c r="AA12" s="375" t="s">
        <v>78</v>
      </c>
      <c r="AB12" s="384">
        <v>15</v>
      </c>
      <c r="AC12" s="384">
        <v>10</v>
      </c>
      <c r="AD12" s="384">
        <v>6</v>
      </c>
      <c r="AE12" s="384">
        <v>3</v>
      </c>
      <c r="AF12" s="384">
        <v>1</v>
      </c>
      <c r="AG12" s="384">
        <v>0</v>
      </c>
      <c r="AH12" s="384">
        <v>0</v>
      </c>
      <c r="AI12" s="371"/>
      <c r="AJ12" s="371"/>
      <c r="AK12" s="371"/>
      <c r="AL12" s="145"/>
      <c r="AM12" s="145"/>
      <c r="AN12" s="145"/>
      <c r="AO12" s="145"/>
      <c r="AP12" s="145"/>
      <c r="AQ12" s="145"/>
      <c r="AR12" s="145"/>
      <c r="AS12" s="145"/>
    </row>
    <row r="13" spans="1:45" s="34" customFormat="1" ht="12.9" customHeight="1" x14ac:dyDescent="0.25">
      <c r="A13" s="147">
        <v>4</v>
      </c>
      <c r="B13" s="316">
        <f>IF($E13="","",VLOOKUP($E13,'F12 csapat ELO'!$A$7:$O$22,14))</f>
        <v>0</v>
      </c>
      <c r="C13" s="317">
        <f>IF($E13="","",VLOOKUP($E13,'F12 csapat ELO'!$A$7:$O$22,15))</f>
        <v>252</v>
      </c>
      <c r="D13" s="317">
        <f>IF($E13="","",VLOOKUP($E13,'F12 csapat ELO'!$A$7:$O$22,5))</f>
        <v>0</v>
      </c>
      <c r="E13" s="414">
        <v>8</v>
      </c>
      <c r="F13" s="368" t="str">
        <f>UPPER(IF($E13="","",VLOOKUP($E13,'F12 csapat ELO'!$A$7:$O$22,2)))</f>
        <v>KÉK LEPKÉK</v>
      </c>
      <c r="G13" s="368">
        <f>IF($E13="","",VLOOKUP($E13,'F12 csapat ELO'!$A$7:$O$22,3))</f>
        <v>0</v>
      </c>
      <c r="H13" s="368"/>
      <c r="I13" s="368">
        <f>IF($E13="","",VLOOKUP($E13,'F12 csapat ELO'!$A$7:$O$22,4))</f>
        <v>0</v>
      </c>
      <c r="J13" s="335"/>
      <c r="K13" s="321" t="s">
        <v>134</v>
      </c>
      <c r="L13" s="321"/>
      <c r="M13" s="321"/>
      <c r="N13" s="333"/>
      <c r="O13" s="331"/>
      <c r="P13" s="331"/>
      <c r="Q13" s="143"/>
      <c r="R13" s="144"/>
      <c r="S13" s="145"/>
      <c r="T13" s="145"/>
      <c r="U13" s="346" t="str">
        <f>Birók!P27</f>
        <v xml:space="preserve"> </v>
      </c>
      <c r="V13" s="145"/>
      <c r="W13" s="145"/>
      <c r="X13" s="145"/>
      <c r="Y13" s="375"/>
      <c r="Z13" s="375"/>
      <c r="AA13" s="375" t="s">
        <v>74</v>
      </c>
      <c r="AB13" s="384">
        <v>10</v>
      </c>
      <c r="AC13" s="384">
        <v>6</v>
      </c>
      <c r="AD13" s="384">
        <v>3</v>
      </c>
      <c r="AE13" s="384">
        <v>1</v>
      </c>
      <c r="AF13" s="384">
        <v>0</v>
      </c>
      <c r="AG13" s="384">
        <v>0</v>
      </c>
      <c r="AH13" s="384">
        <v>0</v>
      </c>
      <c r="AI13" s="371"/>
      <c r="AJ13" s="371"/>
      <c r="AK13" s="371"/>
      <c r="AL13" s="145"/>
      <c r="AM13" s="145"/>
      <c r="AN13" s="145"/>
      <c r="AO13" s="145"/>
      <c r="AP13" s="145"/>
      <c r="AQ13" s="145"/>
      <c r="AR13" s="145"/>
      <c r="AS13" s="145"/>
    </row>
    <row r="14" spans="1:45" s="34" customFormat="1" ht="12.9" customHeight="1" x14ac:dyDescent="0.25">
      <c r="A14" s="147"/>
      <c r="B14" s="322"/>
      <c r="C14" s="323"/>
      <c r="D14" s="323"/>
      <c r="E14" s="415"/>
      <c r="F14" s="416"/>
      <c r="G14" s="416"/>
      <c r="H14" s="417"/>
      <c r="I14" s="416"/>
      <c r="J14" s="329"/>
      <c r="K14" s="321"/>
      <c r="L14" s="321"/>
      <c r="M14" s="424" t="s">
        <v>0</v>
      </c>
      <c r="N14" s="160" t="s">
        <v>143</v>
      </c>
      <c r="O14" s="326" t="str">
        <f>UPPER(IF(OR(N14="a",N14="as"),M10,IF(OR(N14="b",N14="bs"),M18,)))</f>
        <v>PASARÉT TK 1</v>
      </c>
      <c r="P14" s="330"/>
      <c r="Q14" s="143"/>
      <c r="R14" s="144"/>
      <c r="S14" s="145"/>
      <c r="T14" s="145"/>
      <c r="U14" s="346" t="str">
        <f>Birók!P28</f>
        <v xml:space="preserve"> </v>
      </c>
      <c r="V14" s="145"/>
      <c r="W14" s="145"/>
      <c r="X14" s="145"/>
      <c r="Y14" s="375"/>
      <c r="Z14" s="375"/>
      <c r="AA14" s="375" t="s">
        <v>75</v>
      </c>
      <c r="AB14" s="384">
        <v>3</v>
      </c>
      <c r="AC14" s="384">
        <v>2</v>
      </c>
      <c r="AD14" s="384">
        <v>1</v>
      </c>
      <c r="AE14" s="384">
        <v>0</v>
      </c>
      <c r="AF14" s="384">
        <v>0</v>
      </c>
      <c r="AG14" s="384">
        <v>0</v>
      </c>
      <c r="AH14" s="384">
        <v>0</v>
      </c>
      <c r="AI14" s="371"/>
      <c r="AJ14" s="371"/>
      <c r="AK14" s="371"/>
      <c r="AL14" s="145"/>
      <c r="AM14" s="145"/>
      <c r="AN14" s="145"/>
      <c r="AO14" s="145"/>
      <c r="AP14" s="145"/>
      <c r="AQ14" s="145"/>
      <c r="AR14" s="145"/>
      <c r="AS14" s="145"/>
    </row>
    <row r="15" spans="1:45" s="34" customFormat="1" ht="12.9" customHeight="1" x14ac:dyDescent="0.25">
      <c r="A15" s="367">
        <v>5</v>
      </c>
      <c r="B15" s="316">
        <f>IF($E15="","",VLOOKUP($E15,'F12 csapat ELO'!$A$7:$O$22,14))</f>
        <v>0</v>
      </c>
      <c r="C15" s="317">
        <f>IF($E15="","",VLOOKUP($E15,'F12 csapat ELO'!$A$7:$O$22,15))</f>
        <v>158</v>
      </c>
      <c r="D15" s="317">
        <f>IF($E15="","",VLOOKUP($E15,'F12 csapat ELO'!$A$7:$O$22,5))</f>
        <v>0</v>
      </c>
      <c r="E15" s="414">
        <v>6</v>
      </c>
      <c r="F15" s="368" t="str">
        <f>UPPER(IF($E15="","",VLOOKUP($E15,'F12 csapat ELO'!$A$7:$O$22,2)))</f>
        <v xml:space="preserve">PASARÉT TK 2. </v>
      </c>
      <c r="G15" s="368">
        <f>IF($E15="","",VLOOKUP($E15,'F12 csapat ELO'!$A$7:$O$22,3))</f>
        <v>0</v>
      </c>
      <c r="H15" s="368"/>
      <c r="I15" s="368">
        <f>IF($E15="","",VLOOKUP($E15,'F12 csapat ELO'!$A$7:$O$22,4))</f>
        <v>0</v>
      </c>
      <c r="J15" s="337"/>
      <c r="K15" s="321"/>
      <c r="L15" s="321"/>
      <c r="M15" s="321"/>
      <c r="N15" s="333"/>
      <c r="O15" s="438" t="s">
        <v>133</v>
      </c>
      <c r="P15" s="366"/>
      <c r="Q15" s="247"/>
      <c r="R15" s="144"/>
      <c r="S15" s="145"/>
      <c r="T15" s="145"/>
      <c r="U15" s="346" t="str">
        <f>Birók!P29</f>
        <v xml:space="preserve"> </v>
      </c>
      <c r="V15" s="145"/>
      <c r="W15" s="145"/>
      <c r="X15" s="14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1"/>
      <c r="AJ15" s="371"/>
      <c r="AK15" s="371"/>
      <c r="AL15" s="145"/>
      <c r="AM15" s="145"/>
      <c r="AN15" s="145"/>
      <c r="AO15" s="145"/>
      <c r="AP15" s="145"/>
      <c r="AQ15" s="145"/>
      <c r="AR15" s="145"/>
      <c r="AS15" s="145"/>
    </row>
    <row r="16" spans="1:45" s="34" customFormat="1" ht="12.9" customHeight="1" thickBot="1" x14ac:dyDescent="0.3">
      <c r="A16" s="147"/>
      <c r="B16" s="322"/>
      <c r="C16" s="323"/>
      <c r="D16" s="323"/>
      <c r="E16" s="415"/>
      <c r="F16" s="416"/>
      <c r="G16" s="416"/>
      <c r="H16" s="417"/>
      <c r="I16" s="424" t="s">
        <v>0</v>
      </c>
      <c r="J16" s="152" t="s">
        <v>130</v>
      </c>
      <c r="K16" s="326" t="str">
        <f>UPPER(IF(OR(J16="a",J16="as"),F15,IF(OR(J16="b",J16="bs"),F17,)))</f>
        <v>BEBTO T.</v>
      </c>
      <c r="L16" s="326"/>
      <c r="M16" s="321"/>
      <c r="N16" s="333"/>
      <c r="O16" s="424"/>
      <c r="P16" s="366"/>
      <c r="Q16" s="247"/>
      <c r="R16" s="144"/>
      <c r="S16" s="145"/>
      <c r="T16" s="145"/>
      <c r="U16" s="347" t="str">
        <f>Birók!P30</f>
        <v>Egyik sem</v>
      </c>
      <c r="V16" s="145"/>
      <c r="W16" s="145"/>
      <c r="X16" s="145"/>
      <c r="Y16" s="375"/>
      <c r="Z16" s="375"/>
      <c r="AA16" s="375" t="s">
        <v>64</v>
      </c>
      <c r="AB16" s="384">
        <v>150</v>
      </c>
      <c r="AC16" s="384">
        <v>120</v>
      </c>
      <c r="AD16" s="384">
        <v>90</v>
      </c>
      <c r="AE16" s="384">
        <v>60</v>
      </c>
      <c r="AF16" s="384">
        <v>40</v>
      </c>
      <c r="AG16" s="384">
        <v>25</v>
      </c>
      <c r="AH16" s="384">
        <v>15</v>
      </c>
      <c r="AI16" s="371"/>
      <c r="AJ16" s="371"/>
      <c r="AK16" s="371"/>
      <c r="AL16" s="145"/>
      <c r="AM16" s="145"/>
      <c r="AN16" s="145"/>
      <c r="AO16" s="145"/>
      <c r="AP16" s="145"/>
      <c r="AQ16" s="145"/>
      <c r="AR16" s="145"/>
      <c r="AS16" s="145"/>
    </row>
    <row r="17" spans="1:45" s="34" customFormat="1" ht="12.9" customHeight="1" x14ac:dyDescent="0.25">
      <c r="A17" s="147">
        <v>6</v>
      </c>
      <c r="B17" s="316">
        <f>IF($E17="","",VLOOKUP($E17,'F12 csapat ELO'!$A$7:$O$22,14))</f>
        <v>0</v>
      </c>
      <c r="C17" s="317">
        <f>IF($E17="","",VLOOKUP($E17,'F12 csapat ELO'!$A$7:$O$22,15))</f>
        <v>56</v>
      </c>
      <c r="D17" s="317">
        <f>IF($E17="","",VLOOKUP($E17,'F12 csapat ELO'!$A$7:$O$22,5))</f>
        <v>0</v>
      </c>
      <c r="E17" s="414">
        <v>3</v>
      </c>
      <c r="F17" s="368" t="str">
        <f>UPPER(IF($E17="","",VLOOKUP($E17,'F12 csapat ELO'!$A$7:$O$22,2)))</f>
        <v>BEBTO T.</v>
      </c>
      <c r="G17" s="368">
        <f>IF($E17="","",VLOOKUP($E17,'F12 csapat ELO'!$A$7:$O$22,3))</f>
        <v>0</v>
      </c>
      <c r="H17" s="368"/>
      <c r="I17" s="368">
        <f>IF($E17="","",VLOOKUP($E17,'F12 csapat ELO'!$A$7:$O$22,4))</f>
        <v>0</v>
      </c>
      <c r="J17" s="327"/>
      <c r="K17" s="331" t="s">
        <v>133</v>
      </c>
      <c r="L17" s="328"/>
      <c r="M17" s="321"/>
      <c r="N17" s="333"/>
      <c r="O17" s="331"/>
      <c r="P17" s="366"/>
      <c r="Q17" s="247"/>
      <c r="R17" s="144"/>
      <c r="S17" s="145"/>
      <c r="T17" s="145"/>
      <c r="U17" s="145"/>
      <c r="V17" s="145"/>
      <c r="W17" s="145"/>
      <c r="X17" s="145"/>
      <c r="Y17" s="375"/>
      <c r="Z17" s="375"/>
      <c r="AA17" s="375" t="s">
        <v>66</v>
      </c>
      <c r="AB17" s="384">
        <v>120</v>
      </c>
      <c r="AC17" s="384">
        <v>90</v>
      </c>
      <c r="AD17" s="384">
        <v>60</v>
      </c>
      <c r="AE17" s="384">
        <v>40</v>
      </c>
      <c r="AF17" s="384">
        <v>25</v>
      </c>
      <c r="AG17" s="384">
        <v>15</v>
      </c>
      <c r="AH17" s="384">
        <v>8</v>
      </c>
      <c r="AI17" s="371"/>
      <c r="AJ17" s="371"/>
      <c r="AK17" s="371"/>
      <c r="AL17" s="145"/>
      <c r="AM17" s="145"/>
      <c r="AN17" s="145"/>
      <c r="AO17" s="145"/>
      <c r="AP17" s="145"/>
      <c r="AQ17" s="145"/>
      <c r="AR17" s="145"/>
      <c r="AS17" s="145"/>
    </row>
    <row r="18" spans="1:45" s="34" customFormat="1" ht="12.9" customHeight="1" x14ac:dyDescent="0.25">
      <c r="A18" s="147"/>
      <c r="B18" s="322"/>
      <c r="C18" s="323"/>
      <c r="D18" s="323"/>
      <c r="E18" s="415"/>
      <c r="F18" s="416"/>
      <c r="G18" s="416"/>
      <c r="H18" s="417"/>
      <c r="I18" s="416"/>
      <c r="J18" s="329"/>
      <c r="K18" s="424" t="s">
        <v>0</v>
      </c>
      <c r="L18" s="160" t="s">
        <v>128</v>
      </c>
      <c r="M18" s="326" t="str">
        <f>UPPER(IF(OR(L18="a",L18="as"),K16,IF(OR(L18="b",L18="bs"),K20,)))</f>
        <v>PASARÉT TK 1</v>
      </c>
      <c r="N18" s="338"/>
      <c r="O18" s="331"/>
      <c r="P18" s="366"/>
      <c r="Q18" s="247"/>
      <c r="R18" s="144"/>
      <c r="S18" s="145"/>
      <c r="T18" s="145"/>
      <c r="U18" s="145"/>
      <c r="V18" s="145"/>
      <c r="W18" s="145"/>
      <c r="X18" s="145"/>
      <c r="Y18" s="375"/>
      <c r="Z18" s="375"/>
      <c r="AA18" s="375" t="s">
        <v>67</v>
      </c>
      <c r="AB18" s="384">
        <v>90</v>
      </c>
      <c r="AC18" s="384">
        <v>60</v>
      </c>
      <c r="AD18" s="384">
        <v>40</v>
      </c>
      <c r="AE18" s="384">
        <v>25</v>
      </c>
      <c r="AF18" s="384">
        <v>15</v>
      </c>
      <c r="AG18" s="384">
        <v>8</v>
      </c>
      <c r="AH18" s="384">
        <v>4</v>
      </c>
      <c r="AI18" s="371"/>
      <c r="AJ18" s="371"/>
      <c r="AK18" s="371"/>
      <c r="AL18" s="145"/>
      <c r="AM18" s="145"/>
      <c r="AN18" s="145"/>
      <c r="AO18" s="145"/>
      <c r="AP18" s="145"/>
      <c r="AQ18" s="145"/>
      <c r="AR18" s="145"/>
      <c r="AS18" s="145"/>
    </row>
    <row r="19" spans="1:45" s="34" customFormat="1" ht="12.9" customHeight="1" x14ac:dyDescent="0.25">
      <c r="A19" s="147">
        <v>7</v>
      </c>
      <c r="B19" s="316">
        <f>IF($E19="","",VLOOKUP($E19,'F12 csapat ELO'!$A$7:$O$22,14))</f>
        <v>0</v>
      </c>
      <c r="C19" s="317">
        <f>IF($E19="","",VLOOKUP($E19,'F12 csapat ELO'!$A$7:$O$22,15))</f>
        <v>147</v>
      </c>
      <c r="D19" s="317">
        <f>IF($E19="","",VLOOKUP($E19,'F12 csapat ELO'!$A$7:$O$22,5))</f>
        <v>0</v>
      </c>
      <c r="E19" s="414">
        <v>5</v>
      </c>
      <c r="F19" s="368" t="str">
        <f>UPPER(IF($E19="","",VLOOKUP($E19,'F12 csapat ELO'!$A$7:$O$22,2)))</f>
        <v>FORTUNA SE</v>
      </c>
      <c r="G19" s="368">
        <f>IF($E19="","",VLOOKUP($E19,'F12 csapat ELO'!$A$7:$O$22,3))</f>
        <v>0</v>
      </c>
      <c r="H19" s="368"/>
      <c r="I19" s="368">
        <f>IF($E19="","",VLOOKUP($E19,'F12 csapat ELO'!$A$7:$O$22,4))</f>
        <v>0</v>
      </c>
      <c r="J19" s="320"/>
      <c r="K19" s="321"/>
      <c r="L19" s="332"/>
      <c r="M19" s="331" t="s">
        <v>133</v>
      </c>
      <c r="N19" s="331"/>
      <c r="O19" s="331"/>
      <c r="P19" s="366"/>
      <c r="Q19" s="247"/>
      <c r="R19" s="144"/>
      <c r="S19" s="145"/>
      <c r="T19" s="145"/>
      <c r="U19" s="145"/>
      <c r="V19" s="145"/>
      <c r="W19" s="145"/>
      <c r="X19" s="145"/>
      <c r="Y19" s="375"/>
      <c r="Z19" s="375"/>
      <c r="AA19" s="375" t="s">
        <v>68</v>
      </c>
      <c r="AB19" s="384">
        <v>60</v>
      </c>
      <c r="AC19" s="384">
        <v>40</v>
      </c>
      <c r="AD19" s="384">
        <v>25</v>
      </c>
      <c r="AE19" s="384">
        <v>15</v>
      </c>
      <c r="AF19" s="384">
        <v>8</v>
      </c>
      <c r="AG19" s="384">
        <v>4</v>
      </c>
      <c r="AH19" s="384">
        <v>2</v>
      </c>
      <c r="AI19" s="371"/>
      <c r="AJ19" s="371"/>
      <c r="AK19" s="371"/>
      <c r="AL19" s="145"/>
      <c r="AM19" s="145"/>
      <c r="AN19" s="145"/>
      <c r="AO19" s="145"/>
      <c r="AP19" s="145"/>
      <c r="AQ19" s="145"/>
      <c r="AR19" s="145"/>
      <c r="AS19" s="145"/>
    </row>
    <row r="20" spans="1:45" s="34" customFormat="1" ht="12.9" customHeight="1" x14ac:dyDescent="0.25">
      <c r="A20" s="147"/>
      <c r="B20" s="322"/>
      <c r="C20" s="323"/>
      <c r="D20" s="323"/>
      <c r="E20" s="220"/>
      <c r="F20" s="324"/>
      <c r="G20" s="324"/>
      <c r="H20" s="325"/>
      <c r="I20" s="424" t="s">
        <v>0</v>
      </c>
      <c r="J20" s="152" t="s">
        <v>128</v>
      </c>
      <c r="K20" s="326" t="str">
        <f>UPPER(IF(OR(J20="a",J20="as"),F19,IF(OR(J20="b",J20="bs"),F21,)))</f>
        <v>PASARÉT TK 1</v>
      </c>
      <c r="L20" s="334"/>
      <c r="M20" s="321"/>
      <c r="N20" s="331"/>
      <c r="O20" s="331"/>
      <c r="P20" s="366"/>
      <c r="Q20" s="247"/>
      <c r="R20" s="144"/>
      <c r="S20" s="145"/>
      <c r="T20" s="145"/>
      <c r="U20" s="145"/>
      <c r="V20" s="145"/>
      <c r="W20" s="145"/>
      <c r="X20" s="145"/>
      <c r="Y20" s="375"/>
      <c r="Z20" s="375"/>
      <c r="AA20" s="375" t="s">
        <v>69</v>
      </c>
      <c r="AB20" s="384">
        <v>40</v>
      </c>
      <c r="AC20" s="384">
        <v>25</v>
      </c>
      <c r="AD20" s="384">
        <v>15</v>
      </c>
      <c r="AE20" s="384">
        <v>8</v>
      </c>
      <c r="AF20" s="384">
        <v>4</v>
      </c>
      <c r="AG20" s="384">
        <v>2</v>
      </c>
      <c r="AH20" s="384">
        <v>1</v>
      </c>
      <c r="AI20" s="371"/>
      <c r="AJ20" s="371"/>
      <c r="AK20" s="371"/>
      <c r="AL20" s="145"/>
      <c r="AM20" s="145"/>
      <c r="AN20" s="145"/>
      <c r="AO20" s="145"/>
      <c r="AP20" s="145"/>
      <c r="AQ20" s="145"/>
      <c r="AR20" s="145"/>
      <c r="AS20" s="145"/>
    </row>
    <row r="21" spans="1:45" s="34" customFormat="1" ht="12.9" customHeight="1" x14ac:dyDescent="0.25">
      <c r="A21" s="370">
        <v>8</v>
      </c>
      <c r="B21" s="316">
        <f>IF($E21="","",VLOOKUP($E21,'F12 csapat ELO'!$A$7:$O$22,14))</f>
        <v>0</v>
      </c>
      <c r="C21" s="317">
        <f>IF($E21="","",VLOOKUP($E21,'F12 csapat ELO'!$A$7:$O$22,15))</f>
        <v>46</v>
      </c>
      <c r="D21" s="317">
        <f>IF($E21="","",VLOOKUP($E21,'F12 csapat ELO'!$A$7:$O$22,5))</f>
        <v>0</v>
      </c>
      <c r="E21" s="318">
        <v>2</v>
      </c>
      <c r="F21" s="369" t="str">
        <f>UPPER(IF($E21="","",VLOOKUP($E21,'F12 csapat ELO'!$A$7:$O$22,2)))</f>
        <v>PASARÉT TK 1</v>
      </c>
      <c r="G21" s="369">
        <f>IF($E21="","",VLOOKUP($E21,'F12 csapat ELO'!$A$7:$O$22,3))</f>
        <v>0</v>
      </c>
      <c r="H21" s="369"/>
      <c r="I21" s="369">
        <f>IF($E21="","",VLOOKUP($E21,'F12 csapat ELO'!$A$7:$O$22,4))</f>
        <v>0</v>
      </c>
      <c r="J21" s="335"/>
      <c r="K21" s="321" t="s">
        <v>134</v>
      </c>
      <c r="L21" s="321"/>
      <c r="M21" s="321"/>
      <c r="N21" s="331"/>
      <c r="O21" s="331"/>
      <c r="P21" s="366"/>
      <c r="Q21" s="247"/>
      <c r="R21" s="144"/>
      <c r="S21" s="145"/>
      <c r="T21" s="145"/>
      <c r="U21" s="145"/>
      <c r="V21" s="145"/>
      <c r="W21" s="145"/>
      <c r="X21" s="145"/>
      <c r="Y21" s="375"/>
      <c r="Z21" s="375"/>
      <c r="AA21" s="375" t="s">
        <v>70</v>
      </c>
      <c r="AB21" s="384">
        <v>25</v>
      </c>
      <c r="AC21" s="384">
        <v>15</v>
      </c>
      <c r="AD21" s="384">
        <v>10</v>
      </c>
      <c r="AE21" s="384">
        <v>6</v>
      </c>
      <c r="AF21" s="384">
        <v>3</v>
      </c>
      <c r="AG21" s="384">
        <v>1</v>
      </c>
      <c r="AH21" s="384">
        <v>0</v>
      </c>
      <c r="AI21" s="371"/>
      <c r="AJ21" s="371"/>
      <c r="AK21" s="371"/>
      <c r="AL21" s="145"/>
      <c r="AM21" s="145"/>
      <c r="AN21" s="145"/>
      <c r="AO21" s="145"/>
      <c r="AP21" s="145"/>
      <c r="AQ21" s="145"/>
      <c r="AR21" s="145"/>
      <c r="AS21" s="145"/>
    </row>
    <row r="22" spans="1:45" s="34" customFormat="1" ht="9.6" customHeight="1" x14ac:dyDescent="0.25">
      <c r="A22" s="350"/>
      <c r="B22" s="141"/>
      <c r="C22" s="141"/>
      <c r="D22" s="141"/>
      <c r="E22" s="220"/>
      <c r="F22" s="141"/>
      <c r="G22" s="141"/>
      <c r="H22" s="141"/>
      <c r="I22" s="141"/>
      <c r="J22" s="220"/>
      <c r="K22" s="141"/>
      <c r="L22" s="141"/>
      <c r="M22" s="141"/>
      <c r="N22" s="143"/>
      <c r="O22" s="143"/>
      <c r="P22" s="143"/>
      <c r="Q22" s="143"/>
      <c r="R22" s="144"/>
      <c r="S22" s="145"/>
      <c r="T22" s="145"/>
      <c r="U22" s="145"/>
      <c r="V22" s="145"/>
      <c r="W22" s="145"/>
      <c r="X22" s="145"/>
      <c r="Y22" s="375"/>
      <c r="Z22" s="375"/>
      <c r="AA22" s="375" t="s">
        <v>71</v>
      </c>
      <c r="AB22" s="384">
        <v>15</v>
      </c>
      <c r="AC22" s="384">
        <v>10</v>
      </c>
      <c r="AD22" s="384">
        <v>6</v>
      </c>
      <c r="AE22" s="384">
        <v>3</v>
      </c>
      <c r="AF22" s="384">
        <v>1</v>
      </c>
      <c r="AG22" s="384">
        <v>0</v>
      </c>
      <c r="AH22" s="384">
        <v>0</v>
      </c>
      <c r="AI22" s="371"/>
      <c r="AJ22" s="371"/>
      <c r="AK22" s="371"/>
      <c r="AL22" s="145"/>
      <c r="AM22" s="145"/>
      <c r="AN22" s="145"/>
      <c r="AO22" s="145"/>
      <c r="AP22" s="145"/>
      <c r="AQ22" s="145"/>
      <c r="AR22" s="145"/>
      <c r="AS22" s="145"/>
    </row>
    <row r="23" spans="1:45" s="34" customFormat="1" ht="9.6" customHeight="1" x14ac:dyDescent="0.25">
      <c r="A23" s="221"/>
      <c r="B23" s="220"/>
      <c r="C23" s="220"/>
      <c r="D23" s="220"/>
      <c r="E23" s="220"/>
      <c r="F23" s="141"/>
      <c r="G23" s="141"/>
      <c r="H23" s="145"/>
      <c r="I23" s="340"/>
      <c r="J23" s="220"/>
      <c r="K23" s="141"/>
      <c r="L23" s="141"/>
      <c r="M23" s="141"/>
      <c r="N23" s="143"/>
      <c r="O23" s="143"/>
      <c r="P23" s="143"/>
      <c r="Q23" s="143"/>
      <c r="R23" s="144"/>
      <c r="S23" s="145"/>
      <c r="T23" s="145"/>
      <c r="U23" s="145"/>
      <c r="V23" s="145"/>
      <c r="W23" s="145"/>
      <c r="X23" s="145"/>
      <c r="Y23" s="375"/>
      <c r="Z23" s="375"/>
      <c r="AA23" s="375" t="s">
        <v>72</v>
      </c>
      <c r="AB23" s="384">
        <v>10</v>
      </c>
      <c r="AC23" s="384">
        <v>6</v>
      </c>
      <c r="AD23" s="384">
        <v>3</v>
      </c>
      <c r="AE23" s="384">
        <v>1</v>
      </c>
      <c r="AF23" s="384">
        <v>0</v>
      </c>
      <c r="AG23" s="384">
        <v>0</v>
      </c>
      <c r="AH23" s="384">
        <v>0</v>
      </c>
      <c r="AI23" s="371"/>
      <c r="AJ23" s="371"/>
      <c r="AK23" s="371"/>
      <c r="AL23" s="145"/>
      <c r="AM23" s="145"/>
      <c r="AN23" s="145"/>
      <c r="AO23" s="145"/>
      <c r="AP23" s="145"/>
      <c r="AQ23" s="145"/>
      <c r="AR23" s="145"/>
      <c r="AS23" s="145"/>
    </row>
    <row r="24" spans="1:45" s="34" customFormat="1" ht="9.6" customHeight="1" x14ac:dyDescent="0.25">
      <c r="A24" s="221"/>
      <c r="B24" s="141"/>
      <c r="C24" s="141"/>
      <c r="D24" s="141"/>
      <c r="E24" s="220"/>
      <c r="F24" s="141"/>
      <c r="G24" s="141"/>
      <c r="H24" s="141"/>
      <c r="I24" s="141"/>
      <c r="J24" s="220"/>
      <c r="K24" s="141"/>
      <c r="L24" s="341"/>
      <c r="M24" s="141"/>
      <c r="N24" s="143"/>
      <c r="O24" s="143"/>
      <c r="P24" s="143"/>
      <c r="Q24" s="143"/>
      <c r="R24" s="144"/>
      <c r="S24" s="145"/>
      <c r="T24" s="145"/>
      <c r="U24" s="145"/>
      <c r="V24" s="145"/>
      <c r="W24" s="145"/>
      <c r="X24" s="145"/>
      <c r="Y24" s="375"/>
      <c r="Z24" s="375"/>
      <c r="AA24" s="375" t="s">
        <v>73</v>
      </c>
      <c r="AB24" s="384">
        <v>6</v>
      </c>
      <c r="AC24" s="384">
        <v>3</v>
      </c>
      <c r="AD24" s="384">
        <v>1</v>
      </c>
      <c r="AE24" s="384">
        <v>0</v>
      </c>
      <c r="AF24" s="384">
        <v>0</v>
      </c>
      <c r="AG24" s="384">
        <v>0</v>
      </c>
      <c r="AH24" s="384">
        <v>0</v>
      </c>
      <c r="AI24" s="371"/>
      <c r="AJ24" s="371"/>
      <c r="AK24" s="371"/>
      <c r="AL24" s="145"/>
      <c r="AM24" s="145"/>
      <c r="AN24" s="145"/>
      <c r="AO24" s="145"/>
      <c r="AP24" s="145"/>
      <c r="AQ24" s="145"/>
      <c r="AR24" s="145"/>
      <c r="AS24" s="145"/>
    </row>
    <row r="25" spans="1:45" s="34" customFormat="1" ht="9.6" customHeight="1" x14ac:dyDescent="0.25">
      <c r="A25" s="221"/>
      <c r="B25" s="220"/>
      <c r="C25" s="220"/>
      <c r="D25" s="220"/>
      <c r="E25" s="220"/>
      <c r="F25" s="141"/>
      <c r="G25" s="141"/>
      <c r="H25" s="145"/>
      <c r="I25" s="141"/>
      <c r="J25" s="220"/>
      <c r="K25" s="340"/>
      <c r="L25" s="220"/>
      <c r="M25" s="141"/>
      <c r="N25" s="143"/>
      <c r="O25" s="143"/>
      <c r="P25" s="143"/>
      <c r="Q25" s="143"/>
      <c r="R25" s="144"/>
      <c r="S25" s="145"/>
      <c r="T25" s="145"/>
      <c r="U25" s="145"/>
      <c r="V25" s="145"/>
      <c r="W25" s="145"/>
      <c r="X25" s="145"/>
      <c r="Y25" s="375"/>
      <c r="Z25" s="375"/>
      <c r="AA25" s="375" t="s">
        <v>78</v>
      </c>
      <c r="AB25" s="384">
        <v>3</v>
      </c>
      <c r="AC25" s="384">
        <v>2</v>
      </c>
      <c r="AD25" s="384">
        <v>1</v>
      </c>
      <c r="AE25" s="384">
        <v>0</v>
      </c>
      <c r="AF25" s="384">
        <v>0</v>
      </c>
      <c r="AG25" s="384">
        <v>0</v>
      </c>
      <c r="AH25" s="384">
        <v>0</v>
      </c>
      <c r="AI25" s="371"/>
      <c r="AJ25" s="371"/>
      <c r="AK25" s="371"/>
      <c r="AL25" s="145"/>
      <c r="AM25" s="145"/>
      <c r="AN25" s="145"/>
      <c r="AO25" s="145"/>
      <c r="AP25" s="145"/>
      <c r="AQ25" s="145"/>
      <c r="AR25" s="145"/>
      <c r="AS25" s="145"/>
    </row>
    <row r="26" spans="1:45" s="34" customFormat="1" ht="9.6" customHeight="1" x14ac:dyDescent="0.25">
      <c r="A26" s="221"/>
      <c r="B26" s="141"/>
      <c r="C26" s="141"/>
      <c r="D26" s="141"/>
      <c r="E26" s="220"/>
      <c r="F26" s="141"/>
      <c r="G26" s="141"/>
      <c r="H26" s="141"/>
      <c r="I26" s="141"/>
      <c r="J26" s="220"/>
      <c r="K26" s="141"/>
      <c r="L26" s="141"/>
      <c r="M26" s="141"/>
      <c r="N26" s="143"/>
      <c r="O26" s="143"/>
      <c r="P26" s="143"/>
      <c r="Q26" s="143"/>
      <c r="R26" s="144"/>
      <c r="S26" s="178"/>
      <c r="T26" s="145"/>
      <c r="U26" s="145"/>
      <c r="V26" s="145"/>
      <c r="W26" s="145"/>
      <c r="X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1"/>
      <c r="AJ26" s="371"/>
      <c r="AK26" s="371"/>
      <c r="AL26" s="145"/>
      <c r="AM26" s="145"/>
      <c r="AN26" s="145"/>
      <c r="AO26" s="145"/>
      <c r="AP26" s="145"/>
      <c r="AQ26" s="145"/>
      <c r="AR26" s="145"/>
      <c r="AS26" s="145"/>
    </row>
    <row r="27" spans="1:45" s="34" customFormat="1" ht="9.6" customHeight="1" x14ac:dyDescent="0.25">
      <c r="A27" s="221"/>
      <c r="B27" s="220"/>
      <c r="C27" s="220"/>
      <c r="D27" s="220"/>
      <c r="E27" s="220"/>
      <c r="F27" s="141"/>
      <c r="G27" s="141"/>
      <c r="H27" s="145"/>
      <c r="I27" s="340"/>
      <c r="J27" s="220"/>
      <c r="K27" s="141"/>
      <c r="L27" s="141"/>
      <c r="M27" s="141"/>
      <c r="N27" s="143"/>
      <c r="O27" s="143"/>
      <c r="P27" s="143"/>
      <c r="Q27" s="143"/>
      <c r="R27" s="144"/>
      <c r="S27" s="145"/>
      <c r="T27" s="145"/>
      <c r="U27" s="145"/>
      <c r="V27" s="145"/>
      <c r="W27" s="145"/>
      <c r="X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1"/>
      <c r="AJ27" s="371"/>
      <c r="AK27" s="371"/>
      <c r="AL27" s="145"/>
      <c r="AM27" s="145"/>
      <c r="AN27" s="145"/>
      <c r="AO27" s="145"/>
      <c r="AP27" s="145"/>
      <c r="AQ27" s="145"/>
      <c r="AR27" s="145"/>
      <c r="AS27" s="145"/>
    </row>
    <row r="28" spans="1:45" s="34" customFormat="1" ht="9.6" customHeight="1" x14ac:dyDescent="0.25">
      <c r="A28" s="221"/>
      <c r="B28" s="141"/>
      <c r="C28" s="141"/>
      <c r="D28" s="141"/>
      <c r="E28" s="220"/>
      <c r="F28" s="141"/>
      <c r="G28" s="141"/>
      <c r="H28" s="141"/>
      <c r="I28" s="141"/>
      <c r="J28" s="220"/>
      <c r="K28" s="141"/>
      <c r="L28" s="141"/>
      <c r="M28" s="141"/>
      <c r="N28" s="143"/>
      <c r="O28" s="143"/>
      <c r="P28" s="143"/>
      <c r="Q28" s="143"/>
      <c r="R28" s="144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393"/>
      <c r="AJ28" s="393"/>
      <c r="AK28" s="393"/>
      <c r="AL28" s="145"/>
      <c r="AM28" s="145"/>
      <c r="AN28" s="145"/>
      <c r="AO28" s="145"/>
      <c r="AP28" s="145"/>
      <c r="AQ28" s="145"/>
      <c r="AR28" s="145"/>
      <c r="AS28" s="145"/>
    </row>
    <row r="29" spans="1:45" s="34" customFormat="1" ht="9.6" customHeight="1" x14ac:dyDescent="0.25">
      <c r="A29" s="221"/>
      <c r="B29" s="220"/>
      <c r="C29" s="220"/>
      <c r="D29" s="220"/>
      <c r="E29" s="220"/>
      <c r="F29" s="141"/>
      <c r="G29" s="141"/>
      <c r="H29" s="145"/>
      <c r="I29" s="141"/>
      <c r="J29" s="220"/>
      <c r="K29" s="141"/>
      <c r="L29" s="141"/>
      <c r="M29" s="340"/>
      <c r="N29" s="220"/>
      <c r="O29" s="141"/>
      <c r="P29" s="143"/>
      <c r="Q29" s="143"/>
      <c r="R29" s="144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393"/>
      <c r="AJ29" s="393"/>
      <c r="AK29" s="393"/>
      <c r="AL29" s="145"/>
      <c r="AM29" s="145"/>
      <c r="AN29" s="145"/>
      <c r="AO29" s="145"/>
      <c r="AP29" s="145"/>
      <c r="AQ29" s="145"/>
      <c r="AR29" s="145"/>
      <c r="AS29" s="145"/>
    </row>
    <row r="30" spans="1:45" s="34" customFormat="1" ht="9.6" customHeight="1" x14ac:dyDescent="0.25">
      <c r="A30" s="221"/>
      <c r="B30" s="141"/>
      <c r="C30" s="141"/>
      <c r="D30" s="141"/>
      <c r="E30" s="220"/>
      <c r="F30" s="141"/>
      <c r="G30" s="141"/>
      <c r="H30" s="141"/>
      <c r="I30" s="141"/>
      <c r="J30" s="220"/>
      <c r="K30" s="141"/>
      <c r="L30" s="141"/>
      <c r="M30" s="141"/>
      <c r="N30" s="143"/>
      <c r="O30" s="141"/>
      <c r="P30" s="143"/>
      <c r="Q30" s="143"/>
      <c r="R30" s="144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393"/>
      <c r="AJ30" s="393"/>
      <c r="AK30" s="393"/>
      <c r="AL30" s="145"/>
      <c r="AM30" s="145"/>
      <c r="AN30" s="145"/>
      <c r="AO30" s="145"/>
      <c r="AP30" s="145"/>
      <c r="AQ30" s="145"/>
      <c r="AR30" s="145"/>
      <c r="AS30" s="145"/>
    </row>
    <row r="31" spans="1:45" s="34" customFormat="1" ht="9.6" customHeight="1" x14ac:dyDescent="0.25">
      <c r="A31" s="221"/>
      <c r="B31" s="220"/>
      <c r="C31" s="220"/>
      <c r="D31" s="220"/>
      <c r="E31" s="220"/>
      <c r="F31" s="141"/>
      <c r="G31" s="141"/>
      <c r="H31" s="145"/>
      <c r="I31" s="340"/>
      <c r="J31" s="220"/>
      <c r="K31" s="141"/>
      <c r="L31" s="141"/>
      <c r="M31" s="141"/>
      <c r="N31" s="143"/>
      <c r="O31" s="143"/>
      <c r="P31" s="143"/>
      <c r="Q31" s="143"/>
      <c r="R31" s="144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393"/>
      <c r="AJ31" s="393"/>
      <c r="AK31" s="393"/>
      <c r="AL31" s="145"/>
      <c r="AM31" s="145"/>
      <c r="AN31" s="145"/>
      <c r="AO31" s="145"/>
      <c r="AP31" s="145"/>
      <c r="AQ31" s="145"/>
      <c r="AR31" s="145"/>
      <c r="AS31" s="145"/>
    </row>
    <row r="32" spans="1:45" s="34" customFormat="1" ht="9.6" customHeight="1" x14ac:dyDescent="0.25">
      <c r="A32" s="221"/>
      <c r="B32" s="141"/>
      <c r="C32" s="141"/>
      <c r="D32" s="141"/>
      <c r="E32" s="220"/>
      <c r="F32" s="141"/>
      <c r="G32" s="141"/>
      <c r="H32" s="141"/>
      <c r="I32" s="141"/>
      <c r="J32" s="220"/>
      <c r="K32" s="141"/>
      <c r="L32" s="341"/>
      <c r="M32" s="141"/>
      <c r="N32" s="143"/>
      <c r="O32" s="143"/>
      <c r="P32" s="143"/>
      <c r="Q32" s="143"/>
      <c r="R32" s="144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393"/>
      <c r="AJ32" s="393"/>
      <c r="AK32" s="393"/>
      <c r="AL32" s="145"/>
      <c r="AM32" s="145"/>
      <c r="AN32" s="145"/>
      <c r="AO32" s="145"/>
      <c r="AP32" s="145"/>
      <c r="AQ32" s="145"/>
      <c r="AR32" s="145"/>
      <c r="AS32" s="145"/>
    </row>
    <row r="33" spans="1:45" s="34" customFormat="1" ht="9.6" customHeight="1" x14ac:dyDescent="0.25">
      <c r="A33" s="221"/>
      <c r="B33" s="220"/>
      <c r="C33" s="220"/>
      <c r="D33" s="220"/>
      <c r="E33" s="220"/>
      <c r="F33" s="141"/>
      <c r="G33" s="141"/>
      <c r="H33" s="145"/>
      <c r="I33" s="141"/>
      <c r="J33" s="220"/>
      <c r="K33" s="340"/>
      <c r="L33" s="220"/>
      <c r="M33" s="141"/>
      <c r="N33" s="143"/>
      <c r="O33" s="143"/>
      <c r="P33" s="143"/>
      <c r="Q33" s="143"/>
      <c r="R33" s="144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393"/>
      <c r="AJ33" s="393"/>
      <c r="AK33" s="393"/>
      <c r="AL33" s="145"/>
      <c r="AM33" s="145"/>
      <c r="AN33" s="145"/>
      <c r="AO33" s="145"/>
      <c r="AP33" s="145"/>
      <c r="AQ33" s="145"/>
      <c r="AR33" s="145"/>
      <c r="AS33" s="145"/>
    </row>
    <row r="34" spans="1:45" s="34" customFormat="1" ht="9.6" customHeight="1" x14ac:dyDescent="0.25">
      <c r="A34" s="221"/>
      <c r="B34" s="141"/>
      <c r="C34" s="141"/>
      <c r="D34" s="141"/>
      <c r="E34" s="220"/>
      <c r="F34" s="141"/>
      <c r="G34" s="141"/>
      <c r="H34" s="141"/>
      <c r="I34" s="141"/>
      <c r="J34" s="220"/>
      <c r="K34" s="141"/>
      <c r="L34" s="141"/>
      <c r="M34" s="141"/>
      <c r="N34" s="143"/>
      <c r="O34" s="143"/>
      <c r="P34" s="143"/>
      <c r="Q34" s="143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393"/>
      <c r="AJ34" s="393"/>
      <c r="AK34" s="393"/>
      <c r="AL34" s="145"/>
      <c r="AM34" s="145"/>
      <c r="AN34" s="145"/>
      <c r="AO34" s="145"/>
      <c r="AP34" s="145"/>
      <c r="AQ34" s="145"/>
      <c r="AR34" s="145"/>
      <c r="AS34" s="145"/>
    </row>
    <row r="35" spans="1:45" s="34" customFormat="1" ht="9.6" customHeight="1" x14ac:dyDescent="0.25">
      <c r="A35" s="221"/>
      <c r="B35" s="220"/>
      <c r="C35" s="220"/>
      <c r="D35" s="220"/>
      <c r="E35" s="220"/>
      <c r="F35" s="141"/>
      <c r="G35" s="141"/>
      <c r="H35" s="145"/>
      <c r="I35" s="340"/>
      <c r="J35" s="220"/>
      <c r="K35" s="141"/>
      <c r="L35" s="141"/>
      <c r="M35" s="141"/>
      <c r="N35" s="143"/>
      <c r="O35" s="143"/>
      <c r="P35" s="143"/>
      <c r="Q35" s="143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393"/>
      <c r="AJ35" s="393"/>
      <c r="AK35" s="393"/>
      <c r="AL35" s="145"/>
      <c r="AM35" s="145"/>
      <c r="AN35" s="145"/>
      <c r="AO35" s="145"/>
      <c r="AP35" s="145"/>
      <c r="AQ35" s="145"/>
      <c r="AR35" s="145"/>
      <c r="AS35" s="145"/>
    </row>
    <row r="36" spans="1:45" s="34" customFormat="1" ht="9.6" customHeight="1" x14ac:dyDescent="0.25">
      <c r="A36" s="350"/>
      <c r="B36" s="141"/>
      <c r="C36" s="141"/>
      <c r="D36" s="141"/>
      <c r="E36" s="220"/>
      <c r="F36" s="141"/>
      <c r="G36" s="141"/>
      <c r="H36" s="141"/>
      <c r="I36" s="141"/>
      <c r="J36" s="220"/>
      <c r="K36" s="141"/>
      <c r="L36" s="141"/>
      <c r="M36" s="141"/>
      <c r="N36" s="141"/>
      <c r="O36" s="141"/>
      <c r="P36" s="141"/>
      <c r="Q36" s="143"/>
      <c r="R36" s="144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393"/>
      <c r="AJ36" s="393"/>
      <c r="AK36" s="393"/>
      <c r="AL36" s="145"/>
      <c r="AM36" s="145"/>
      <c r="AN36" s="145"/>
      <c r="AO36" s="145"/>
      <c r="AP36" s="145"/>
      <c r="AQ36" s="145"/>
      <c r="AR36" s="145"/>
      <c r="AS36" s="145"/>
    </row>
    <row r="37" spans="1:45" s="34" customFormat="1" ht="9.6" customHeight="1" x14ac:dyDescent="0.25">
      <c r="A37" s="221"/>
      <c r="B37" s="220"/>
      <c r="C37" s="220"/>
      <c r="D37" s="220"/>
      <c r="E37" s="220"/>
      <c r="F37" s="336"/>
      <c r="G37" s="336"/>
      <c r="H37" s="339"/>
      <c r="I37" s="321"/>
      <c r="J37" s="329"/>
      <c r="K37" s="321"/>
      <c r="L37" s="321"/>
      <c r="M37" s="321"/>
      <c r="N37" s="331"/>
      <c r="O37" s="331"/>
      <c r="P37" s="331"/>
      <c r="Q37" s="143"/>
      <c r="R37" s="144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393"/>
      <c r="AJ37" s="393"/>
      <c r="AK37" s="393"/>
      <c r="AL37" s="145"/>
      <c r="AM37" s="145"/>
      <c r="AN37" s="145"/>
      <c r="AO37" s="145"/>
      <c r="AP37" s="145"/>
      <c r="AQ37" s="145"/>
      <c r="AR37" s="145"/>
      <c r="AS37" s="145"/>
    </row>
    <row r="38" spans="1:45" s="34" customFormat="1" ht="9.6" customHeight="1" x14ac:dyDescent="0.25">
      <c r="A38" s="350"/>
      <c r="B38" s="141"/>
      <c r="C38" s="141"/>
      <c r="D38" s="141"/>
      <c r="E38" s="220"/>
      <c r="F38" s="141"/>
      <c r="G38" s="141"/>
      <c r="H38" s="141"/>
      <c r="I38" s="141"/>
      <c r="J38" s="220"/>
      <c r="K38" s="141"/>
      <c r="L38" s="141"/>
      <c r="M38" s="141"/>
      <c r="N38" s="143"/>
      <c r="O38" s="143"/>
      <c r="P38" s="143"/>
      <c r="Q38" s="143"/>
      <c r="R38" s="144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393"/>
      <c r="AJ38" s="393"/>
      <c r="AK38" s="393"/>
      <c r="AL38" s="145"/>
      <c r="AM38" s="145"/>
      <c r="AN38" s="145"/>
      <c r="AO38" s="145"/>
      <c r="AP38" s="145"/>
      <c r="AQ38" s="145"/>
      <c r="AR38" s="145"/>
      <c r="AS38" s="145"/>
    </row>
    <row r="39" spans="1:45" s="34" customFormat="1" ht="9.6" customHeight="1" x14ac:dyDescent="0.25">
      <c r="A39" s="221"/>
      <c r="B39" s="220"/>
      <c r="C39" s="220"/>
      <c r="D39" s="220"/>
      <c r="E39" s="220"/>
      <c r="F39" s="141"/>
      <c r="G39" s="141"/>
      <c r="H39" s="145"/>
      <c r="I39" s="340"/>
      <c r="J39" s="220"/>
      <c r="K39" s="141"/>
      <c r="L39" s="141"/>
      <c r="M39" s="141"/>
      <c r="N39" s="143"/>
      <c r="O39" s="143"/>
      <c r="P39" s="143"/>
      <c r="Q39" s="143"/>
      <c r="R39" s="144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393"/>
      <c r="AJ39" s="393"/>
      <c r="AK39" s="393"/>
      <c r="AL39" s="145"/>
      <c r="AM39" s="145"/>
      <c r="AN39" s="145"/>
      <c r="AO39" s="145"/>
      <c r="AP39" s="145"/>
      <c r="AQ39" s="145"/>
      <c r="AR39" s="145"/>
      <c r="AS39" s="145"/>
    </row>
    <row r="40" spans="1:45" s="34" customFormat="1" ht="9.6" customHeight="1" x14ac:dyDescent="0.25">
      <c r="A40" s="221"/>
      <c r="B40" s="141"/>
      <c r="C40" s="141"/>
      <c r="D40" s="141"/>
      <c r="E40" s="220"/>
      <c r="F40" s="141"/>
      <c r="G40" s="141"/>
      <c r="H40" s="141"/>
      <c r="I40" s="141"/>
      <c r="J40" s="220"/>
      <c r="K40" s="141"/>
      <c r="L40" s="341"/>
      <c r="M40" s="141"/>
      <c r="N40" s="143"/>
      <c r="O40" s="143"/>
      <c r="P40" s="143"/>
      <c r="Q40" s="143"/>
      <c r="R40" s="144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393"/>
      <c r="AJ40" s="393"/>
      <c r="AK40" s="393"/>
      <c r="AL40" s="145"/>
      <c r="AM40" s="145"/>
      <c r="AN40" s="145"/>
      <c r="AO40" s="145"/>
      <c r="AP40" s="145"/>
      <c r="AQ40" s="145"/>
      <c r="AR40" s="145"/>
      <c r="AS40" s="145"/>
    </row>
    <row r="41" spans="1:45" s="34" customFormat="1" ht="9.6" customHeight="1" x14ac:dyDescent="0.25">
      <c r="A41" s="221"/>
      <c r="B41" s="220"/>
      <c r="C41" s="220"/>
      <c r="D41" s="220"/>
      <c r="E41" s="220"/>
      <c r="F41" s="141"/>
      <c r="G41" s="141"/>
      <c r="H41" s="145"/>
      <c r="I41" s="141"/>
      <c r="J41" s="220"/>
      <c r="K41" s="340"/>
      <c r="L41" s="220"/>
      <c r="M41" s="141"/>
      <c r="N41" s="143"/>
      <c r="O41" s="143"/>
      <c r="P41" s="143"/>
      <c r="Q41" s="143"/>
      <c r="R41" s="144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393"/>
      <c r="AJ41" s="393"/>
      <c r="AK41" s="393"/>
      <c r="AL41" s="145"/>
      <c r="AM41" s="145"/>
      <c r="AN41" s="145"/>
      <c r="AO41" s="145"/>
      <c r="AP41" s="145"/>
      <c r="AQ41" s="145"/>
      <c r="AR41" s="145"/>
      <c r="AS41" s="145"/>
    </row>
    <row r="42" spans="1:45" s="34" customFormat="1" ht="9.6" customHeight="1" x14ac:dyDescent="0.25">
      <c r="A42" s="221"/>
      <c r="B42" s="141"/>
      <c r="C42" s="141"/>
      <c r="D42" s="141"/>
      <c r="E42" s="220"/>
      <c r="F42" s="141"/>
      <c r="G42" s="141"/>
      <c r="H42" s="141"/>
      <c r="I42" s="141"/>
      <c r="J42" s="220"/>
      <c r="K42" s="141"/>
      <c r="L42" s="141"/>
      <c r="M42" s="141"/>
      <c r="N42" s="143"/>
      <c r="O42" s="143"/>
      <c r="P42" s="143"/>
      <c r="Q42" s="143"/>
      <c r="R42" s="144"/>
      <c r="S42" s="178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393"/>
      <c r="AJ42" s="393"/>
      <c r="AK42" s="393"/>
      <c r="AL42" s="145"/>
      <c r="AM42" s="145"/>
      <c r="AN42" s="145"/>
      <c r="AO42" s="145"/>
      <c r="AP42" s="145"/>
      <c r="AQ42" s="145"/>
      <c r="AR42" s="145"/>
      <c r="AS42" s="145"/>
    </row>
    <row r="43" spans="1:45" s="34" customFormat="1" ht="9.6" customHeight="1" x14ac:dyDescent="0.25">
      <c r="A43" s="221"/>
      <c r="B43" s="220"/>
      <c r="C43" s="220"/>
      <c r="D43" s="220"/>
      <c r="E43" s="220"/>
      <c r="F43" s="141"/>
      <c r="G43" s="141"/>
      <c r="H43" s="145"/>
      <c r="I43" s="340"/>
      <c r="J43" s="220"/>
      <c r="K43" s="141"/>
      <c r="L43" s="141"/>
      <c r="M43" s="141"/>
      <c r="N43" s="143"/>
      <c r="O43" s="143"/>
      <c r="P43" s="143"/>
      <c r="Q43" s="143"/>
      <c r="R43" s="144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393"/>
      <c r="AJ43" s="393"/>
      <c r="AK43" s="393"/>
      <c r="AL43" s="145"/>
      <c r="AM43" s="145"/>
      <c r="AN43" s="145"/>
      <c r="AO43" s="145"/>
      <c r="AP43" s="145"/>
      <c r="AQ43" s="145"/>
      <c r="AR43" s="145"/>
      <c r="AS43" s="145"/>
    </row>
    <row r="44" spans="1:45" s="34" customFormat="1" ht="9.6" customHeight="1" x14ac:dyDescent="0.25">
      <c r="A44" s="221"/>
      <c r="B44" s="141"/>
      <c r="C44" s="141"/>
      <c r="D44" s="141"/>
      <c r="E44" s="220"/>
      <c r="F44" s="141"/>
      <c r="G44" s="141"/>
      <c r="H44" s="141"/>
      <c r="I44" s="141"/>
      <c r="J44" s="220"/>
      <c r="K44" s="141"/>
      <c r="L44" s="141"/>
      <c r="M44" s="141"/>
      <c r="N44" s="143"/>
      <c r="O44" s="143"/>
      <c r="P44" s="143"/>
      <c r="Q44" s="143"/>
      <c r="R44" s="144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393"/>
      <c r="AJ44" s="393"/>
      <c r="AK44" s="393"/>
      <c r="AL44" s="145"/>
      <c r="AM44" s="145"/>
      <c r="AN44" s="145"/>
      <c r="AO44" s="145"/>
      <c r="AP44" s="145"/>
      <c r="AQ44" s="145"/>
      <c r="AR44" s="145"/>
      <c r="AS44" s="145"/>
    </row>
    <row r="45" spans="1:45" s="34" customFormat="1" ht="9.6" customHeight="1" x14ac:dyDescent="0.25">
      <c r="A45" s="221"/>
      <c r="B45" s="220"/>
      <c r="C45" s="220"/>
      <c r="D45" s="220"/>
      <c r="E45" s="220"/>
      <c r="F45" s="141"/>
      <c r="G45" s="141"/>
      <c r="H45" s="145"/>
      <c r="I45" s="141"/>
      <c r="J45" s="220"/>
      <c r="K45" s="141"/>
      <c r="L45" s="141"/>
      <c r="M45" s="340"/>
      <c r="N45" s="220"/>
      <c r="O45" s="141"/>
      <c r="P45" s="143"/>
      <c r="Q45" s="143"/>
      <c r="R45" s="144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393"/>
      <c r="AJ45" s="393"/>
      <c r="AK45" s="393"/>
      <c r="AL45" s="145"/>
      <c r="AM45" s="145"/>
      <c r="AN45" s="145"/>
      <c r="AO45" s="145"/>
      <c r="AP45" s="145"/>
      <c r="AQ45" s="145"/>
      <c r="AR45" s="145"/>
      <c r="AS45" s="145"/>
    </row>
    <row r="46" spans="1:45" s="34" customFormat="1" ht="9.6" customHeight="1" x14ac:dyDescent="0.25">
      <c r="A46" s="221"/>
      <c r="B46" s="141"/>
      <c r="C46" s="141"/>
      <c r="D46" s="141"/>
      <c r="E46" s="220"/>
      <c r="F46" s="141"/>
      <c r="G46" s="141"/>
      <c r="H46" s="141"/>
      <c r="I46" s="141"/>
      <c r="J46" s="220"/>
      <c r="K46" s="141"/>
      <c r="L46" s="141"/>
      <c r="M46" s="141"/>
      <c r="N46" s="143"/>
      <c r="O46" s="141"/>
      <c r="P46" s="143"/>
      <c r="Q46" s="143"/>
      <c r="R46" s="144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393"/>
      <c r="AJ46" s="393"/>
      <c r="AK46" s="393"/>
      <c r="AL46" s="145"/>
      <c r="AM46" s="145"/>
      <c r="AN46" s="145"/>
      <c r="AO46" s="145"/>
      <c r="AP46" s="145"/>
      <c r="AQ46" s="145"/>
      <c r="AR46" s="145"/>
      <c r="AS46" s="145"/>
    </row>
    <row r="47" spans="1:45" s="34" customFormat="1" ht="9.6" customHeight="1" x14ac:dyDescent="0.25">
      <c r="A47" s="221"/>
      <c r="B47" s="220"/>
      <c r="C47" s="220"/>
      <c r="D47" s="220"/>
      <c r="E47" s="220"/>
      <c r="F47" s="141"/>
      <c r="G47" s="141"/>
      <c r="H47" s="145"/>
      <c r="I47" s="340"/>
      <c r="J47" s="220"/>
      <c r="K47" s="141"/>
      <c r="L47" s="141"/>
      <c r="M47" s="141"/>
      <c r="N47" s="143"/>
      <c r="O47" s="143"/>
      <c r="P47" s="143"/>
      <c r="Q47" s="143"/>
      <c r="R47" s="144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393"/>
      <c r="AJ47" s="393"/>
      <c r="AK47" s="393"/>
      <c r="AL47" s="145"/>
      <c r="AM47" s="145"/>
      <c r="AN47" s="145"/>
      <c r="AO47" s="145"/>
      <c r="AP47" s="145"/>
      <c r="AQ47" s="145"/>
      <c r="AR47" s="145"/>
      <c r="AS47" s="145"/>
    </row>
    <row r="48" spans="1:45" s="34" customFormat="1" ht="9.6" customHeight="1" x14ac:dyDescent="0.25">
      <c r="A48" s="221"/>
      <c r="B48" s="141"/>
      <c r="C48" s="141"/>
      <c r="D48" s="141"/>
      <c r="E48" s="220"/>
      <c r="F48" s="141"/>
      <c r="G48" s="141"/>
      <c r="H48" s="141"/>
      <c r="I48" s="141"/>
      <c r="J48" s="220"/>
      <c r="K48" s="141"/>
      <c r="L48" s="341"/>
      <c r="M48" s="141"/>
      <c r="N48" s="143"/>
      <c r="O48" s="143"/>
      <c r="P48" s="143"/>
      <c r="Q48" s="143"/>
      <c r="R48" s="144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393"/>
      <c r="AJ48" s="393"/>
      <c r="AK48" s="393"/>
      <c r="AL48" s="145"/>
      <c r="AM48" s="145"/>
      <c r="AN48" s="145"/>
      <c r="AO48" s="145"/>
      <c r="AP48" s="145"/>
      <c r="AQ48" s="145"/>
      <c r="AR48" s="145"/>
      <c r="AS48" s="145"/>
    </row>
    <row r="49" spans="1:45" s="34" customFormat="1" ht="9.6" customHeight="1" x14ac:dyDescent="0.25">
      <c r="A49" s="221"/>
      <c r="B49" s="220"/>
      <c r="C49" s="220"/>
      <c r="D49" s="220"/>
      <c r="E49" s="220"/>
      <c r="F49" s="141"/>
      <c r="G49" s="141"/>
      <c r="H49" s="145"/>
      <c r="I49" s="141"/>
      <c r="J49" s="220"/>
      <c r="K49" s="340"/>
      <c r="L49" s="220"/>
      <c r="M49" s="141"/>
      <c r="N49" s="143"/>
      <c r="O49" s="143"/>
      <c r="P49" s="143"/>
      <c r="Q49" s="143"/>
      <c r="R49" s="144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393"/>
      <c r="AJ49" s="393"/>
      <c r="AK49" s="393"/>
      <c r="AL49" s="145"/>
      <c r="AM49" s="145"/>
      <c r="AN49" s="145"/>
      <c r="AO49" s="145"/>
      <c r="AP49" s="145"/>
      <c r="AQ49" s="145"/>
      <c r="AR49" s="145"/>
      <c r="AS49" s="145"/>
    </row>
    <row r="50" spans="1:45" s="34" customFormat="1" ht="9.6" customHeight="1" x14ac:dyDescent="0.25">
      <c r="A50" s="221"/>
      <c r="B50" s="141"/>
      <c r="C50" s="141"/>
      <c r="D50" s="141"/>
      <c r="E50" s="220"/>
      <c r="F50" s="141"/>
      <c r="G50" s="141"/>
      <c r="H50" s="141"/>
      <c r="I50" s="141"/>
      <c r="J50" s="220"/>
      <c r="K50" s="141"/>
      <c r="L50" s="141"/>
      <c r="M50" s="141"/>
      <c r="N50" s="143"/>
      <c r="O50" s="143"/>
      <c r="P50" s="143"/>
      <c r="Q50" s="143"/>
      <c r="R50" s="144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393"/>
      <c r="AJ50" s="393"/>
      <c r="AK50" s="393"/>
      <c r="AL50" s="145"/>
      <c r="AM50" s="145"/>
      <c r="AN50" s="145"/>
      <c r="AO50" s="145"/>
      <c r="AP50" s="145"/>
      <c r="AQ50" s="145"/>
      <c r="AR50" s="145"/>
      <c r="AS50" s="145"/>
    </row>
    <row r="51" spans="1:45" s="34" customFormat="1" ht="9.6" customHeight="1" x14ac:dyDescent="0.25">
      <c r="A51" s="221"/>
      <c r="B51" s="220"/>
      <c r="C51" s="220"/>
      <c r="D51" s="220"/>
      <c r="E51" s="220"/>
      <c r="F51" s="141"/>
      <c r="G51" s="141"/>
      <c r="H51" s="145"/>
      <c r="I51" s="340"/>
      <c r="J51" s="220"/>
      <c r="K51" s="141"/>
      <c r="L51" s="141"/>
      <c r="M51" s="141"/>
      <c r="N51" s="143"/>
      <c r="O51" s="143"/>
      <c r="P51" s="143"/>
      <c r="Q51" s="143"/>
      <c r="R51" s="144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393"/>
      <c r="AJ51" s="393"/>
      <c r="AK51" s="393"/>
      <c r="AL51" s="145"/>
      <c r="AM51" s="145"/>
      <c r="AN51" s="145"/>
      <c r="AO51" s="145"/>
      <c r="AP51" s="145"/>
      <c r="AQ51" s="145"/>
      <c r="AR51" s="145"/>
      <c r="AS51" s="145"/>
    </row>
    <row r="52" spans="1:45" s="34" customFormat="1" ht="9.6" customHeight="1" x14ac:dyDescent="0.25">
      <c r="A52" s="350"/>
      <c r="B52" s="141"/>
      <c r="C52" s="141"/>
      <c r="D52" s="141"/>
      <c r="E52" s="220"/>
      <c r="F52" s="426"/>
      <c r="G52" s="426"/>
      <c r="H52" s="426"/>
      <c r="I52" s="426"/>
      <c r="J52" s="220"/>
      <c r="K52" s="141"/>
      <c r="L52" s="141"/>
      <c r="M52" s="141"/>
      <c r="N52" s="141"/>
      <c r="O52" s="141"/>
      <c r="P52" s="141"/>
      <c r="Q52" s="143"/>
      <c r="R52" s="144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393"/>
      <c r="AJ52" s="393"/>
      <c r="AK52" s="393"/>
      <c r="AL52" s="145"/>
      <c r="AM52" s="145"/>
      <c r="AN52" s="145"/>
      <c r="AO52" s="145"/>
      <c r="AP52" s="145"/>
      <c r="AQ52" s="145"/>
      <c r="AR52" s="145"/>
      <c r="AS52" s="145"/>
    </row>
    <row r="53" spans="1:45" s="2" customFormat="1" ht="6.75" customHeight="1" x14ac:dyDescent="0.25">
      <c r="A53" s="179"/>
      <c r="B53" s="179"/>
      <c r="C53" s="179"/>
      <c r="D53" s="179"/>
      <c r="E53" s="179"/>
      <c r="F53" s="427"/>
      <c r="G53" s="427"/>
      <c r="H53" s="427"/>
      <c r="I53" s="427"/>
      <c r="J53" s="181"/>
      <c r="K53" s="182"/>
      <c r="L53" s="183"/>
      <c r="M53" s="182"/>
      <c r="N53" s="183"/>
      <c r="O53" s="182"/>
      <c r="P53" s="183"/>
      <c r="Q53" s="182"/>
      <c r="R53" s="183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393"/>
      <c r="AJ53" s="393"/>
      <c r="AK53" s="393"/>
      <c r="AL53" s="184"/>
      <c r="AM53" s="184"/>
      <c r="AN53" s="184"/>
      <c r="AO53" s="184"/>
      <c r="AP53" s="184"/>
      <c r="AQ53" s="184"/>
      <c r="AR53" s="184"/>
      <c r="AS53" s="184"/>
    </row>
    <row r="54" spans="1:45" s="18" customFormat="1" ht="10.5" customHeight="1" x14ac:dyDescent="0.25">
      <c r="A54" s="185" t="s">
        <v>44</v>
      </c>
      <c r="B54" s="186"/>
      <c r="C54" s="186"/>
      <c r="D54" s="276"/>
      <c r="E54" s="187" t="s">
        <v>5</v>
      </c>
      <c r="F54" s="188" t="s">
        <v>46</v>
      </c>
      <c r="G54" s="187"/>
      <c r="H54" s="189"/>
      <c r="I54" s="190"/>
      <c r="J54" s="187" t="s">
        <v>5</v>
      </c>
      <c r="K54" s="188" t="s">
        <v>54</v>
      </c>
      <c r="L54" s="191"/>
      <c r="M54" s="188" t="s">
        <v>55</v>
      </c>
      <c r="N54" s="192"/>
      <c r="O54" s="193" t="s">
        <v>56</v>
      </c>
      <c r="P54" s="193"/>
      <c r="Q54" s="194"/>
      <c r="R54" s="195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394"/>
      <c r="AJ54" s="394"/>
      <c r="AK54" s="394"/>
      <c r="AL54" s="87"/>
      <c r="AM54" s="87"/>
      <c r="AN54" s="87"/>
      <c r="AO54" s="87"/>
      <c r="AP54" s="87"/>
      <c r="AQ54" s="87"/>
      <c r="AR54" s="87"/>
      <c r="AS54" s="87"/>
    </row>
    <row r="55" spans="1:45" s="18" customFormat="1" ht="9" customHeight="1" x14ac:dyDescent="0.25">
      <c r="A55" s="359" t="s">
        <v>45</v>
      </c>
      <c r="B55" s="360"/>
      <c r="C55" s="361"/>
      <c r="D55" s="362"/>
      <c r="E55" s="198">
        <v>1</v>
      </c>
      <c r="F55" s="87" t="str">
        <f>IF(E55&gt;$R$62,,UPPER(VLOOKUP(E55,'F12 csapat ELO'!$A$7:$Q$134,2)))</f>
        <v>TENISZ MŰHELY</v>
      </c>
      <c r="G55" s="198"/>
      <c r="H55" s="87"/>
      <c r="I55" s="86"/>
      <c r="J55" s="351" t="s">
        <v>6</v>
      </c>
      <c r="K55" s="85"/>
      <c r="L55" s="352"/>
      <c r="M55" s="85"/>
      <c r="N55" s="353"/>
      <c r="O55" s="354" t="s">
        <v>47</v>
      </c>
      <c r="P55" s="355"/>
      <c r="Q55" s="355"/>
      <c r="R55" s="353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394"/>
      <c r="AJ55" s="394"/>
      <c r="AK55" s="394"/>
      <c r="AL55" s="87"/>
      <c r="AM55" s="87"/>
      <c r="AN55" s="87"/>
      <c r="AO55" s="87"/>
      <c r="AP55" s="87"/>
      <c r="AQ55" s="87"/>
      <c r="AR55" s="87"/>
      <c r="AS55" s="87"/>
    </row>
    <row r="56" spans="1:45" s="18" customFormat="1" ht="9" customHeight="1" x14ac:dyDescent="0.25">
      <c r="A56" s="363" t="s">
        <v>53</v>
      </c>
      <c r="B56" s="222"/>
      <c r="C56" s="364"/>
      <c r="D56" s="365"/>
      <c r="E56" s="198">
        <v>2</v>
      </c>
      <c r="F56" s="87" t="str">
        <f>IF(E56&gt;$R$62,,UPPER(VLOOKUP(E56,'F12 csapat ELO'!$A$7:$Q$134,2)))</f>
        <v>PASARÉT TK 1</v>
      </c>
      <c r="G56" s="198"/>
      <c r="H56" s="87"/>
      <c r="I56" s="86"/>
      <c r="J56" s="351" t="s">
        <v>7</v>
      </c>
      <c r="K56" s="85"/>
      <c r="L56" s="352"/>
      <c r="M56" s="85"/>
      <c r="N56" s="353"/>
      <c r="O56" s="214"/>
      <c r="P56" s="356"/>
      <c r="Q56" s="222"/>
      <c r="R56" s="35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394"/>
      <c r="AJ56" s="394"/>
      <c r="AK56" s="394"/>
      <c r="AL56" s="87"/>
      <c r="AM56" s="87"/>
      <c r="AN56" s="87"/>
      <c r="AO56" s="87"/>
      <c r="AP56" s="87"/>
      <c r="AQ56" s="87"/>
      <c r="AR56" s="87"/>
      <c r="AS56" s="87"/>
    </row>
    <row r="57" spans="1:45" s="18" customFormat="1" ht="9" customHeight="1" x14ac:dyDescent="0.25">
      <c r="A57" s="236"/>
      <c r="B57" s="237"/>
      <c r="C57" s="274"/>
      <c r="D57" s="238"/>
      <c r="E57" s="198"/>
      <c r="F57" s="87"/>
      <c r="G57" s="198"/>
      <c r="H57" s="87"/>
      <c r="I57" s="86"/>
      <c r="J57" s="351" t="s">
        <v>8</v>
      </c>
      <c r="K57" s="85"/>
      <c r="L57" s="352"/>
      <c r="M57" s="85"/>
      <c r="N57" s="353"/>
      <c r="O57" s="354" t="s">
        <v>48</v>
      </c>
      <c r="P57" s="355"/>
      <c r="Q57" s="355"/>
      <c r="R57" s="353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394"/>
      <c r="AJ57" s="394"/>
      <c r="AK57" s="394"/>
      <c r="AL57" s="87"/>
      <c r="AM57" s="87"/>
      <c r="AN57" s="87"/>
      <c r="AO57" s="87"/>
      <c r="AP57" s="87"/>
      <c r="AQ57" s="87"/>
      <c r="AR57" s="87"/>
      <c r="AS57" s="87"/>
    </row>
    <row r="58" spans="1:45" s="18" customFormat="1" ht="9" customHeight="1" x14ac:dyDescent="0.25">
      <c r="A58" s="211"/>
      <c r="B58" s="269"/>
      <c r="C58" s="269"/>
      <c r="D58" s="212"/>
      <c r="E58" s="198"/>
      <c r="F58" s="87"/>
      <c r="G58" s="198"/>
      <c r="H58" s="87"/>
      <c r="I58" s="86"/>
      <c r="J58" s="351" t="s">
        <v>9</v>
      </c>
      <c r="K58" s="85"/>
      <c r="L58" s="352"/>
      <c r="M58" s="85"/>
      <c r="N58" s="353"/>
      <c r="O58" s="85"/>
      <c r="P58" s="352"/>
      <c r="Q58" s="85"/>
      <c r="R58" s="353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394"/>
      <c r="AJ58" s="394"/>
      <c r="AK58" s="394"/>
      <c r="AL58" s="87"/>
      <c r="AM58" s="87"/>
      <c r="AN58" s="87"/>
      <c r="AO58" s="87"/>
      <c r="AP58" s="87"/>
      <c r="AQ58" s="87"/>
      <c r="AR58" s="87"/>
      <c r="AS58" s="87"/>
    </row>
    <row r="59" spans="1:45" s="18" customFormat="1" ht="9" customHeight="1" x14ac:dyDescent="0.25">
      <c r="A59" s="224"/>
      <c r="B59" s="239"/>
      <c r="C59" s="239"/>
      <c r="D59" s="275"/>
      <c r="E59" s="198"/>
      <c r="F59" s="87"/>
      <c r="G59" s="198"/>
      <c r="H59" s="87"/>
      <c r="I59" s="86"/>
      <c r="J59" s="351" t="s">
        <v>10</v>
      </c>
      <c r="K59" s="85"/>
      <c r="L59" s="352"/>
      <c r="M59" s="85"/>
      <c r="N59" s="353"/>
      <c r="O59" s="222"/>
      <c r="P59" s="356"/>
      <c r="Q59" s="222"/>
      <c r="R59" s="35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394"/>
      <c r="AJ59" s="394"/>
      <c r="AK59" s="394"/>
      <c r="AL59" s="87"/>
      <c r="AM59" s="87"/>
      <c r="AN59" s="87"/>
      <c r="AO59" s="87"/>
      <c r="AP59" s="87"/>
      <c r="AQ59" s="87"/>
      <c r="AR59" s="87"/>
      <c r="AS59" s="87"/>
    </row>
    <row r="60" spans="1:45" s="18" customFormat="1" ht="9" customHeight="1" x14ac:dyDescent="0.25">
      <c r="A60" s="225"/>
      <c r="B60" s="242"/>
      <c r="C60" s="269"/>
      <c r="D60" s="212"/>
      <c r="E60" s="198"/>
      <c r="F60" s="87"/>
      <c r="G60" s="198"/>
      <c r="H60" s="87"/>
      <c r="I60" s="86"/>
      <c r="J60" s="351" t="s">
        <v>11</v>
      </c>
      <c r="K60" s="85"/>
      <c r="L60" s="352"/>
      <c r="M60" s="85"/>
      <c r="N60" s="353"/>
      <c r="O60" s="354" t="s">
        <v>34</v>
      </c>
      <c r="P60" s="355"/>
      <c r="Q60" s="355"/>
      <c r="R60" s="353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394"/>
      <c r="AJ60" s="394"/>
      <c r="AK60" s="394"/>
      <c r="AL60" s="87"/>
      <c r="AM60" s="87"/>
      <c r="AN60" s="87"/>
      <c r="AO60" s="87"/>
      <c r="AP60" s="87"/>
      <c r="AQ60" s="87"/>
      <c r="AR60" s="87"/>
      <c r="AS60" s="87"/>
    </row>
    <row r="61" spans="1:45" s="18" customFormat="1" ht="9" customHeight="1" x14ac:dyDescent="0.25">
      <c r="A61" s="225"/>
      <c r="B61" s="242"/>
      <c r="C61" s="270"/>
      <c r="D61" s="234"/>
      <c r="E61" s="198"/>
      <c r="F61" s="87"/>
      <c r="G61" s="198"/>
      <c r="H61" s="87"/>
      <c r="I61" s="86"/>
      <c r="J61" s="351" t="s">
        <v>12</v>
      </c>
      <c r="K61" s="85"/>
      <c r="L61" s="352"/>
      <c r="M61" s="85"/>
      <c r="N61" s="353"/>
      <c r="O61" s="85"/>
      <c r="P61" s="352"/>
      <c r="Q61" s="85"/>
      <c r="R61" s="353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394"/>
      <c r="AJ61" s="394"/>
      <c r="AK61" s="394"/>
      <c r="AL61" s="87"/>
      <c r="AM61" s="87"/>
      <c r="AN61" s="87"/>
      <c r="AO61" s="87"/>
      <c r="AP61" s="87"/>
      <c r="AQ61" s="87"/>
      <c r="AR61" s="87"/>
      <c r="AS61" s="87"/>
    </row>
    <row r="62" spans="1:45" s="18" customFormat="1" ht="9" customHeight="1" x14ac:dyDescent="0.25">
      <c r="A62" s="226"/>
      <c r="B62" s="223"/>
      <c r="C62" s="271"/>
      <c r="D62" s="235"/>
      <c r="E62" s="215"/>
      <c r="F62" s="214"/>
      <c r="G62" s="215"/>
      <c r="H62" s="214"/>
      <c r="I62" s="216"/>
      <c r="J62" s="358" t="s">
        <v>13</v>
      </c>
      <c r="K62" s="222"/>
      <c r="L62" s="356"/>
      <c r="M62" s="222"/>
      <c r="N62" s="357"/>
      <c r="O62" s="222" t="str">
        <f>R4</f>
        <v>Rákóczi Andrea</v>
      </c>
      <c r="P62" s="356"/>
      <c r="Q62" s="222"/>
      <c r="R62" s="218">
        <f>MIN(4,'F12 csapat ELO'!Q5)</f>
        <v>4</v>
      </c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394"/>
      <c r="AJ62" s="394"/>
      <c r="AK62" s="394"/>
      <c r="AL62" s="87"/>
      <c r="AM62" s="87"/>
      <c r="AN62" s="87"/>
      <c r="AO62" s="87"/>
      <c r="AP62" s="87"/>
      <c r="AQ62" s="87"/>
      <c r="AR62" s="87"/>
      <c r="AS62" s="87"/>
    </row>
    <row r="63" spans="1:45" x14ac:dyDescent="0.25"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L63" s="348"/>
      <c r="AM63" s="348"/>
      <c r="AN63" s="348"/>
      <c r="AO63" s="348"/>
      <c r="AP63" s="348"/>
      <c r="AQ63" s="348"/>
      <c r="AR63" s="348"/>
      <c r="AS63" s="348"/>
    </row>
    <row r="64" spans="1:45" x14ac:dyDescent="0.25"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L64" s="348"/>
      <c r="AM64" s="348"/>
      <c r="AN64" s="348"/>
      <c r="AO64" s="348"/>
      <c r="AP64" s="348"/>
      <c r="AQ64" s="348"/>
      <c r="AR64" s="348"/>
      <c r="AS64" s="348"/>
    </row>
    <row r="65" spans="20:45" x14ac:dyDescent="0.25"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L65" s="348"/>
      <c r="AM65" s="348"/>
      <c r="AN65" s="348"/>
      <c r="AO65" s="348"/>
      <c r="AP65" s="348"/>
      <c r="AQ65" s="348"/>
      <c r="AR65" s="348"/>
      <c r="AS65" s="348"/>
    </row>
    <row r="66" spans="20:45" x14ac:dyDescent="0.25"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L66" s="348"/>
      <c r="AM66" s="348"/>
      <c r="AN66" s="348"/>
      <c r="AO66" s="348"/>
      <c r="AP66" s="348"/>
      <c r="AQ66" s="348"/>
      <c r="AR66" s="348"/>
      <c r="AS66" s="348"/>
    </row>
    <row r="67" spans="20:45" x14ac:dyDescent="0.25"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L67" s="348"/>
      <c r="AM67" s="348"/>
      <c r="AN67" s="348"/>
      <c r="AO67" s="348"/>
      <c r="AP67" s="348"/>
      <c r="AQ67" s="348"/>
      <c r="AR67" s="348"/>
      <c r="AS67" s="348"/>
    </row>
    <row r="68" spans="20:45" x14ac:dyDescent="0.25"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L68" s="348"/>
      <c r="AM68" s="348"/>
      <c r="AN68" s="348"/>
      <c r="AO68" s="348"/>
      <c r="AP68" s="348"/>
      <c r="AQ68" s="348"/>
      <c r="AR68" s="348"/>
      <c r="AS68" s="348"/>
    </row>
    <row r="69" spans="20:45" x14ac:dyDescent="0.25"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L69" s="348"/>
      <c r="AM69" s="348"/>
      <c r="AN69" s="348"/>
      <c r="AO69" s="348"/>
      <c r="AP69" s="348"/>
      <c r="AQ69" s="348"/>
      <c r="AR69" s="348"/>
      <c r="AS69" s="348"/>
    </row>
    <row r="70" spans="20:45" x14ac:dyDescent="0.25"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L70" s="348"/>
      <c r="AM70" s="348"/>
      <c r="AN70" s="348"/>
      <c r="AO70" s="348"/>
      <c r="AP70" s="348"/>
      <c r="AQ70" s="348"/>
      <c r="AR70" s="348"/>
      <c r="AS70" s="348"/>
    </row>
    <row r="71" spans="20:45" x14ac:dyDescent="0.25"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L71" s="348"/>
      <c r="AM71" s="348"/>
      <c r="AN71" s="348"/>
      <c r="AO71" s="348"/>
      <c r="AP71" s="348"/>
      <c r="AQ71" s="348"/>
      <c r="AR71" s="348"/>
      <c r="AS71" s="348"/>
    </row>
    <row r="72" spans="20:45" x14ac:dyDescent="0.2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L72" s="348"/>
      <c r="AM72" s="348"/>
      <c r="AN72" s="348"/>
      <c r="AO72" s="348"/>
      <c r="AP72" s="348"/>
      <c r="AQ72" s="348"/>
      <c r="AR72" s="348"/>
      <c r="AS72" s="348"/>
    </row>
    <row r="73" spans="20:45" x14ac:dyDescent="0.25"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L73" s="348"/>
      <c r="AM73" s="348"/>
      <c r="AN73" s="348"/>
      <c r="AO73" s="348"/>
      <c r="AP73" s="348"/>
      <c r="AQ73" s="348"/>
      <c r="AR73" s="348"/>
      <c r="AS73" s="348"/>
    </row>
    <row r="74" spans="20:45" x14ac:dyDescent="0.25"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L74" s="348"/>
      <c r="AM74" s="348"/>
      <c r="AN74" s="348"/>
      <c r="AO74" s="348"/>
      <c r="AP74" s="348"/>
      <c r="AQ74" s="348"/>
      <c r="AR74" s="348"/>
      <c r="AS74" s="348"/>
    </row>
    <row r="75" spans="20:45" x14ac:dyDescent="0.25"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L75" s="348"/>
      <c r="AM75" s="348"/>
      <c r="AN75" s="348"/>
      <c r="AO75" s="348"/>
      <c r="AP75" s="348"/>
      <c r="AQ75" s="348"/>
      <c r="AR75" s="348"/>
      <c r="AS75" s="348"/>
    </row>
    <row r="76" spans="20:45" x14ac:dyDescent="0.25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L76" s="348"/>
      <c r="AM76" s="348"/>
      <c r="AN76" s="348"/>
      <c r="AO76" s="348"/>
      <c r="AP76" s="348"/>
      <c r="AQ76" s="348"/>
      <c r="AR76" s="348"/>
      <c r="AS76" s="348"/>
    </row>
    <row r="77" spans="20:45" x14ac:dyDescent="0.25"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L77" s="348"/>
      <c r="AM77" s="348"/>
      <c r="AN77" s="348"/>
      <c r="AO77" s="348"/>
      <c r="AP77" s="348"/>
      <c r="AQ77" s="348"/>
      <c r="AR77" s="348"/>
      <c r="AS77" s="348"/>
    </row>
    <row r="78" spans="20:45" x14ac:dyDescent="0.25"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L78" s="348"/>
      <c r="AM78" s="348"/>
      <c r="AN78" s="348"/>
      <c r="AO78" s="348"/>
      <c r="AP78" s="348"/>
      <c r="AQ78" s="348"/>
      <c r="AR78" s="348"/>
      <c r="AS78" s="348"/>
    </row>
    <row r="79" spans="20:45" x14ac:dyDescent="0.25"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L79" s="348"/>
      <c r="AM79" s="348"/>
      <c r="AN79" s="348"/>
      <c r="AO79" s="348"/>
      <c r="AP79" s="348"/>
      <c r="AQ79" s="348"/>
      <c r="AR79" s="348"/>
      <c r="AS79" s="348"/>
    </row>
    <row r="80" spans="20:45" x14ac:dyDescent="0.25"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L80" s="348"/>
      <c r="AM80" s="348"/>
      <c r="AN80" s="348"/>
      <c r="AO80" s="348"/>
      <c r="AP80" s="348"/>
      <c r="AQ80" s="348"/>
      <c r="AR80" s="348"/>
      <c r="AS80" s="348"/>
    </row>
    <row r="81" spans="20:45" x14ac:dyDescent="0.25"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348"/>
      <c r="AH81" s="348"/>
      <c r="AL81" s="348"/>
      <c r="AM81" s="348"/>
      <c r="AN81" s="348"/>
      <c r="AO81" s="348"/>
      <c r="AP81" s="348"/>
      <c r="AQ81" s="348"/>
      <c r="AR81" s="348"/>
      <c r="AS81" s="348"/>
    </row>
    <row r="82" spans="20:45" x14ac:dyDescent="0.25"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L82" s="348"/>
      <c r="AM82" s="348"/>
      <c r="AN82" s="348"/>
      <c r="AO82" s="348"/>
      <c r="AP82" s="348"/>
      <c r="AQ82" s="348"/>
      <c r="AR82" s="348"/>
      <c r="AS82" s="348"/>
    </row>
    <row r="83" spans="20:45" x14ac:dyDescent="0.25"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L83" s="348"/>
      <c r="AM83" s="348"/>
      <c r="AN83" s="348"/>
      <c r="AO83" s="348"/>
      <c r="AP83" s="348"/>
      <c r="AQ83" s="348"/>
      <c r="AR83" s="348"/>
      <c r="AS83" s="348"/>
    </row>
    <row r="84" spans="20:45" x14ac:dyDescent="0.25"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L84" s="348"/>
      <c r="AM84" s="348"/>
      <c r="AN84" s="348"/>
      <c r="AO84" s="348"/>
      <c r="AP84" s="348"/>
      <c r="AQ84" s="348"/>
      <c r="AR84" s="348"/>
      <c r="AS84" s="348"/>
    </row>
    <row r="85" spans="20:45" x14ac:dyDescent="0.25"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L85" s="348"/>
      <c r="AM85" s="348"/>
      <c r="AN85" s="348"/>
      <c r="AO85" s="348"/>
      <c r="AP85" s="348"/>
      <c r="AQ85" s="348"/>
      <c r="AR85" s="348"/>
      <c r="AS85" s="348"/>
    </row>
    <row r="86" spans="20:45" x14ac:dyDescent="0.25"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348"/>
      <c r="AH86" s="348"/>
      <c r="AL86" s="348"/>
      <c r="AM86" s="348"/>
      <c r="AN86" s="348"/>
      <c r="AO86" s="348"/>
      <c r="AP86" s="348"/>
      <c r="AQ86" s="348"/>
      <c r="AR86" s="348"/>
      <c r="AS86" s="348"/>
    </row>
    <row r="87" spans="20:45" x14ac:dyDescent="0.25"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348"/>
      <c r="AL87" s="348"/>
      <c r="AM87" s="348"/>
      <c r="AN87" s="348"/>
      <c r="AO87" s="348"/>
      <c r="AP87" s="348"/>
      <c r="AQ87" s="348"/>
      <c r="AR87" s="348"/>
      <c r="AS87" s="348"/>
    </row>
    <row r="88" spans="20:45" x14ac:dyDescent="0.25"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348"/>
      <c r="AH88" s="348"/>
      <c r="AL88" s="348"/>
      <c r="AM88" s="348"/>
      <c r="AN88" s="348"/>
      <c r="AO88" s="348"/>
      <c r="AP88" s="348"/>
      <c r="AQ88" s="348"/>
      <c r="AR88" s="348"/>
      <c r="AS88" s="348"/>
    </row>
    <row r="89" spans="20:45" x14ac:dyDescent="0.25">
      <c r="T89" s="348"/>
      <c r="U89" s="348"/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L89" s="348"/>
      <c r="AM89" s="348"/>
      <c r="AN89" s="348"/>
      <c r="AO89" s="348"/>
      <c r="AP89" s="348"/>
      <c r="AQ89" s="348"/>
      <c r="AR89" s="348"/>
      <c r="AS89" s="348"/>
    </row>
    <row r="90" spans="20:45" x14ac:dyDescent="0.2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L90" s="348"/>
      <c r="AM90" s="348"/>
      <c r="AN90" s="348"/>
      <c r="AO90" s="348"/>
      <c r="AP90" s="348"/>
      <c r="AQ90" s="348"/>
      <c r="AR90" s="348"/>
      <c r="AS90" s="348"/>
    </row>
    <row r="91" spans="20:45" x14ac:dyDescent="0.25"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8"/>
      <c r="AG91" s="348"/>
      <c r="AH91" s="348"/>
      <c r="AL91" s="348"/>
      <c r="AM91" s="348"/>
      <c r="AN91" s="348"/>
      <c r="AO91" s="348"/>
      <c r="AP91" s="348"/>
      <c r="AQ91" s="348"/>
      <c r="AR91" s="348"/>
      <c r="AS91" s="348"/>
    </row>
    <row r="92" spans="20:45" x14ac:dyDescent="0.25"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L92" s="348"/>
      <c r="AM92" s="348"/>
      <c r="AN92" s="348"/>
      <c r="AO92" s="348"/>
      <c r="AP92" s="348"/>
      <c r="AQ92" s="348"/>
      <c r="AR92" s="348"/>
      <c r="AS92" s="348"/>
    </row>
    <row r="93" spans="20:45" x14ac:dyDescent="0.25"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8"/>
      <c r="AL93" s="348"/>
      <c r="AM93" s="348"/>
      <c r="AN93" s="348"/>
      <c r="AO93" s="348"/>
      <c r="AP93" s="348"/>
      <c r="AQ93" s="348"/>
      <c r="AR93" s="348"/>
      <c r="AS93" s="348"/>
    </row>
    <row r="94" spans="20:45" x14ac:dyDescent="0.25"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8"/>
      <c r="AL94" s="348"/>
      <c r="AM94" s="348"/>
      <c r="AN94" s="348"/>
      <c r="AO94" s="348"/>
      <c r="AP94" s="348"/>
      <c r="AQ94" s="348"/>
      <c r="AR94" s="348"/>
      <c r="AS94" s="348"/>
    </row>
    <row r="95" spans="20:45" x14ac:dyDescent="0.25"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8"/>
      <c r="AL95" s="348"/>
      <c r="AM95" s="348"/>
      <c r="AN95" s="348"/>
      <c r="AO95" s="348"/>
      <c r="AP95" s="348"/>
      <c r="AQ95" s="348"/>
      <c r="AR95" s="348"/>
      <c r="AS95" s="348"/>
    </row>
    <row r="96" spans="20:45" x14ac:dyDescent="0.25"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L96" s="348"/>
      <c r="AM96" s="348"/>
      <c r="AN96" s="348"/>
      <c r="AO96" s="348"/>
      <c r="AP96" s="348"/>
      <c r="AQ96" s="348"/>
      <c r="AR96" s="348"/>
      <c r="AS96" s="348"/>
    </row>
    <row r="97" spans="20:45" x14ac:dyDescent="0.25"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L97" s="348"/>
      <c r="AM97" s="348"/>
      <c r="AN97" s="348"/>
      <c r="AO97" s="348"/>
      <c r="AP97" s="348"/>
      <c r="AQ97" s="348"/>
      <c r="AR97" s="348"/>
      <c r="AS97" s="348"/>
    </row>
    <row r="98" spans="20:45" x14ac:dyDescent="0.25"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L98" s="348"/>
      <c r="AM98" s="348"/>
      <c r="AN98" s="348"/>
      <c r="AO98" s="348"/>
      <c r="AP98" s="348"/>
      <c r="AQ98" s="348"/>
      <c r="AR98" s="348"/>
      <c r="AS98" s="348"/>
    </row>
    <row r="99" spans="20:45" x14ac:dyDescent="0.25">
      <c r="T99" s="348"/>
      <c r="U99" s="348"/>
      <c r="V99" s="348"/>
      <c r="W99" s="348"/>
      <c r="X99" s="348"/>
      <c r="Y99" s="348"/>
      <c r="Z99" s="348"/>
      <c r="AA99" s="348"/>
      <c r="AB99" s="348"/>
      <c r="AC99" s="348"/>
      <c r="AD99" s="348"/>
      <c r="AE99" s="348"/>
      <c r="AF99" s="348"/>
      <c r="AG99" s="348"/>
      <c r="AH99" s="348"/>
      <c r="AL99" s="348"/>
      <c r="AM99" s="348"/>
      <c r="AN99" s="348"/>
      <c r="AO99" s="348"/>
      <c r="AP99" s="348"/>
      <c r="AQ99" s="348"/>
      <c r="AR99" s="348"/>
      <c r="AS99" s="348"/>
    </row>
    <row r="100" spans="20:45" x14ac:dyDescent="0.25"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L100" s="348"/>
      <c r="AM100" s="348"/>
      <c r="AN100" s="348"/>
      <c r="AO100" s="348"/>
      <c r="AP100" s="348"/>
      <c r="AQ100" s="348"/>
      <c r="AR100" s="348"/>
      <c r="AS100" s="348"/>
    </row>
    <row r="101" spans="20:45" x14ac:dyDescent="0.25">
      <c r="T101" s="348"/>
      <c r="U101" s="348"/>
      <c r="V101" s="348"/>
      <c r="W101" s="348"/>
      <c r="X101" s="348"/>
      <c r="Y101" s="348"/>
      <c r="Z101" s="348"/>
      <c r="AA101" s="348"/>
      <c r="AB101" s="348"/>
      <c r="AC101" s="348"/>
      <c r="AD101" s="348"/>
      <c r="AE101" s="348"/>
      <c r="AF101" s="348"/>
      <c r="AG101" s="348"/>
      <c r="AH101" s="348"/>
      <c r="AL101" s="348"/>
      <c r="AM101" s="348"/>
      <c r="AN101" s="348"/>
      <c r="AO101" s="348"/>
      <c r="AP101" s="348"/>
      <c r="AQ101" s="348"/>
      <c r="AR101" s="348"/>
      <c r="AS101" s="348"/>
    </row>
    <row r="102" spans="20:45" x14ac:dyDescent="0.25"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L102" s="348"/>
      <c r="AM102" s="348"/>
      <c r="AN102" s="348"/>
      <c r="AO102" s="348"/>
      <c r="AP102" s="348"/>
      <c r="AQ102" s="348"/>
      <c r="AR102" s="348"/>
      <c r="AS102" s="348"/>
    </row>
    <row r="103" spans="20:45" x14ac:dyDescent="0.25">
      <c r="T103" s="348"/>
      <c r="U103" s="348"/>
      <c r="V103" s="348"/>
      <c r="W103" s="348"/>
      <c r="X103" s="348"/>
      <c r="Y103" s="348"/>
      <c r="Z103" s="348"/>
      <c r="AA103" s="348"/>
      <c r="AB103" s="348"/>
      <c r="AC103" s="348"/>
      <c r="AD103" s="348"/>
      <c r="AE103" s="348"/>
      <c r="AF103" s="348"/>
      <c r="AG103" s="348"/>
      <c r="AH103" s="348"/>
      <c r="AL103" s="348"/>
      <c r="AM103" s="348"/>
      <c r="AN103" s="348"/>
      <c r="AO103" s="348"/>
      <c r="AP103" s="348"/>
      <c r="AQ103" s="348"/>
      <c r="AR103" s="348"/>
      <c r="AS103" s="348"/>
    </row>
    <row r="104" spans="20:45" x14ac:dyDescent="0.25">
      <c r="T104" s="348"/>
      <c r="U104" s="348"/>
      <c r="V104" s="348"/>
      <c r="W104" s="348"/>
      <c r="X104" s="348"/>
      <c r="Y104" s="348"/>
      <c r="Z104" s="348"/>
      <c r="AA104" s="348"/>
      <c r="AB104" s="348"/>
      <c r="AC104" s="348"/>
      <c r="AD104" s="348"/>
      <c r="AE104" s="348"/>
      <c r="AF104" s="348"/>
      <c r="AG104" s="348"/>
      <c r="AH104" s="348"/>
      <c r="AL104" s="348"/>
      <c r="AM104" s="348"/>
      <c r="AN104" s="348"/>
      <c r="AO104" s="348"/>
      <c r="AP104" s="348"/>
      <c r="AQ104" s="348"/>
      <c r="AR104" s="348"/>
      <c r="AS104" s="348"/>
    </row>
    <row r="105" spans="20:45" x14ac:dyDescent="0.25"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348"/>
      <c r="AL105" s="348"/>
      <c r="AM105" s="348"/>
      <c r="AN105" s="348"/>
      <c r="AO105" s="348"/>
      <c r="AP105" s="348"/>
      <c r="AQ105" s="348"/>
      <c r="AR105" s="348"/>
      <c r="AS105" s="348"/>
    </row>
    <row r="106" spans="20:45" x14ac:dyDescent="0.25">
      <c r="T106" s="348"/>
      <c r="U106" s="348"/>
      <c r="V106" s="348"/>
      <c r="W106" s="348"/>
      <c r="X106" s="348"/>
      <c r="Y106" s="348"/>
      <c r="Z106" s="348"/>
      <c r="AA106" s="348"/>
      <c r="AB106" s="348"/>
      <c r="AC106" s="348"/>
      <c r="AD106" s="348"/>
      <c r="AE106" s="348"/>
      <c r="AF106" s="348"/>
      <c r="AG106" s="348"/>
      <c r="AH106" s="348"/>
      <c r="AL106" s="348"/>
      <c r="AM106" s="348"/>
      <c r="AN106" s="348"/>
      <c r="AO106" s="348"/>
      <c r="AP106" s="348"/>
      <c r="AQ106" s="348"/>
      <c r="AR106" s="348"/>
      <c r="AS106" s="348"/>
    </row>
    <row r="107" spans="20:45" x14ac:dyDescent="0.25">
      <c r="T107" s="348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L107" s="348"/>
      <c r="AM107" s="348"/>
      <c r="AN107" s="348"/>
      <c r="AO107" s="348"/>
      <c r="AP107" s="348"/>
      <c r="AQ107" s="348"/>
      <c r="AR107" s="348"/>
      <c r="AS107" s="348"/>
    </row>
    <row r="108" spans="20:45" x14ac:dyDescent="0.25">
      <c r="T108" s="348"/>
      <c r="U108" s="348"/>
      <c r="V108" s="348"/>
      <c r="W108" s="348"/>
      <c r="X108" s="348"/>
      <c r="Y108" s="348"/>
      <c r="Z108" s="348"/>
      <c r="AA108" s="348"/>
      <c r="AB108" s="348"/>
      <c r="AC108" s="348"/>
      <c r="AD108" s="348"/>
      <c r="AE108" s="348"/>
      <c r="AF108" s="348"/>
      <c r="AG108" s="348"/>
      <c r="AH108" s="348"/>
      <c r="AL108" s="348"/>
      <c r="AM108" s="348"/>
      <c r="AN108" s="348"/>
      <c r="AO108" s="348"/>
      <c r="AP108" s="348"/>
      <c r="AQ108" s="348"/>
      <c r="AR108" s="348"/>
      <c r="AS108" s="348"/>
    </row>
    <row r="109" spans="20:45" x14ac:dyDescent="0.25">
      <c r="T109" s="348"/>
      <c r="U109" s="348"/>
      <c r="V109" s="348"/>
      <c r="W109" s="348"/>
      <c r="X109" s="348"/>
      <c r="Y109" s="348"/>
      <c r="Z109" s="348"/>
      <c r="AA109" s="348"/>
      <c r="AB109" s="348"/>
      <c r="AC109" s="348"/>
      <c r="AD109" s="348"/>
      <c r="AE109" s="348"/>
      <c r="AF109" s="348"/>
      <c r="AG109" s="348"/>
      <c r="AH109" s="348"/>
      <c r="AL109" s="348"/>
      <c r="AM109" s="348"/>
      <c r="AN109" s="348"/>
      <c r="AO109" s="348"/>
      <c r="AP109" s="348"/>
      <c r="AQ109" s="348"/>
      <c r="AR109" s="348"/>
      <c r="AS109" s="348"/>
    </row>
    <row r="110" spans="20:45" x14ac:dyDescent="0.25">
      <c r="T110" s="348"/>
      <c r="U110" s="348"/>
      <c r="V110" s="348"/>
      <c r="W110" s="348"/>
      <c r="X110" s="348"/>
      <c r="Y110" s="348"/>
      <c r="Z110" s="348"/>
      <c r="AA110" s="348"/>
      <c r="AB110" s="348"/>
      <c r="AC110" s="348"/>
      <c r="AD110" s="348"/>
      <c r="AE110" s="348"/>
      <c r="AF110" s="348"/>
      <c r="AG110" s="348"/>
      <c r="AH110" s="348"/>
      <c r="AL110" s="348"/>
      <c r="AM110" s="348"/>
      <c r="AN110" s="348"/>
      <c r="AO110" s="348"/>
      <c r="AP110" s="348"/>
      <c r="AQ110" s="348"/>
      <c r="AR110" s="348"/>
      <c r="AS110" s="348"/>
    </row>
    <row r="111" spans="20:45" x14ac:dyDescent="0.25">
      <c r="T111" s="348"/>
      <c r="U111" s="348"/>
      <c r="V111" s="348"/>
      <c r="W111" s="348"/>
      <c r="X111" s="348"/>
      <c r="Y111" s="348"/>
      <c r="Z111" s="348"/>
      <c r="AA111" s="348"/>
      <c r="AB111" s="348"/>
      <c r="AC111" s="348"/>
      <c r="AD111" s="348"/>
      <c r="AE111" s="348"/>
      <c r="AF111" s="348"/>
      <c r="AG111" s="348"/>
      <c r="AH111" s="348"/>
      <c r="AL111" s="348"/>
      <c r="AM111" s="348"/>
      <c r="AN111" s="348"/>
      <c r="AO111" s="348"/>
      <c r="AP111" s="348"/>
      <c r="AQ111" s="348"/>
      <c r="AR111" s="348"/>
      <c r="AS111" s="348"/>
    </row>
    <row r="112" spans="20:45" x14ac:dyDescent="0.25">
      <c r="T112" s="348"/>
      <c r="U112" s="348"/>
      <c r="V112" s="348"/>
      <c r="W112" s="348"/>
      <c r="X112" s="348"/>
      <c r="Y112" s="348"/>
      <c r="Z112" s="348"/>
      <c r="AA112" s="348"/>
      <c r="AB112" s="348"/>
      <c r="AC112" s="348"/>
      <c r="AD112" s="348"/>
      <c r="AE112" s="348"/>
      <c r="AF112" s="348"/>
      <c r="AG112" s="348"/>
      <c r="AH112" s="348"/>
      <c r="AL112" s="348"/>
      <c r="AM112" s="348"/>
      <c r="AN112" s="348"/>
      <c r="AO112" s="348"/>
      <c r="AP112" s="348"/>
      <c r="AQ112" s="348"/>
      <c r="AR112" s="348"/>
      <c r="AS112" s="348"/>
    </row>
    <row r="113" spans="20:45" x14ac:dyDescent="0.25">
      <c r="T113" s="348"/>
      <c r="U113" s="348"/>
      <c r="V113" s="348"/>
      <c r="W113" s="348"/>
      <c r="X113" s="348"/>
      <c r="Y113" s="348"/>
      <c r="Z113" s="348"/>
      <c r="AA113" s="348"/>
      <c r="AB113" s="348"/>
      <c r="AC113" s="348"/>
      <c r="AD113" s="348"/>
      <c r="AE113" s="348"/>
      <c r="AF113" s="348"/>
      <c r="AG113" s="348"/>
      <c r="AH113" s="348"/>
      <c r="AL113" s="348"/>
      <c r="AM113" s="348"/>
      <c r="AN113" s="348"/>
      <c r="AO113" s="348"/>
      <c r="AP113" s="348"/>
      <c r="AQ113" s="348"/>
      <c r="AR113" s="348"/>
      <c r="AS113" s="348"/>
    </row>
    <row r="114" spans="20:45" x14ac:dyDescent="0.25">
      <c r="T114" s="348"/>
      <c r="U114" s="348"/>
      <c r="V114" s="348"/>
      <c r="W114" s="348"/>
      <c r="X114" s="348"/>
      <c r="Y114" s="348"/>
      <c r="Z114" s="348"/>
      <c r="AA114" s="348"/>
      <c r="AB114" s="348"/>
      <c r="AC114" s="348"/>
      <c r="AD114" s="348"/>
      <c r="AE114" s="348"/>
      <c r="AF114" s="348"/>
      <c r="AG114" s="348"/>
      <c r="AH114" s="348"/>
      <c r="AL114" s="348"/>
      <c r="AM114" s="348"/>
      <c r="AN114" s="348"/>
      <c r="AO114" s="348"/>
      <c r="AP114" s="348"/>
      <c r="AQ114" s="348"/>
      <c r="AR114" s="348"/>
      <c r="AS114" s="348"/>
    </row>
    <row r="115" spans="20:45" x14ac:dyDescent="0.25">
      <c r="T115" s="348"/>
      <c r="U115" s="348"/>
      <c r="V115" s="348"/>
      <c r="W115" s="348"/>
      <c r="X115" s="348"/>
      <c r="Y115" s="348"/>
      <c r="Z115" s="348"/>
      <c r="AA115" s="348"/>
      <c r="AB115" s="348"/>
      <c r="AC115" s="348"/>
      <c r="AD115" s="348"/>
      <c r="AE115" s="348"/>
      <c r="AF115" s="348"/>
      <c r="AG115" s="348"/>
      <c r="AH115" s="348"/>
      <c r="AL115" s="348"/>
      <c r="AM115" s="348"/>
      <c r="AN115" s="348"/>
      <c r="AO115" s="348"/>
      <c r="AP115" s="348"/>
      <c r="AQ115" s="348"/>
      <c r="AR115" s="348"/>
      <c r="AS115" s="348"/>
    </row>
    <row r="116" spans="20:45" x14ac:dyDescent="0.25">
      <c r="T116" s="348"/>
      <c r="U116" s="348"/>
      <c r="V116" s="348"/>
      <c r="W116" s="348"/>
      <c r="X116" s="348"/>
      <c r="Y116" s="348"/>
      <c r="Z116" s="348"/>
      <c r="AA116" s="348"/>
      <c r="AB116" s="348"/>
      <c r="AC116" s="348"/>
      <c r="AD116" s="348"/>
      <c r="AE116" s="348"/>
      <c r="AF116" s="348"/>
      <c r="AG116" s="348"/>
      <c r="AH116" s="348"/>
      <c r="AL116" s="348"/>
      <c r="AM116" s="348"/>
      <c r="AN116" s="348"/>
      <c r="AO116" s="348"/>
      <c r="AP116" s="348"/>
      <c r="AQ116" s="348"/>
      <c r="AR116" s="348"/>
      <c r="AS116" s="348"/>
    </row>
    <row r="117" spans="20:45" x14ac:dyDescent="0.25">
      <c r="T117" s="348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L117" s="348"/>
      <c r="AM117" s="348"/>
      <c r="AN117" s="348"/>
      <c r="AO117" s="348"/>
      <c r="AP117" s="348"/>
      <c r="AQ117" s="348"/>
      <c r="AR117" s="348"/>
      <c r="AS117" s="348"/>
    </row>
    <row r="118" spans="20:45" x14ac:dyDescent="0.25">
      <c r="T118" s="348"/>
      <c r="U118" s="348"/>
      <c r="V118" s="348"/>
      <c r="W118" s="348"/>
      <c r="X118" s="348"/>
      <c r="Y118" s="348"/>
      <c r="Z118" s="348"/>
      <c r="AA118" s="348"/>
      <c r="AB118" s="348"/>
      <c r="AC118" s="348"/>
      <c r="AD118" s="348"/>
      <c r="AE118" s="348"/>
      <c r="AF118" s="348"/>
      <c r="AG118" s="348"/>
      <c r="AH118" s="348"/>
      <c r="AL118" s="348"/>
      <c r="AM118" s="348"/>
      <c r="AN118" s="348"/>
      <c r="AO118" s="348"/>
      <c r="AP118" s="348"/>
      <c r="AQ118" s="348"/>
      <c r="AR118" s="348"/>
      <c r="AS118" s="348"/>
    </row>
    <row r="119" spans="20:45" x14ac:dyDescent="0.25">
      <c r="T119" s="348"/>
      <c r="U119" s="348"/>
      <c r="V119" s="348"/>
      <c r="W119" s="348"/>
      <c r="X119" s="348"/>
      <c r="Y119" s="348"/>
      <c r="Z119" s="348"/>
      <c r="AA119" s="348"/>
      <c r="AB119" s="348"/>
      <c r="AC119" s="348"/>
      <c r="AD119" s="348"/>
      <c r="AE119" s="348"/>
      <c r="AF119" s="348"/>
      <c r="AG119" s="348"/>
      <c r="AH119" s="348"/>
      <c r="AL119" s="348"/>
      <c r="AM119" s="348"/>
      <c r="AN119" s="348"/>
      <c r="AO119" s="348"/>
      <c r="AP119" s="348"/>
      <c r="AQ119" s="348"/>
      <c r="AR119" s="348"/>
      <c r="AS119" s="348"/>
    </row>
    <row r="120" spans="20:45" x14ac:dyDescent="0.25"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  <c r="AG120" s="348"/>
      <c r="AH120" s="348"/>
      <c r="AL120" s="348"/>
      <c r="AM120" s="348"/>
      <c r="AN120" s="348"/>
      <c r="AO120" s="348"/>
      <c r="AP120" s="348"/>
      <c r="AQ120" s="348"/>
      <c r="AR120" s="348"/>
      <c r="AS120" s="348"/>
    </row>
    <row r="121" spans="20:45" x14ac:dyDescent="0.25">
      <c r="T121" s="348"/>
      <c r="U121" s="348"/>
      <c r="V121" s="348"/>
      <c r="W121" s="348"/>
      <c r="X121" s="348"/>
      <c r="Y121" s="348"/>
      <c r="Z121" s="348"/>
      <c r="AA121" s="348"/>
      <c r="AB121" s="348"/>
      <c r="AC121" s="348"/>
      <c r="AD121" s="348"/>
      <c r="AE121" s="348"/>
      <c r="AF121" s="348"/>
      <c r="AG121" s="348"/>
      <c r="AH121" s="348"/>
      <c r="AL121" s="348"/>
      <c r="AM121" s="348"/>
      <c r="AN121" s="348"/>
      <c r="AO121" s="348"/>
      <c r="AP121" s="348"/>
      <c r="AQ121" s="348"/>
      <c r="AR121" s="348"/>
      <c r="AS121" s="348"/>
    </row>
    <row r="122" spans="20:45" x14ac:dyDescent="0.25">
      <c r="T122" s="348"/>
      <c r="U122" s="348"/>
      <c r="V122" s="348"/>
      <c r="W122" s="348"/>
      <c r="X122" s="348"/>
      <c r="Y122" s="348"/>
      <c r="Z122" s="348"/>
      <c r="AA122" s="348"/>
      <c r="AB122" s="348"/>
      <c r="AC122" s="348"/>
      <c r="AD122" s="348"/>
      <c r="AE122" s="348"/>
      <c r="AF122" s="348"/>
      <c r="AG122" s="348"/>
      <c r="AH122" s="348"/>
      <c r="AL122" s="348"/>
      <c r="AM122" s="348"/>
      <c r="AN122" s="348"/>
      <c r="AO122" s="348"/>
      <c r="AP122" s="348"/>
      <c r="AQ122" s="348"/>
      <c r="AR122" s="348"/>
      <c r="AS122" s="348"/>
    </row>
    <row r="123" spans="20:45" x14ac:dyDescent="0.25"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L123" s="348"/>
      <c r="AM123" s="348"/>
      <c r="AN123" s="348"/>
      <c r="AO123" s="348"/>
      <c r="AP123" s="348"/>
      <c r="AQ123" s="348"/>
      <c r="AR123" s="348"/>
      <c r="AS123" s="348"/>
    </row>
    <row r="124" spans="20:45" x14ac:dyDescent="0.25">
      <c r="T124" s="348"/>
      <c r="U124" s="348"/>
      <c r="V124" s="348"/>
      <c r="W124" s="348"/>
      <c r="X124" s="348"/>
      <c r="Y124" s="348"/>
      <c r="Z124" s="348"/>
      <c r="AA124" s="348"/>
      <c r="AB124" s="348"/>
      <c r="AC124" s="348"/>
      <c r="AD124" s="348"/>
      <c r="AE124" s="348"/>
      <c r="AF124" s="348"/>
      <c r="AG124" s="348"/>
      <c r="AH124" s="348"/>
      <c r="AL124" s="348"/>
      <c r="AM124" s="348"/>
      <c r="AN124" s="348"/>
      <c r="AO124" s="348"/>
      <c r="AP124" s="348"/>
      <c r="AQ124" s="348"/>
      <c r="AR124" s="348"/>
      <c r="AS124" s="348"/>
    </row>
    <row r="125" spans="20:45" x14ac:dyDescent="0.25">
      <c r="T125" s="348"/>
      <c r="U125" s="348"/>
      <c r="V125" s="348"/>
      <c r="W125" s="348"/>
      <c r="X125" s="348"/>
      <c r="Y125" s="348"/>
      <c r="Z125" s="348"/>
      <c r="AA125" s="348"/>
      <c r="AB125" s="348"/>
      <c r="AC125" s="348"/>
      <c r="AD125" s="348"/>
      <c r="AE125" s="348"/>
      <c r="AF125" s="348"/>
      <c r="AG125" s="348"/>
      <c r="AH125" s="348"/>
      <c r="AL125" s="348"/>
      <c r="AM125" s="348"/>
      <c r="AN125" s="348"/>
      <c r="AO125" s="348"/>
      <c r="AP125" s="348"/>
      <c r="AQ125" s="348"/>
      <c r="AR125" s="348"/>
      <c r="AS125" s="348"/>
    </row>
    <row r="126" spans="20:45" x14ac:dyDescent="0.25">
      <c r="T126" s="348"/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L126" s="348"/>
      <c r="AM126" s="348"/>
      <c r="AN126" s="348"/>
      <c r="AO126" s="348"/>
      <c r="AP126" s="348"/>
      <c r="AQ126" s="348"/>
      <c r="AR126" s="348"/>
      <c r="AS126" s="348"/>
    </row>
    <row r="127" spans="20:45" x14ac:dyDescent="0.25">
      <c r="T127" s="348"/>
      <c r="U127" s="348"/>
      <c r="V127" s="348"/>
      <c r="W127" s="348"/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L127" s="348"/>
      <c r="AM127" s="348"/>
      <c r="AN127" s="348"/>
      <c r="AO127" s="348"/>
      <c r="AP127" s="348"/>
      <c r="AQ127" s="348"/>
      <c r="AR127" s="348"/>
      <c r="AS127" s="348"/>
    </row>
    <row r="128" spans="20:45" x14ac:dyDescent="0.25">
      <c r="T128" s="348"/>
      <c r="U128" s="348"/>
      <c r="V128" s="348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L128" s="348"/>
      <c r="AM128" s="348"/>
      <c r="AN128" s="348"/>
      <c r="AO128" s="348"/>
      <c r="AP128" s="348"/>
      <c r="AQ128" s="348"/>
      <c r="AR128" s="348"/>
      <c r="AS128" s="348"/>
    </row>
    <row r="129" spans="20:45" x14ac:dyDescent="0.25">
      <c r="T129" s="348"/>
      <c r="U129" s="348"/>
      <c r="V129" s="348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L129" s="348"/>
      <c r="AM129" s="348"/>
      <c r="AN129" s="348"/>
      <c r="AO129" s="348"/>
      <c r="AP129" s="348"/>
      <c r="AQ129" s="348"/>
      <c r="AR129" s="348"/>
      <c r="AS129" s="348"/>
    </row>
    <row r="130" spans="20:45" x14ac:dyDescent="0.25">
      <c r="T130" s="348"/>
      <c r="U130" s="348"/>
      <c r="V130" s="348"/>
      <c r="W130" s="348"/>
      <c r="X130" s="348"/>
      <c r="Y130" s="348"/>
      <c r="Z130" s="348"/>
      <c r="AA130" s="348"/>
      <c r="AB130" s="348"/>
      <c r="AC130" s="348"/>
      <c r="AD130" s="348"/>
      <c r="AE130" s="348"/>
      <c r="AF130" s="348"/>
      <c r="AG130" s="348"/>
      <c r="AH130" s="348"/>
      <c r="AL130" s="348"/>
      <c r="AM130" s="348"/>
      <c r="AN130" s="348"/>
      <c r="AO130" s="348"/>
      <c r="AP130" s="348"/>
      <c r="AQ130" s="348"/>
      <c r="AR130" s="348"/>
      <c r="AS130" s="348"/>
    </row>
    <row r="131" spans="20:45" x14ac:dyDescent="0.25">
      <c r="T131" s="348"/>
      <c r="U131" s="348"/>
      <c r="V131" s="348"/>
      <c r="W131" s="348"/>
      <c r="X131" s="348"/>
      <c r="Y131" s="348"/>
      <c r="Z131" s="348"/>
      <c r="AA131" s="348"/>
      <c r="AB131" s="348"/>
      <c r="AC131" s="348"/>
      <c r="AD131" s="348"/>
      <c r="AE131" s="348"/>
      <c r="AF131" s="348"/>
      <c r="AG131" s="348"/>
      <c r="AH131" s="348"/>
      <c r="AL131" s="348"/>
      <c r="AM131" s="348"/>
      <c r="AN131" s="348"/>
      <c r="AO131" s="348"/>
      <c r="AP131" s="348"/>
      <c r="AQ131" s="348"/>
      <c r="AR131" s="348"/>
      <c r="AS131" s="348"/>
    </row>
    <row r="132" spans="20:45" x14ac:dyDescent="0.25">
      <c r="T132" s="348"/>
      <c r="U132" s="348"/>
      <c r="V132" s="348"/>
      <c r="W132" s="348"/>
      <c r="X132" s="348"/>
      <c r="Y132" s="348"/>
      <c r="Z132" s="348"/>
      <c r="AA132" s="348"/>
      <c r="AB132" s="348"/>
      <c r="AC132" s="348"/>
      <c r="AD132" s="348"/>
      <c r="AE132" s="348"/>
      <c r="AF132" s="348"/>
      <c r="AG132" s="348"/>
      <c r="AH132" s="348"/>
      <c r="AL132" s="348"/>
      <c r="AM132" s="348"/>
      <c r="AN132" s="348"/>
      <c r="AO132" s="348"/>
      <c r="AP132" s="348"/>
      <c r="AQ132" s="348"/>
      <c r="AR132" s="348"/>
      <c r="AS132" s="348"/>
    </row>
    <row r="133" spans="20:45" x14ac:dyDescent="0.25">
      <c r="T133" s="348"/>
      <c r="U133" s="348"/>
      <c r="V133" s="348"/>
      <c r="W133" s="348"/>
      <c r="X133" s="348"/>
      <c r="Y133" s="348"/>
      <c r="Z133" s="348"/>
      <c r="AA133" s="348"/>
      <c r="AB133" s="348"/>
      <c r="AC133" s="348"/>
      <c r="AD133" s="348"/>
      <c r="AE133" s="348"/>
      <c r="AF133" s="348"/>
      <c r="AG133" s="348"/>
      <c r="AH133" s="348"/>
      <c r="AL133" s="348"/>
      <c r="AM133" s="348"/>
      <c r="AN133" s="348"/>
      <c r="AO133" s="348"/>
      <c r="AP133" s="348"/>
      <c r="AQ133" s="348"/>
      <c r="AR133" s="348"/>
      <c r="AS133" s="348"/>
    </row>
    <row r="134" spans="20:45" x14ac:dyDescent="0.25">
      <c r="T134" s="348"/>
      <c r="U134" s="348"/>
      <c r="V134" s="348"/>
      <c r="W134" s="348"/>
      <c r="X134" s="348"/>
      <c r="Y134" s="348"/>
      <c r="Z134" s="348"/>
      <c r="AA134" s="348"/>
      <c r="AB134" s="348"/>
      <c r="AC134" s="348"/>
      <c r="AD134" s="348"/>
      <c r="AE134" s="348"/>
      <c r="AF134" s="348"/>
      <c r="AG134" s="348"/>
      <c r="AH134" s="348"/>
      <c r="AL134" s="348"/>
      <c r="AM134" s="348"/>
      <c r="AN134" s="348"/>
      <c r="AO134" s="348"/>
      <c r="AP134" s="348"/>
      <c r="AQ134" s="348"/>
      <c r="AR134" s="348"/>
      <c r="AS134" s="348"/>
    </row>
    <row r="135" spans="20:45" x14ac:dyDescent="0.25">
      <c r="T135" s="348"/>
      <c r="U135" s="348"/>
      <c r="V135" s="348"/>
      <c r="W135" s="348"/>
      <c r="X135" s="348"/>
      <c r="Y135" s="348"/>
      <c r="Z135" s="348"/>
      <c r="AA135" s="348"/>
      <c r="AB135" s="348"/>
      <c r="AC135" s="348"/>
      <c r="AD135" s="348"/>
      <c r="AE135" s="348"/>
      <c r="AF135" s="348"/>
      <c r="AG135" s="348"/>
      <c r="AH135" s="348"/>
      <c r="AL135" s="348"/>
      <c r="AM135" s="348"/>
      <c r="AN135" s="348"/>
      <c r="AO135" s="348"/>
      <c r="AP135" s="348"/>
      <c r="AQ135" s="348"/>
      <c r="AR135" s="348"/>
      <c r="AS135" s="348"/>
    </row>
    <row r="136" spans="20:45" x14ac:dyDescent="0.25">
      <c r="T136" s="348"/>
      <c r="U136" s="348"/>
      <c r="V136" s="348"/>
      <c r="W136" s="348"/>
      <c r="X136" s="348"/>
      <c r="Y136" s="348"/>
      <c r="Z136" s="348"/>
      <c r="AA136" s="348"/>
      <c r="AB136" s="348"/>
      <c r="AC136" s="348"/>
      <c r="AD136" s="348"/>
      <c r="AE136" s="348"/>
      <c r="AF136" s="348"/>
      <c r="AG136" s="348"/>
      <c r="AH136" s="348"/>
      <c r="AL136" s="348"/>
      <c r="AM136" s="348"/>
      <c r="AN136" s="348"/>
      <c r="AO136" s="348"/>
      <c r="AP136" s="348"/>
      <c r="AQ136" s="348"/>
      <c r="AR136" s="348"/>
      <c r="AS136" s="348"/>
    </row>
    <row r="137" spans="20:45" x14ac:dyDescent="0.25">
      <c r="T137" s="348"/>
      <c r="U137" s="348"/>
      <c r="V137" s="348"/>
      <c r="W137" s="348"/>
      <c r="X137" s="348"/>
      <c r="Y137" s="348"/>
      <c r="Z137" s="348"/>
      <c r="AA137" s="348"/>
      <c r="AB137" s="348"/>
      <c r="AC137" s="348"/>
      <c r="AD137" s="348"/>
      <c r="AE137" s="348"/>
      <c r="AF137" s="348"/>
      <c r="AG137" s="348"/>
      <c r="AH137" s="348"/>
      <c r="AL137" s="348"/>
      <c r="AM137" s="348"/>
      <c r="AN137" s="348"/>
      <c r="AO137" s="348"/>
      <c r="AP137" s="348"/>
      <c r="AQ137" s="348"/>
      <c r="AR137" s="348"/>
      <c r="AS137" s="348"/>
    </row>
    <row r="138" spans="20:45" x14ac:dyDescent="0.25">
      <c r="T138" s="348"/>
      <c r="U138" s="348"/>
      <c r="V138" s="348"/>
      <c r="W138" s="348"/>
      <c r="X138" s="348"/>
      <c r="Y138" s="348"/>
      <c r="Z138" s="348"/>
      <c r="AA138" s="348"/>
      <c r="AB138" s="348"/>
      <c r="AC138" s="348"/>
      <c r="AD138" s="348"/>
      <c r="AE138" s="348"/>
      <c r="AF138" s="348"/>
      <c r="AG138" s="348"/>
      <c r="AH138" s="348"/>
      <c r="AL138" s="348"/>
      <c r="AM138" s="348"/>
      <c r="AN138" s="348"/>
      <c r="AO138" s="348"/>
      <c r="AP138" s="348"/>
      <c r="AQ138" s="348"/>
      <c r="AR138" s="348"/>
      <c r="AS138" s="348"/>
    </row>
    <row r="139" spans="20:45" x14ac:dyDescent="0.25">
      <c r="T139" s="348"/>
      <c r="U139" s="348"/>
      <c r="V139" s="348"/>
      <c r="W139" s="348"/>
      <c r="X139" s="348"/>
      <c r="Y139" s="348"/>
      <c r="Z139" s="348"/>
      <c r="AA139" s="348"/>
      <c r="AB139" s="348"/>
      <c r="AC139" s="348"/>
      <c r="AD139" s="348"/>
      <c r="AE139" s="348"/>
      <c r="AF139" s="348"/>
      <c r="AG139" s="348"/>
      <c r="AH139" s="348"/>
      <c r="AL139" s="348"/>
      <c r="AM139" s="348"/>
      <c r="AN139" s="348"/>
      <c r="AO139" s="348"/>
      <c r="AP139" s="348"/>
      <c r="AQ139" s="348"/>
      <c r="AR139" s="348"/>
      <c r="AS139" s="348"/>
    </row>
    <row r="140" spans="20:45" x14ac:dyDescent="0.25">
      <c r="T140" s="348"/>
      <c r="U140" s="348"/>
      <c r="V140" s="348"/>
      <c r="W140" s="348"/>
      <c r="X140" s="348"/>
      <c r="Y140" s="348"/>
      <c r="Z140" s="348"/>
      <c r="AA140" s="348"/>
      <c r="AB140" s="348"/>
      <c r="AC140" s="348"/>
      <c r="AD140" s="348"/>
      <c r="AE140" s="348"/>
      <c r="AF140" s="348"/>
      <c r="AG140" s="348"/>
      <c r="AH140" s="348"/>
      <c r="AL140" s="348"/>
      <c r="AM140" s="348"/>
      <c r="AN140" s="348"/>
      <c r="AO140" s="348"/>
      <c r="AP140" s="348"/>
      <c r="AQ140" s="348"/>
      <c r="AR140" s="348"/>
      <c r="AS140" s="348"/>
    </row>
  </sheetData>
  <mergeCells count="1">
    <mergeCell ref="A4:C4"/>
  </mergeCells>
  <phoneticPr fontId="62" type="noConversion"/>
  <conditionalFormatting sqref="G50:I50 G34:I34 G36:I36 G22:I22 G24:I24 G26:I26 G28:I28 G30:I30 G32:I32 H21 G38:I38 G40:I40 G42:I42 G44:I44 G46:I46 G48:I48 H7 H9 H11 H13 H15 H17 H19">
    <cfRule type="expression" dxfId="156" priority="4" stopIfTrue="1">
      <formula>AND($E7&lt;9,$C7&gt;0)</formula>
    </cfRule>
  </conditionalFormatting>
  <conditionalFormatting sqref="I23 I43 K33 I31 K41 I51 I39 K49 I47 K10 M29 M45 I27 K25 I35 I8 I12 I16 I20 K18 M14">
    <cfRule type="expression" dxfId="155" priority="5" stopIfTrue="1">
      <formula>AND($O$1="CU",I8="Umpire")</formula>
    </cfRule>
    <cfRule type="expression" dxfId="154" priority="6" stopIfTrue="1">
      <formula>AND($O$1="CU",I8&lt;&gt;"Umpire",J8&lt;&gt;"")</formula>
    </cfRule>
    <cfRule type="expression" dxfId="153" priority="7" stopIfTrue="1">
      <formula>AND($O$1="CU",I8&lt;&gt;"Umpire")</formula>
    </cfRule>
  </conditionalFormatting>
  <conditionalFormatting sqref="E36 E30 E28 E26 E24 E22 E52 E50 E32 E48 E46 E44 E42 E40 E38 E34">
    <cfRule type="expression" dxfId="152" priority="8" stopIfTrue="1">
      <formula>AND($E22&lt;9,$C22&gt;0)</formula>
    </cfRule>
  </conditionalFormatting>
  <conditionalFormatting sqref="F38 F40 F42 F44 F46 F48 F50 F36 F22 F24 F26 F28 F30 F32 F34">
    <cfRule type="cellIs" dxfId="151" priority="9" stopIfTrue="1" operator="equal">
      <formula>"Bye"</formula>
    </cfRule>
    <cfRule type="expression" dxfId="150" priority="10" stopIfTrue="1">
      <formula>AND($E22&lt;9,$C22&gt;0)</formula>
    </cfRule>
  </conditionalFormatting>
  <conditionalFormatting sqref="M10 M18 O45 M41 M49 O14 O29 M25 M33 K8 K12 K16 K20 K39 K43 K47 K51 K23 K27 K31 K35">
    <cfRule type="expression" dxfId="149" priority="11" stopIfTrue="1">
      <formula>J8="as"</formula>
    </cfRule>
    <cfRule type="expression" dxfId="148" priority="12" stopIfTrue="1">
      <formula>J8="bs"</formula>
    </cfRule>
  </conditionalFormatting>
  <conditionalFormatting sqref="B40 B42 B44 B46 B48 B50 B52 B24 B26 B28 B30 B32 B34 B36 B38 B22">
    <cfRule type="cellIs" dxfId="147" priority="13" stopIfTrue="1" operator="equal">
      <formula>"QA"</formula>
    </cfRule>
    <cfRule type="cellIs" dxfId="146" priority="14" stopIfTrue="1" operator="equal">
      <formula>"DA"</formula>
    </cfRule>
  </conditionalFormatting>
  <conditionalFormatting sqref="R62 J8 J12 J16 J20 N14 L10 L18">
    <cfRule type="expression" dxfId="145" priority="15" stopIfTrue="1">
      <formula>$O$1="CU"</formula>
    </cfRule>
  </conditionalFormatting>
  <conditionalFormatting sqref="E21 E7">
    <cfRule type="expression" dxfId="144" priority="16" stopIfTrue="1">
      <formula>$E7&lt;5</formula>
    </cfRule>
  </conditionalFormatting>
  <conditionalFormatting sqref="F19 F21 F9 F17 F15 F13 F11 F7">
    <cfRule type="cellIs" dxfId="143" priority="17" stopIfTrue="1" operator="equal">
      <formula>"Bye"</formula>
    </cfRule>
  </conditionalFormatting>
  <conditionalFormatting sqref="O16">
    <cfRule type="expression" dxfId="142" priority="1" stopIfTrue="1">
      <formula>AND($O$1="CU",O16="Umpire")</formula>
    </cfRule>
    <cfRule type="expression" dxfId="141" priority="2" stopIfTrue="1">
      <formula>AND($O$1="CU",O16&lt;&gt;"Umpire",P16&lt;&gt;"")</formula>
    </cfRule>
    <cfRule type="expression" dxfId="14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A7BD286-986A-46B5-B1B7-CA9292DD737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0817F-6E72-413B-89D4-0E233F3D6E12}">
  <sheetPr codeName="Munka17">
    <tabColor indexed="11"/>
  </sheetPr>
  <dimension ref="A1:AS140"/>
  <sheetViews>
    <sheetView workbookViewId="0">
      <selection activeCell="T15" sqref="T15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7" customWidth="1"/>
    <col min="11" max="11" width="10.6640625" customWidth="1"/>
    <col min="12" max="12" width="1.6640625" style="117" customWidth="1"/>
    <col min="13" max="13" width="10.6640625" customWidth="1"/>
    <col min="14" max="14" width="1.6640625" style="118" customWidth="1"/>
    <col min="15" max="15" width="10.6640625" customWidth="1"/>
    <col min="16" max="16" width="1.6640625" style="117" customWidth="1"/>
    <col min="17" max="17" width="10.6640625" customWidth="1"/>
    <col min="18" max="18" width="1.6640625" style="118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95" customWidth="1"/>
  </cols>
  <sheetData>
    <row r="1" spans="1:45" s="119" customFormat="1" ht="21.75" customHeight="1" x14ac:dyDescent="0.25">
      <c r="A1" s="297" t="str">
        <f>Altalanos!$A$6</f>
        <v>Budapest Bajnokság</v>
      </c>
      <c r="B1" s="297"/>
      <c r="C1" s="298"/>
      <c r="D1" s="298"/>
      <c r="E1" s="298"/>
      <c r="F1" s="298"/>
      <c r="G1" s="298"/>
      <c r="H1" s="297"/>
      <c r="I1" s="299"/>
      <c r="J1" s="300"/>
      <c r="K1" s="301" t="s">
        <v>52</v>
      </c>
      <c r="L1" s="302"/>
      <c r="M1" s="303"/>
      <c r="N1" s="300"/>
      <c r="O1" s="300" t="s">
        <v>14</v>
      </c>
      <c r="P1" s="300"/>
      <c r="Q1" s="298"/>
      <c r="R1" s="300"/>
      <c r="T1" s="349"/>
      <c r="U1" s="349"/>
      <c r="V1" s="349"/>
      <c r="W1" s="349"/>
      <c r="X1" s="349"/>
      <c r="Y1" s="349"/>
      <c r="Z1" s="349"/>
      <c r="AA1" s="349"/>
      <c r="AB1" s="385" t="str">
        <f>IF($Y$5=1,CONCATENATE(VLOOKUP($Y$3,$AA$2:$AH$14,2)),CONCATENATE(VLOOKUP($Y$3,$AA$16:$AH$25,2)))</f>
        <v>15</v>
      </c>
      <c r="AC1" s="385" t="str">
        <f>IF($Y$5=1,CONCATENATE(VLOOKUP($Y$3,$AA$2:$AH$14,3)),CONCATENATE(VLOOKUP($Y$3,$AA$16:$AH$25,3)))</f>
        <v>10</v>
      </c>
      <c r="AD1" s="385" t="str">
        <f>IF($Y$5=1,CONCATENATE(VLOOKUP($Y$3,$AA$2:$AH$14,4)),CONCATENATE(VLOOKUP($Y$3,$AA$16:$AH$25,4)))</f>
        <v>6</v>
      </c>
      <c r="AE1" s="385" t="str">
        <f>IF($Y$5=1,CONCATENATE(VLOOKUP($Y$3,$AA$2:$AH$14,5)),CONCATENATE(VLOOKUP($Y$3,$AA$16:$AH$25,5)))</f>
        <v>3</v>
      </c>
      <c r="AF1" s="385" t="str">
        <f>IF($Y$5=1,CONCATENATE(VLOOKUP($Y$3,$AA$2:$AH$14,6)),CONCATENATE(VLOOKUP($Y$3,$AA$16:$AH$25,6)))</f>
        <v>1</v>
      </c>
      <c r="AG1" s="385" t="str">
        <f>IF($Y$5=1,CONCATENATE(VLOOKUP($Y$3,$AA$2:$AH$14,7)),CONCATENATE(VLOOKUP($Y$3,$AA$16:$AH$25,7)))</f>
        <v>0</v>
      </c>
      <c r="AH1" s="385" t="str">
        <f>IF($Y$5=1,CONCATENATE(VLOOKUP($Y$3,$AA$2:$AH$14,8)),CONCATENATE(VLOOKUP($Y$3,$AA$16:$AH$25,8)))</f>
        <v>0</v>
      </c>
      <c r="AI1" s="392"/>
      <c r="AJ1" s="392"/>
      <c r="AK1" s="392"/>
    </row>
    <row r="2" spans="1:45" s="99" customFormat="1" x14ac:dyDescent="0.25">
      <c r="A2" s="304" t="s">
        <v>51</v>
      </c>
      <c r="B2" s="305"/>
      <c r="C2" s="305"/>
      <c r="D2" s="305"/>
      <c r="E2" s="433"/>
      <c r="F2" s="305"/>
      <c r="G2" s="306"/>
      <c r="H2" s="307"/>
      <c r="I2" s="307"/>
      <c r="J2" s="308"/>
      <c r="K2" s="302"/>
      <c r="L2" s="302"/>
      <c r="M2" s="302"/>
      <c r="N2" s="308"/>
      <c r="O2" s="307"/>
      <c r="P2" s="308"/>
      <c r="Q2" s="307"/>
      <c r="R2" s="308"/>
      <c r="T2" s="342"/>
      <c r="U2" s="342"/>
      <c r="V2" s="342"/>
      <c r="W2" s="342"/>
      <c r="X2" s="342"/>
      <c r="Y2" s="376"/>
      <c r="Z2" s="375"/>
      <c r="AA2" s="375" t="s">
        <v>64</v>
      </c>
      <c r="AB2" s="384">
        <v>300</v>
      </c>
      <c r="AC2" s="384">
        <v>250</v>
      </c>
      <c r="AD2" s="384">
        <v>200</v>
      </c>
      <c r="AE2" s="384">
        <v>150</v>
      </c>
      <c r="AF2" s="384">
        <v>120</v>
      </c>
      <c r="AG2" s="384">
        <v>90</v>
      </c>
      <c r="AH2" s="384">
        <v>40</v>
      </c>
      <c r="AI2" s="371"/>
      <c r="AJ2" s="371"/>
      <c r="AK2" s="371"/>
      <c r="AL2" s="342"/>
      <c r="AM2" s="342"/>
      <c r="AN2" s="342"/>
      <c r="AO2" s="342"/>
      <c r="AP2" s="342"/>
      <c r="AQ2" s="342"/>
      <c r="AR2" s="342"/>
      <c r="AS2" s="342"/>
    </row>
    <row r="3" spans="1:45" s="19" customFormat="1" ht="11.25" customHeight="1" x14ac:dyDescent="0.25">
      <c r="A3" s="51" t="s">
        <v>25</v>
      </c>
      <c r="B3" s="51"/>
      <c r="C3" s="51"/>
      <c r="D3" s="51"/>
      <c r="E3" s="434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T3" s="343"/>
      <c r="U3" s="343"/>
      <c r="V3" s="343"/>
      <c r="W3" s="343"/>
      <c r="X3" s="343"/>
      <c r="Y3" s="375" t="str">
        <f>IF(K4="OB","A",IF(K4="IX","W",IF(K4="","",K4)))</f>
        <v>VIGASZ</v>
      </c>
      <c r="Z3" s="375"/>
      <c r="AA3" s="375" t="s">
        <v>65</v>
      </c>
      <c r="AB3" s="384">
        <v>280</v>
      </c>
      <c r="AC3" s="384">
        <v>230</v>
      </c>
      <c r="AD3" s="384">
        <v>180</v>
      </c>
      <c r="AE3" s="384">
        <v>140</v>
      </c>
      <c r="AF3" s="384">
        <v>80</v>
      </c>
      <c r="AG3" s="384">
        <v>0</v>
      </c>
      <c r="AH3" s="384">
        <v>0</v>
      </c>
      <c r="AI3" s="371"/>
      <c r="AJ3" s="371"/>
      <c r="AK3" s="371"/>
      <c r="AL3" s="343"/>
      <c r="AM3" s="343"/>
      <c r="AN3" s="343"/>
      <c r="AO3" s="343"/>
      <c r="AP3" s="343"/>
      <c r="AQ3" s="343"/>
      <c r="AR3" s="343"/>
      <c r="AS3" s="343"/>
    </row>
    <row r="4" spans="1:45" s="28" customFormat="1" ht="11.25" customHeight="1" thickBot="1" x14ac:dyDescent="0.3">
      <c r="A4" s="441" t="str">
        <f>Altalanos!$A$10</f>
        <v>2025.06.19-29.</v>
      </c>
      <c r="B4" s="441"/>
      <c r="C4" s="441"/>
      <c r="D4" s="309"/>
      <c r="E4" s="310"/>
      <c r="F4" s="310"/>
      <c r="G4" s="310" t="str">
        <f>Altalanos!$C$10</f>
        <v>Budapest</v>
      </c>
      <c r="H4" s="311"/>
      <c r="I4" s="310"/>
      <c r="J4" s="312"/>
      <c r="K4" s="313" t="s">
        <v>132</v>
      </c>
      <c r="L4" s="312"/>
      <c r="M4" s="314"/>
      <c r="N4" s="312"/>
      <c r="O4" s="310"/>
      <c r="P4" s="312"/>
      <c r="Q4" s="310"/>
      <c r="R4" s="315" t="str">
        <f>Altalanos!$E$10</f>
        <v>Rákóczi Andrea</v>
      </c>
      <c r="T4" s="344"/>
      <c r="U4" s="344"/>
      <c r="V4" s="344"/>
      <c r="W4" s="344"/>
      <c r="X4" s="344"/>
      <c r="Y4" s="375"/>
      <c r="Z4" s="375"/>
      <c r="AA4" s="375" t="s">
        <v>66</v>
      </c>
      <c r="AB4" s="384">
        <v>250</v>
      </c>
      <c r="AC4" s="384">
        <v>200</v>
      </c>
      <c r="AD4" s="384">
        <v>150</v>
      </c>
      <c r="AE4" s="384">
        <v>120</v>
      </c>
      <c r="AF4" s="384">
        <v>90</v>
      </c>
      <c r="AG4" s="384">
        <v>60</v>
      </c>
      <c r="AH4" s="384">
        <v>25</v>
      </c>
      <c r="AI4" s="371"/>
      <c r="AJ4" s="371"/>
      <c r="AK4" s="371"/>
      <c r="AL4" s="344"/>
      <c r="AM4" s="344"/>
      <c r="AN4" s="344"/>
      <c r="AO4" s="344"/>
      <c r="AP4" s="344"/>
      <c r="AQ4" s="344"/>
      <c r="AR4" s="344"/>
      <c r="AS4" s="344"/>
    </row>
    <row r="5" spans="1:45" s="19" customFormat="1" x14ac:dyDescent="0.25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58</v>
      </c>
      <c r="N5" s="132"/>
      <c r="O5" s="130" t="s">
        <v>57</v>
      </c>
      <c r="P5" s="132"/>
      <c r="Q5" s="130"/>
      <c r="R5" s="133"/>
      <c r="T5" s="343"/>
      <c r="U5" s="343"/>
      <c r="V5" s="343"/>
      <c r="W5" s="343"/>
      <c r="X5" s="343"/>
      <c r="Y5" s="375">
        <f>IF(OR(Altalanos!$A$8="F1",Altalanos!$A$8="F2",Altalanos!$A$8="N1",Altalanos!$A$8="N2"),1,2)</f>
        <v>2</v>
      </c>
      <c r="Z5" s="375"/>
      <c r="AA5" s="375" t="s">
        <v>67</v>
      </c>
      <c r="AB5" s="384">
        <v>200</v>
      </c>
      <c r="AC5" s="384">
        <v>150</v>
      </c>
      <c r="AD5" s="384">
        <v>120</v>
      </c>
      <c r="AE5" s="384">
        <v>90</v>
      </c>
      <c r="AF5" s="384">
        <v>60</v>
      </c>
      <c r="AG5" s="384">
        <v>40</v>
      </c>
      <c r="AH5" s="384">
        <v>15</v>
      </c>
      <c r="AI5" s="371"/>
      <c r="AJ5" s="371"/>
      <c r="AK5" s="371"/>
      <c r="AL5" s="343"/>
      <c r="AM5" s="343"/>
      <c r="AN5" s="343"/>
      <c r="AO5" s="343"/>
      <c r="AP5" s="343"/>
      <c r="AQ5" s="343"/>
      <c r="AR5" s="343"/>
      <c r="AS5" s="343"/>
    </row>
    <row r="6" spans="1:45" s="19" customFormat="1" ht="11.1" customHeight="1" thickBot="1" x14ac:dyDescent="0.3">
      <c r="A6" s="378"/>
      <c r="B6" s="379"/>
      <c r="C6" s="379"/>
      <c r="D6" s="379"/>
      <c r="E6" s="379"/>
      <c r="F6" s="378" t="str">
        <f>IF(Y3="","",CONCATENATE(VLOOKUP(Y3,AB1:AH1,4)," pont"))</f>
        <v>3 pont</v>
      </c>
      <c r="G6" s="380"/>
      <c r="H6" s="381"/>
      <c r="I6" s="380"/>
      <c r="J6" s="382"/>
      <c r="K6" s="379" t="str">
        <f>IF(Y3="","",CONCATENATE(VLOOKUP(Y3,AB1:AH1,3)," pont"))</f>
        <v>6 pont</v>
      </c>
      <c r="L6" s="382"/>
      <c r="M6" s="379" t="str">
        <f>IF(Y3="","",CONCATENATE(VLOOKUP(Y3,AB1:AH1,2)," pont"))</f>
        <v>10 pont</v>
      </c>
      <c r="N6" s="382"/>
      <c r="O6" s="379" t="str">
        <f>IF(Y3="","",CONCATENATE(VLOOKUP(Y3,AB1:AH1,1)," pont"))</f>
        <v>15 pont</v>
      </c>
      <c r="P6" s="382"/>
      <c r="Q6" s="379"/>
      <c r="R6" s="383"/>
      <c r="T6" s="343"/>
      <c r="U6" s="343"/>
      <c r="V6" s="343"/>
      <c r="W6" s="343"/>
      <c r="X6" s="343"/>
      <c r="Y6" s="375"/>
      <c r="Z6" s="375"/>
      <c r="AA6" s="375" t="s">
        <v>68</v>
      </c>
      <c r="AB6" s="384">
        <v>150</v>
      </c>
      <c r="AC6" s="384">
        <v>120</v>
      </c>
      <c r="AD6" s="384">
        <v>90</v>
      </c>
      <c r="AE6" s="384">
        <v>60</v>
      </c>
      <c r="AF6" s="384">
        <v>40</v>
      </c>
      <c r="AG6" s="384">
        <v>25</v>
      </c>
      <c r="AH6" s="384">
        <v>10</v>
      </c>
      <c r="AI6" s="371"/>
      <c r="AJ6" s="371"/>
      <c r="AK6" s="371"/>
      <c r="AL6" s="343"/>
      <c r="AM6" s="343"/>
      <c r="AN6" s="343"/>
      <c r="AO6" s="343"/>
      <c r="AP6" s="343"/>
      <c r="AQ6" s="343"/>
      <c r="AR6" s="343"/>
      <c r="AS6" s="343"/>
    </row>
    <row r="7" spans="1:45" s="34" customFormat="1" ht="12.9" customHeight="1" x14ac:dyDescent="0.25">
      <c r="A7" s="135">
        <v>1</v>
      </c>
      <c r="B7" s="316" t="str">
        <f>IF($E7="","",VLOOKUP($E7,'F14 csapat ELO'!$A$7:$O$22,14))</f>
        <v/>
      </c>
      <c r="C7" s="317" t="str">
        <f>IF($E7="","",VLOOKUP($E7,'F14 csapat ELO'!$A$7:$O$22,15))</f>
        <v/>
      </c>
      <c r="D7" s="317" t="str">
        <f>IF($E7="","",VLOOKUP($E7,'F14 csapat ELO'!$A$7:$O$22,5))</f>
        <v/>
      </c>
      <c r="E7" s="318"/>
      <c r="F7" s="319" t="str">
        <f>UPPER(IF($E7="","",VLOOKUP($E7,'F14 csapat ELO'!$A$7:$O$22,2)))</f>
        <v/>
      </c>
      <c r="G7" s="319" t="str">
        <f>IF($E7="","",VLOOKUP($E7,'F14 csapat ELO'!$A$7:$O$22,3))</f>
        <v/>
      </c>
      <c r="H7" s="319"/>
      <c r="I7" s="319" t="str">
        <f>IF($E7="","",VLOOKUP($E7,'F14 csapat ELO'!$A$7:$O$22,4))</f>
        <v/>
      </c>
      <c r="J7" s="320"/>
      <c r="K7" s="321"/>
      <c r="L7" s="321"/>
      <c r="M7" s="321"/>
      <c r="N7" s="321"/>
      <c r="O7" s="141"/>
      <c r="P7" s="142"/>
      <c r="Q7" s="143"/>
      <c r="R7" s="144"/>
      <c r="S7" s="145"/>
      <c r="T7" s="145"/>
      <c r="U7" s="345" t="str">
        <f>Birók!P21</f>
        <v>Bíró</v>
      </c>
      <c r="V7" s="145"/>
      <c r="W7" s="145"/>
      <c r="X7" s="145"/>
      <c r="Y7" s="375"/>
      <c r="Z7" s="375"/>
      <c r="AA7" s="375" t="s">
        <v>69</v>
      </c>
      <c r="AB7" s="384">
        <v>120</v>
      </c>
      <c r="AC7" s="384">
        <v>90</v>
      </c>
      <c r="AD7" s="384">
        <v>60</v>
      </c>
      <c r="AE7" s="384">
        <v>40</v>
      </c>
      <c r="AF7" s="384">
        <v>25</v>
      </c>
      <c r="AG7" s="384">
        <v>10</v>
      </c>
      <c r="AH7" s="384">
        <v>5</v>
      </c>
      <c r="AI7" s="371"/>
      <c r="AJ7" s="371"/>
      <c r="AK7" s="371"/>
      <c r="AL7" s="145"/>
      <c r="AM7" s="145"/>
      <c r="AN7" s="145"/>
      <c r="AO7" s="145"/>
      <c r="AP7" s="145"/>
      <c r="AQ7" s="145"/>
      <c r="AR7" s="145"/>
      <c r="AS7" s="145"/>
    </row>
    <row r="8" spans="1:45" s="34" customFormat="1" ht="12.9" customHeight="1" x14ac:dyDescent="0.25">
      <c r="A8" s="147"/>
      <c r="B8" s="322"/>
      <c r="C8" s="323"/>
      <c r="D8" s="323"/>
      <c r="E8" s="220"/>
      <c r="F8" s="324"/>
      <c r="G8" s="324"/>
      <c r="H8" s="325"/>
      <c r="I8" s="424" t="s">
        <v>0</v>
      </c>
      <c r="J8" s="152" t="s">
        <v>65</v>
      </c>
      <c r="K8" s="326" t="str">
        <f>UPPER(IF(OR(J8="a",J8="as"),F7,IF(OR(J8="b",J8="bs"),F9,)))</f>
        <v>PASARÉT TK 3</v>
      </c>
      <c r="L8" s="326"/>
      <c r="M8" s="321"/>
      <c r="N8" s="321"/>
      <c r="O8" s="141"/>
      <c r="P8" s="142"/>
      <c r="Q8" s="143"/>
      <c r="R8" s="144"/>
      <c r="S8" s="145"/>
      <c r="T8" s="145"/>
      <c r="U8" s="346" t="str">
        <f>Birók!P22</f>
        <v xml:space="preserve"> </v>
      </c>
      <c r="V8" s="145"/>
      <c r="W8" s="145"/>
      <c r="X8" s="145"/>
      <c r="Y8" s="375"/>
      <c r="Z8" s="375"/>
      <c r="AA8" s="375" t="s">
        <v>70</v>
      </c>
      <c r="AB8" s="384">
        <v>90</v>
      </c>
      <c r="AC8" s="384">
        <v>60</v>
      </c>
      <c r="AD8" s="384">
        <v>40</v>
      </c>
      <c r="AE8" s="384">
        <v>25</v>
      </c>
      <c r="AF8" s="384">
        <v>10</v>
      </c>
      <c r="AG8" s="384">
        <v>5</v>
      </c>
      <c r="AH8" s="384">
        <v>2</v>
      </c>
      <c r="AI8" s="371"/>
      <c r="AJ8" s="371"/>
      <c r="AK8" s="371"/>
      <c r="AL8" s="145"/>
      <c r="AM8" s="145"/>
      <c r="AN8" s="145"/>
      <c r="AO8" s="145"/>
      <c r="AP8" s="145"/>
      <c r="AQ8" s="145"/>
      <c r="AR8" s="145"/>
      <c r="AS8" s="145"/>
    </row>
    <row r="9" spans="1:45" s="34" customFormat="1" ht="12.9" customHeight="1" x14ac:dyDescent="0.25">
      <c r="A9" s="147">
        <v>2</v>
      </c>
      <c r="B9" s="316" t="str">
        <f>IF($E9="","",VLOOKUP($E9,'F14 csapat ELO'!$A$7:$O$22,14))</f>
        <v/>
      </c>
      <c r="C9" s="317" t="str">
        <f>IF($E9="","",VLOOKUP($E9,'F14 csapat ELO'!$A$7:$O$22,15))</f>
        <v/>
      </c>
      <c r="D9" s="317" t="str">
        <f>IF($E9="","",VLOOKUP($E9,'F14 csapat ELO'!$A$7:$O$22,5))</f>
        <v/>
      </c>
      <c r="E9" s="414"/>
      <c r="F9" s="437" t="s">
        <v>135</v>
      </c>
      <c r="G9" s="368" t="str">
        <f>IF($E9="","",VLOOKUP($E9,'F14 csapat ELO'!$A$7:$O$22,3))</f>
        <v/>
      </c>
      <c r="H9" s="368"/>
      <c r="I9" s="368" t="str">
        <f>IF($E9="","",VLOOKUP($E9,'F14 csapat ELO'!$A$7:$O$22,4))</f>
        <v/>
      </c>
      <c r="J9" s="327"/>
      <c r="K9" s="321"/>
      <c r="L9" s="328"/>
      <c r="M9" s="321"/>
      <c r="N9" s="321"/>
      <c r="O9" s="141"/>
      <c r="P9" s="142"/>
      <c r="Q9" s="143"/>
      <c r="R9" s="144"/>
      <c r="S9" s="145"/>
      <c r="T9" s="145"/>
      <c r="U9" s="346" t="str">
        <f>Birók!P23</f>
        <v xml:space="preserve"> </v>
      </c>
      <c r="V9" s="145"/>
      <c r="W9" s="145"/>
      <c r="X9" s="145"/>
      <c r="Y9" s="375"/>
      <c r="Z9" s="375"/>
      <c r="AA9" s="375" t="s">
        <v>71</v>
      </c>
      <c r="AB9" s="384">
        <v>60</v>
      </c>
      <c r="AC9" s="384">
        <v>40</v>
      </c>
      <c r="AD9" s="384">
        <v>25</v>
      </c>
      <c r="AE9" s="384">
        <v>10</v>
      </c>
      <c r="AF9" s="384">
        <v>5</v>
      </c>
      <c r="AG9" s="384">
        <v>2</v>
      </c>
      <c r="AH9" s="384">
        <v>1</v>
      </c>
      <c r="AI9" s="371"/>
      <c r="AJ9" s="371"/>
      <c r="AK9" s="371"/>
      <c r="AL9" s="145"/>
      <c r="AM9" s="145"/>
      <c r="AN9" s="145"/>
      <c r="AO9" s="145"/>
      <c r="AP9" s="145"/>
      <c r="AQ9" s="145"/>
      <c r="AR9" s="145"/>
      <c r="AS9" s="145"/>
    </row>
    <row r="10" spans="1:45" s="34" customFormat="1" ht="12.9" customHeight="1" x14ac:dyDescent="0.25">
      <c r="A10" s="147"/>
      <c r="B10" s="322"/>
      <c r="C10" s="323"/>
      <c r="D10" s="323"/>
      <c r="E10" s="415"/>
      <c r="F10" s="416"/>
      <c r="G10" s="416"/>
      <c r="H10" s="417"/>
      <c r="I10" s="416"/>
      <c r="J10" s="329"/>
      <c r="K10" s="424" t="s">
        <v>0</v>
      </c>
      <c r="L10" s="160" t="s">
        <v>129</v>
      </c>
      <c r="M10" s="326" t="str">
        <f>UPPER(IF(OR(L10="a",L10="as"),K8,IF(OR(L10="b",L10="bs"),K12,)))</f>
        <v>PASARÉT TK 3</v>
      </c>
      <c r="N10" s="330"/>
      <c r="O10" s="331"/>
      <c r="P10" s="331"/>
      <c r="Q10" s="143"/>
      <c r="R10" s="144"/>
      <c r="S10" s="145"/>
      <c r="T10" s="145"/>
      <c r="U10" s="346" t="str">
        <f>Birók!P24</f>
        <v xml:space="preserve"> </v>
      </c>
      <c r="V10" s="145"/>
      <c r="W10" s="145"/>
      <c r="X10" s="145"/>
      <c r="Y10" s="375"/>
      <c r="Z10" s="375"/>
      <c r="AA10" s="375" t="s">
        <v>72</v>
      </c>
      <c r="AB10" s="384">
        <v>40</v>
      </c>
      <c r="AC10" s="384">
        <v>25</v>
      </c>
      <c r="AD10" s="384">
        <v>15</v>
      </c>
      <c r="AE10" s="384">
        <v>7</v>
      </c>
      <c r="AF10" s="384">
        <v>4</v>
      </c>
      <c r="AG10" s="384">
        <v>1</v>
      </c>
      <c r="AH10" s="384">
        <v>0</v>
      </c>
      <c r="AI10" s="371"/>
      <c r="AJ10" s="371"/>
      <c r="AK10" s="371"/>
      <c r="AL10" s="145"/>
      <c r="AM10" s="145"/>
      <c r="AN10" s="145"/>
      <c r="AO10" s="145"/>
      <c r="AP10" s="145"/>
      <c r="AQ10" s="145"/>
      <c r="AR10" s="145"/>
      <c r="AS10" s="145"/>
    </row>
    <row r="11" spans="1:45" s="34" customFormat="1" ht="12.9" customHeight="1" x14ac:dyDescent="0.25">
      <c r="A11" s="147">
        <v>3</v>
      </c>
      <c r="B11" s="316" t="str">
        <f>IF($E11="","",VLOOKUP($E11,'F14 csapat ELO'!$A$7:$O$22,14))</f>
        <v/>
      </c>
      <c r="C11" s="317" t="str">
        <f>IF($E11="","",VLOOKUP($E11,'F14 csapat ELO'!$A$7:$O$22,15))</f>
        <v/>
      </c>
      <c r="D11" s="317" t="str">
        <f>IF($E11="","",VLOOKUP($E11,'F14 csapat ELO'!$A$7:$O$22,5))</f>
        <v/>
      </c>
      <c r="E11" s="414"/>
      <c r="F11" s="368" t="str">
        <f>UPPER(IF($E11="","",VLOOKUP($E11,'F14 csapat ELO'!$A$7:$O$22,2)))</f>
        <v/>
      </c>
      <c r="G11" s="368" t="str">
        <f>IF($E11="","",VLOOKUP($E11,'F14 csapat ELO'!$A$7:$O$22,3))</f>
        <v/>
      </c>
      <c r="H11" s="368"/>
      <c r="I11" s="368" t="str">
        <f>IF($E11="","",VLOOKUP($E11,'F14 csapat ELO'!$A$7:$O$22,4))</f>
        <v/>
      </c>
      <c r="J11" s="320"/>
      <c r="K11" s="321"/>
      <c r="L11" s="332"/>
      <c r="M11" s="331" t="s">
        <v>140</v>
      </c>
      <c r="N11" s="333"/>
      <c r="O11" s="331"/>
      <c r="P11" s="331"/>
      <c r="Q11" s="143"/>
      <c r="R11" s="144"/>
      <c r="S11" s="145"/>
      <c r="T11" s="145"/>
      <c r="U11" s="346" t="str">
        <f>Birók!P25</f>
        <v xml:space="preserve"> </v>
      </c>
      <c r="V11" s="145"/>
      <c r="W11" s="145"/>
      <c r="X11" s="145"/>
      <c r="Y11" s="375"/>
      <c r="Z11" s="375"/>
      <c r="AA11" s="375" t="s">
        <v>73</v>
      </c>
      <c r="AB11" s="384">
        <v>25</v>
      </c>
      <c r="AC11" s="384">
        <v>15</v>
      </c>
      <c r="AD11" s="384">
        <v>10</v>
      </c>
      <c r="AE11" s="384">
        <v>6</v>
      </c>
      <c r="AF11" s="384">
        <v>3</v>
      </c>
      <c r="AG11" s="384">
        <v>1</v>
      </c>
      <c r="AH11" s="384">
        <v>0</v>
      </c>
      <c r="AI11" s="371"/>
      <c r="AJ11" s="371"/>
      <c r="AK11" s="371"/>
      <c r="AL11" s="145"/>
      <c r="AM11" s="145"/>
      <c r="AN11" s="145"/>
      <c r="AO11" s="145"/>
      <c r="AP11" s="145"/>
      <c r="AQ11" s="145"/>
      <c r="AR11" s="145"/>
      <c r="AS11" s="145"/>
    </row>
    <row r="12" spans="1:45" s="34" customFormat="1" ht="12.9" customHeight="1" x14ac:dyDescent="0.25">
      <c r="A12" s="147"/>
      <c r="B12" s="322"/>
      <c r="C12" s="323"/>
      <c r="D12" s="323"/>
      <c r="E12" s="415"/>
      <c r="F12" s="416"/>
      <c r="G12" s="416"/>
      <c r="H12" s="417"/>
      <c r="I12" s="424" t="s">
        <v>0</v>
      </c>
      <c r="J12" s="152" t="s">
        <v>65</v>
      </c>
      <c r="K12" s="326" t="str">
        <f>UPPER(IF(OR(J12="a",J12="as"),F11,IF(OR(J12="b",J12="bs"),F13,)))</f>
        <v>KÉK LEPKÉK</v>
      </c>
      <c r="L12" s="334"/>
      <c r="M12" s="321"/>
      <c r="N12" s="333"/>
      <c r="O12" s="331"/>
      <c r="P12" s="331"/>
      <c r="Q12" s="143"/>
      <c r="R12" s="144"/>
      <c r="S12" s="145"/>
      <c r="T12" s="145"/>
      <c r="U12" s="346" t="str">
        <f>Birók!P26</f>
        <v xml:space="preserve"> </v>
      </c>
      <c r="V12" s="145"/>
      <c r="W12" s="145"/>
      <c r="X12" s="145"/>
      <c r="Y12" s="375"/>
      <c r="Z12" s="375"/>
      <c r="AA12" s="375" t="s">
        <v>78</v>
      </c>
      <c r="AB12" s="384">
        <v>15</v>
      </c>
      <c r="AC12" s="384">
        <v>10</v>
      </c>
      <c r="AD12" s="384">
        <v>6</v>
      </c>
      <c r="AE12" s="384">
        <v>3</v>
      </c>
      <c r="AF12" s="384">
        <v>1</v>
      </c>
      <c r="AG12" s="384">
        <v>0</v>
      </c>
      <c r="AH12" s="384">
        <v>0</v>
      </c>
      <c r="AI12" s="371"/>
      <c r="AJ12" s="371"/>
      <c r="AK12" s="371"/>
      <c r="AL12" s="145"/>
      <c r="AM12" s="145"/>
      <c r="AN12" s="145"/>
      <c r="AO12" s="145"/>
      <c r="AP12" s="145"/>
      <c r="AQ12" s="145"/>
      <c r="AR12" s="145"/>
      <c r="AS12" s="145"/>
    </row>
    <row r="13" spans="1:45" s="34" customFormat="1" ht="12.9" customHeight="1" x14ac:dyDescent="0.25">
      <c r="A13" s="147">
        <v>4</v>
      </c>
      <c r="B13" s="316" t="str">
        <f>IF($E13="","",VLOOKUP($E13,'F14 csapat ELO'!$A$7:$O$22,14))</f>
        <v/>
      </c>
      <c r="C13" s="317" t="str">
        <f>IF($E13="","",VLOOKUP($E13,'F14 csapat ELO'!$A$7:$O$22,15))</f>
        <v/>
      </c>
      <c r="D13" s="317" t="str">
        <f>IF($E13="","",VLOOKUP($E13,'F14 csapat ELO'!$A$7:$O$22,5))</f>
        <v/>
      </c>
      <c r="E13" s="414"/>
      <c r="F13" s="437" t="s">
        <v>136</v>
      </c>
      <c r="G13" s="368" t="str">
        <f>IF($E13="","",VLOOKUP($E13,'F14 csapat ELO'!$A$7:$O$22,3))</f>
        <v/>
      </c>
      <c r="H13" s="368"/>
      <c r="I13" s="368" t="str">
        <f>IF($E13="","",VLOOKUP($E13,'F14 csapat ELO'!$A$7:$O$22,4))</f>
        <v/>
      </c>
      <c r="J13" s="335"/>
      <c r="K13" s="321"/>
      <c r="L13" s="321"/>
      <c r="M13" s="321"/>
      <c r="N13" s="333"/>
      <c r="O13" s="331"/>
      <c r="P13" s="331"/>
      <c r="Q13" s="143"/>
      <c r="R13" s="144"/>
      <c r="S13" s="145"/>
      <c r="T13" s="145"/>
      <c r="U13" s="346" t="str">
        <f>Birók!P27</f>
        <v xml:space="preserve"> </v>
      </c>
      <c r="V13" s="145"/>
      <c r="W13" s="145"/>
      <c r="X13" s="145"/>
      <c r="Y13" s="375"/>
      <c r="Z13" s="375"/>
      <c r="AA13" s="375" t="s">
        <v>74</v>
      </c>
      <c r="AB13" s="384">
        <v>10</v>
      </c>
      <c r="AC13" s="384">
        <v>6</v>
      </c>
      <c r="AD13" s="384">
        <v>3</v>
      </c>
      <c r="AE13" s="384">
        <v>1</v>
      </c>
      <c r="AF13" s="384">
        <v>0</v>
      </c>
      <c r="AG13" s="384">
        <v>0</v>
      </c>
      <c r="AH13" s="384">
        <v>0</v>
      </c>
      <c r="AI13" s="371"/>
      <c r="AJ13" s="371"/>
      <c r="AK13" s="371"/>
      <c r="AL13" s="145"/>
      <c r="AM13" s="145"/>
      <c r="AN13" s="145"/>
      <c r="AO13" s="145"/>
      <c r="AP13" s="145"/>
      <c r="AQ13" s="145"/>
      <c r="AR13" s="145"/>
      <c r="AS13" s="145"/>
    </row>
    <row r="14" spans="1:45" s="34" customFormat="1" ht="12.9" customHeight="1" x14ac:dyDescent="0.25">
      <c r="A14" s="147"/>
      <c r="B14" s="322"/>
      <c r="C14" s="323"/>
      <c r="D14" s="323"/>
      <c r="E14" s="415"/>
      <c r="F14" s="416"/>
      <c r="G14" s="416"/>
      <c r="H14" s="417"/>
      <c r="I14" s="416"/>
      <c r="J14" s="329"/>
      <c r="K14" s="321"/>
      <c r="L14" s="321"/>
      <c r="M14" s="424" t="s">
        <v>0</v>
      </c>
      <c r="N14" s="160" t="s">
        <v>129</v>
      </c>
      <c r="O14" s="326" t="str">
        <f>UPPER(IF(OR(N14="a",N14="as"),M10,IF(OR(N14="b",N14="bs"),M18,)))</f>
        <v>PASARÉT TK 3</v>
      </c>
      <c r="P14" s="330"/>
      <c r="Q14" s="143"/>
      <c r="R14" s="144"/>
      <c r="S14" s="145"/>
      <c r="T14" s="145"/>
      <c r="U14" s="346" t="str">
        <f>Birók!P28</f>
        <v xml:space="preserve"> </v>
      </c>
      <c r="V14" s="145"/>
      <c r="W14" s="145"/>
      <c r="X14" s="145"/>
      <c r="Y14" s="375"/>
      <c r="Z14" s="375"/>
      <c r="AA14" s="375" t="s">
        <v>75</v>
      </c>
      <c r="AB14" s="384">
        <v>3</v>
      </c>
      <c r="AC14" s="384">
        <v>2</v>
      </c>
      <c r="AD14" s="384">
        <v>1</v>
      </c>
      <c r="AE14" s="384">
        <v>0</v>
      </c>
      <c r="AF14" s="384">
        <v>0</v>
      </c>
      <c r="AG14" s="384">
        <v>0</v>
      </c>
      <c r="AH14" s="384">
        <v>0</v>
      </c>
      <c r="AI14" s="371"/>
      <c r="AJ14" s="371"/>
      <c r="AK14" s="371"/>
      <c r="AL14" s="145"/>
      <c r="AM14" s="145"/>
      <c r="AN14" s="145"/>
      <c r="AO14" s="145"/>
      <c r="AP14" s="145"/>
      <c r="AQ14" s="145"/>
      <c r="AR14" s="145"/>
      <c r="AS14" s="145"/>
    </row>
    <row r="15" spans="1:45" s="34" customFormat="1" ht="12.9" customHeight="1" x14ac:dyDescent="0.25">
      <c r="A15" s="367">
        <v>5</v>
      </c>
      <c r="B15" s="316" t="str">
        <f>IF($E15="","",VLOOKUP($E15,'F14 csapat ELO'!$A$7:$O$22,14))</f>
        <v/>
      </c>
      <c r="C15" s="317" t="str">
        <f>IF($E15="","",VLOOKUP($E15,'F14 csapat ELO'!$A$7:$O$22,15))</f>
        <v/>
      </c>
      <c r="D15" s="317" t="str">
        <f>IF($E15="","",VLOOKUP($E15,'F14 csapat ELO'!$A$7:$O$22,5))</f>
        <v/>
      </c>
      <c r="E15" s="414"/>
      <c r="F15" s="437" t="s">
        <v>137</v>
      </c>
      <c r="G15" s="368" t="str">
        <f>IF($E15="","",VLOOKUP($E15,'F14 csapat ELO'!$A$7:$O$22,3))</f>
        <v/>
      </c>
      <c r="H15" s="368"/>
      <c r="I15" s="368" t="str">
        <f>IF($E15="","",VLOOKUP($E15,'F14 csapat ELO'!$A$7:$O$22,4))</f>
        <v/>
      </c>
      <c r="J15" s="337"/>
      <c r="K15" s="321"/>
      <c r="L15" s="321"/>
      <c r="M15" s="321"/>
      <c r="N15" s="333"/>
      <c r="O15" s="331" t="s">
        <v>133</v>
      </c>
      <c r="P15" s="366"/>
      <c r="Q15" s="247"/>
      <c r="R15" s="144"/>
      <c r="S15" s="145"/>
      <c r="T15" s="145"/>
      <c r="U15" s="346" t="str">
        <f>Birók!P29</f>
        <v xml:space="preserve"> </v>
      </c>
      <c r="V15" s="145"/>
      <c r="W15" s="145"/>
      <c r="X15" s="14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1"/>
      <c r="AJ15" s="371"/>
      <c r="AK15" s="371"/>
      <c r="AL15" s="145"/>
      <c r="AM15" s="145"/>
      <c r="AN15" s="145"/>
      <c r="AO15" s="145"/>
      <c r="AP15" s="145"/>
      <c r="AQ15" s="145"/>
      <c r="AR15" s="145"/>
      <c r="AS15" s="145"/>
    </row>
    <row r="16" spans="1:45" s="34" customFormat="1" ht="12.9" customHeight="1" thickBot="1" x14ac:dyDescent="0.3">
      <c r="A16" s="147"/>
      <c r="B16" s="322"/>
      <c r="C16" s="323"/>
      <c r="D16" s="323"/>
      <c r="E16" s="415"/>
      <c r="F16" s="416"/>
      <c r="G16" s="416"/>
      <c r="H16" s="417"/>
      <c r="I16" s="424" t="s">
        <v>0</v>
      </c>
      <c r="J16" s="152" t="s">
        <v>64</v>
      </c>
      <c r="K16" s="326" t="str">
        <f>UPPER(IF(OR(J16="a",J16="as"),F15,IF(OR(J16="b",J16="bs"),F17,)))</f>
        <v>PASARÉT TK 2</v>
      </c>
      <c r="L16" s="326"/>
      <c r="M16" s="321"/>
      <c r="N16" s="333"/>
      <c r="O16" s="424"/>
      <c r="P16" s="366"/>
      <c r="Q16" s="247"/>
      <c r="R16" s="144"/>
      <c r="S16" s="145"/>
      <c r="T16" s="145"/>
      <c r="U16" s="347" t="str">
        <f>Birók!P30</f>
        <v>Egyik sem</v>
      </c>
      <c r="V16" s="145"/>
      <c r="W16" s="145"/>
      <c r="X16" s="145"/>
      <c r="Y16" s="375"/>
      <c r="Z16" s="375"/>
      <c r="AA16" s="375" t="s">
        <v>64</v>
      </c>
      <c r="AB16" s="384">
        <v>150</v>
      </c>
      <c r="AC16" s="384">
        <v>120</v>
      </c>
      <c r="AD16" s="384">
        <v>90</v>
      </c>
      <c r="AE16" s="384">
        <v>60</v>
      </c>
      <c r="AF16" s="384">
        <v>40</v>
      </c>
      <c r="AG16" s="384">
        <v>25</v>
      </c>
      <c r="AH16" s="384">
        <v>15</v>
      </c>
      <c r="AI16" s="371"/>
      <c r="AJ16" s="371"/>
      <c r="AK16" s="371"/>
      <c r="AL16" s="145"/>
      <c r="AM16" s="145"/>
      <c r="AN16" s="145"/>
      <c r="AO16" s="145"/>
      <c r="AP16" s="145"/>
      <c r="AQ16" s="145"/>
      <c r="AR16" s="145"/>
      <c r="AS16" s="145"/>
    </row>
    <row r="17" spans="1:45" s="34" customFormat="1" ht="12.9" customHeight="1" x14ac:dyDescent="0.25">
      <c r="A17" s="147">
        <v>6</v>
      </c>
      <c r="B17" s="316" t="str">
        <f>IF($E17="","",VLOOKUP($E17,'F14 csapat ELO'!$A$7:$O$22,14))</f>
        <v/>
      </c>
      <c r="C17" s="317" t="str">
        <f>IF($E17="","",VLOOKUP($E17,'F14 csapat ELO'!$A$7:$O$22,15))</f>
        <v/>
      </c>
      <c r="D17" s="317" t="str">
        <f>IF($E17="","",VLOOKUP($E17,'F14 csapat ELO'!$A$7:$O$22,5))</f>
        <v/>
      </c>
      <c r="E17" s="414"/>
      <c r="F17" s="368" t="str">
        <f>UPPER(IF($E17="","",VLOOKUP($E17,'F14 csapat ELO'!$A$7:$O$22,2)))</f>
        <v/>
      </c>
      <c r="G17" s="368" t="str">
        <f>IF($E17="","",VLOOKUP($E17,'F14 csapat ELO'!$A$7:$O$22,3))</f>
        <v/>
      </c>
      <c r="H17" s="368"/>
      <c r="I17" s="368" t="str">
        <f>IF($E17="","",VLOOKUP($E17,'F14 csapat ELO'!$A$7:$O$22,4))</f>
        <v/>
      </c>
      <c r="J17" s="327"/>
      <c r="K17" s="321"/>
      <c r="L17" s="328"/>
      <c r="M17" s="321"/>
      <c r="N17" s="333"/>
      <c r="O17" s="331"/>
      <c r="P17" s="366"/>
      <c r="Q17" s="247"/>
      <c r="R17" s="144"/>
      <c r="S17" s="145"/>
      <c r="T17" s="145"/>
      <c r="U17" s="145"/>
      <c r="V17" s="145"/>
      <c r="W17" s="145"/>
      <c r="X17" s="145"/>
      <c r="Y17" s="375"/>
      <c r="Z17" s="375"/>
      <c r="AA17" s="375" t="s">
        <v>66</v>
      </c>
      <c r="AB17" s="384">
        <v>120</v>
      </c>
      <c r="AC17" s="384">
        <v>90</v>
      </c>
      <c r="AD17" s="384">
        <v>60</v>
      </c>
      <c r="AE17" s="384">
        <v>40</v>
      </c>
      <c r="AF17" s="384">
        <v>25</v>
      </c>
      <c r="AG17" s="384">
        <v>15</v>
      </c>
      <c r="AH17" s="384">
        <v>8</v>
      </c>
      <c r="AI17" s="371"/>
      <c r="AJ17" s="371"/>
      <c r="AK17" s="371"/>
      <c r="AL17" s="145"/>
      <c r="AM17" s="145"/>
      <c r="AN17" s="145"/>
      <c r="AO17" s="145"/>
      <c r="AP17" s="145"/>
      <c r="AQ17" s="145"/>
      <c r="AR17" s="145"/>
      <c r="AS17" s="145"/>
    </row>
    <row r="18" spans="1:45" s="34" customFormat="1" ht="12.9" customHeight="1" x14ac:dyDescent="0.25">
      <c r="A18" s="147"/>
      <c r="B18" s="322"/>
      <c r="C18" s="323"/>
      <c r="D18" s="323"/>
      <c r="E18" s="415"/>
      <c r="F18" s="416"/>
      <c r="G18" s="416"/>
      <c r="H18" s="417"/>
      <c r="I18" s="416"/>
      <c r="J18" s="329"/>
      <c r="K18" s="424" t="s">
        <v>0</v>
      </c>
      <c r="L18" s="160" t="s">
        <v>64</v>
      </c>
      <c r="M18" s="326" t="str">
        <f>UPPER(IF(OR(L18="a",L18="as"),K16,IF(OR(L18="b",L18="bs"),K20,)))</f>
        <v>PASARÉT TK 2</v>
      </c>
      <c r="N18" s="338"/>
      <c r="O18" s="331"/>
      <c r="P18" s="366"/>
      <c r="Q18" s="247"/>
      <c r="R18" s="144"/>
      <c r="S18" s="145"/>
      <c r="T18" s="145"/>
      <c r="U18" s="145"/>
      <c r="V18" s="145"/>
      <c r="W18" s="145"/>
      <c r="X18" s="145"/>
      <c r="Y18" s="375"/>
      <c r="Z18" s="375"/>
      <c r="AA18" s="375" t="s">
        <v>67</v>
      </c>
      <c r="AB18" s="384">
        <v>90</v>
      </c>
      <c r="AC18" s="384">
        <v>60</v>
      </c>
      <c r="AD18" s="384">
        <v>40</v>
      </c>
      <c r="AE18" s="384">
        <v>25</v>
      </c>
      <c r="AF18" s="384">
        <v>15</v>
      </c>
      <c r="AG18" s="384">
        <v>8</v>
      </c>
      <c r="AH18" s="384">
        <v>4</v>
      </c>
      <c r="AI18" s="371"/>
      <c r="AJ18" s="371"/>
      <c r="AK18" s="371"/>
      <c r="AL18" s="145"/>
      <c r="AM18" s="145"/>
      <c r="AN18" s="145"/>
      <c r="AO18" s="145"/>
      <c r="AP18" s="145"/>
      <c r="AQ18" s="145"/>
      <c r="AR18" s="145"/>
      <c r="AS18" s="145"/>
    </row>
    <row r="19" spans="1:45" s="34" customFormat="1" ht="12.9" customHeight="1" x14ac:dyDescent="0.25">
      <c r="A19" s="147">
        <v>7</v>
      </c>
      <c r="B19" s="316" t="str">
        <f>IF($E19="","",VLOOKUP($E19,'F14 csapat ELO'!$A$7:$O$22,14))</f>
        <v/>
      </c>
      <c r="C19" s="317" t="str">
        <f>IF($E19="","",VLOOKUP($E19,'F14 csapat ELO'!$A$7:$O$22,15))</f>
        <v/>
      </c>
      <c r="D19" s="317" t="str">
        <f>IF($E19="","",VLOOKUP($E19,'F14 csapat ELO'!$A$7:$O$22,5))</f>
        <v/>
      </c>
      <c r="E19" s="414"/>
      <c r="F19" s="437" t="s">
        <v>138</v>
      </c>
      <c r="G19" s="368" t="str">
        <f>IF($E19="","",VLOOKUP($E19,'F14 csapat ELO'!$A$7:$O$22,3))</f>
        <v/>
      </c>
      <c r="H19" s="368"/>
      <c r="I19" s="368" t="str">
        <f>IF($E19="","",VLOOKUP($E19,'F14 csapat ELO'!$A$7:$O$22,4))</f>
        <v/>
      </c>
      <c r="J19" s="320"/>
      <c r="K19" s="321"/>
      <c r="L19" s="332"/>
      <c r="M19" s="321" t="s">
        <v>139</v>
      </c>
      <c r="N19" s="331"/>
      <c r="O19" s="331"/>
      <c r="P19" s="366"/>
      <c r="Q19" s="247"/>
      <c r="R19" s="144"/>
      <c r="S19" s="145"/>
      <c r="T19" s="145"/>
      <c r="U19" s="145"/>
      <c r="V19" s="145"/>
      <c r="W19" s="145"/>
      <c r="X19" s="145"/>
      <c r="Y19" s="375"/>
      <c r="Z19" s="375"/>
      <c r="AA19" s="375" t="s">
        <v>68</v>
      </c>
      <c r="AB19" s="384">
        <v>60</v>
      </c>
      <c r="AC19" s="384">
        <v>40</v>
      </c>
      <c r="AD19" s="384">
        <v>25</v>
      </c>
      <c r="AE19" s="384">
        <v>15</v>
      </c>
      <c r="AF19" s="384">
        <v>8</v>
      </c>
      <c r="AG19" s="384">
        <v>4</v>
      </c>
      <c r="AH19" s="384">
        <v>2</v>
      </c>
      <c r="AI19" s="371"/>
      <c r="AJ19" s="371"/>
      <c r="AK19" s="371"/>
      <c r="AL19" s="145"/>
      <c r="AM19" s="145"/>
      <c r="AN19" s="145"/>
      <c r="AO19" s="145"/>
      <c r="AP19" s="145"/>
      <c r="AQ19" s="145"/>
      <c r="AR19" s="145"/>
      <c r="AS19" s="145"/>
    </row>
    <row r="20" spans="1:45" s="34" customFormat="1" ht="12.9" customHeight="1" x14ac:dyDescent="0.25">
      <c r="A20" s="147"/>
      <c r="B20" s="322"/>
      <c r="C20" s="323"/>
      <c r="D20" s="323"/>
      <c r="E20" s="220"/>
      <c r="F20" s="324"/>
      <c r="G20" s="324"/>
      <c r="H20" s="325"/>
      <c r="I20" s="424" t="s">
        <v>0</v>
      </c>
      <c r="J20" s="152" t="s">
        <v>64</v>
      </c>
      <c r="K20" s="326" t="str">
        <f>UPPER(IF(OR(J20="a",J20="as"),F19,IF(OR(J20="b",J20="bs"),F21,)))</f>
        <v>FORTUNA SE</v>
      </c>
      <c r="L20" s="334"/>
      <c r="M20" s="321"/>
      <c r="N20" s="331"/>
      <c r="O20" s="331"/>
      <c r="P20" s="366"/>
      <c r="Q20" s="247"/>
      <c r="R20" s="144"/>
      <c r="S20" s="145"/>
      <c r="T20" s="145"/>
      <c r="U20" s="145"/>
      <c r="V20" s="145"/>
      <c r="W20" s="145"/>
      <c r="X20" s="145"/>
      <c r="Y20" s="375"/>
      <c r="Z20" s="375"/>
      <c r="AA20" s="375" t="s">
        <v>69</v>
      </c>
      <c r="AB20" s="384">
        <v>40</v>
      </c>
      <c r="AC20" s="384">
        <v>25</v>
      </c>
      <c r="AD20" s="384">
        <v>15</v>
      </c>
      <c r="AE20" s="384">
        <v>8</v>
      </c>
      <c r="AF20" s="384">
        <v>4</v>
      </c>
      <c r="AG20" s="384">
        <v>2</v>
      </c>
      <c r="AH20" s="384">
        <v>1</v>
      </c>
      <c r="AI20" s="371"/>
      <c r="AJ20" s="371"/>
      <c r="AK20" s="371"/>
      <c r="AL20" s="145"/>
      <c r="AM20" s="145"/>
      <c r="AN20" s="145"/>
      <c r="AO20" s="145"/>
      <c r="AP20" s="145"/>
      <c r="AQ20" s="145"/>
      <c r="AR20" s="145"/>
      <c r="AS20" s="145"/>
    </row>
    <row r="21" spans="1:45" s="34" customFormat="1" ht="12.9" customHeight="1" x14ac:dyDescent="0.25">
      <c r="A21" s="370">
        <v>8</v>
      </c>
      <c r="B21" s="316" t="str">
        <f>IF($E21="","",VLOOKUP($E21,'F14 csapat ELO'!$A$7:$O$22,14))</f>
        <v/>
      </c>
      <c r="C21" s="317" t="str">
        <f>IF($E21="","",VLOOKUP($E21,'F14 csapat ELO'!$A$7:$O$22,15))</f>
        <v/>
      </c>
      <c r="D21" s="317" t="str">
        <f>IF($E21="","",VLOOKUP($E21,'F14 csapat ELO'!$A$7:$O$22,5))</f>
        <v/>
      </c>
      <c r="E21" s="318"/>
      <c r="F21" s="369" t="str">
        <f>UPPER(IF($E21="","",VLOOKUP($E21,'F14 csapat ELO'!$A$7:$O$22,2)))</f>
        <v/>
      </c>
      <c r="G21" s="369" t="str">
        <f>IF($E21="","",VLOOKUP($E21,'F14 csapat ELO'!$A$7:$O$22,3))</f>
        <v/>
      </c>
      <c r="H21" s="369"/>
      <c r="I21" s="369" t="str">
        <f>IF($E21="","",VLOOKUP($E21,'F14 csapat ELO'!$A$7:$O$22,4))</f>
        <v/>
      </c>
      <c r="J21" s="335"/>
      <c r="K21" s="321"/>
      <c r="L21" s="321"/>
      <c r="M21" s="321"/>
      <c r="N21" s="331"/>
      <c r="O21" s="331"/>
      <c r="P21" s="366"/>
      <c r="Q21" s="247"/>
      <c r="R21" s="144"/>
      <c r="S21" s="145"/>
      <c r="T21" s="145"/>
      <c r="U21" s="145"/>
      <c r="V21" s="145"/>
      <c r="W21" s="145"/>
      <c r="X21" s="145"/>
      <c r="Y21" s="375"/>
      <c r="Z21" s="375"/>
      <c r="AA21" s="375" t="s">
        <v>70</v>
      </c>
      <c r="AB21" s="384">
        <v>25</v>
      </c>
      <c r="AC21" s="384">
        <v>15</v>
      </c>
      <c r="AD21" s="384">
        <v>10</v>
      </c>
      <c r="AE21" s="384">
        <v>6</v>
      </c>
      <c r="AF21" s="384">
        <v>3</v>
      </c>
      <c r="AG21" s="384">
        <v>1</v>
      </c>
      <c r="AH21" s="384">
        <v>0</v>
      </c>
      <c r="AI21" s="371"/>
      <c r="AJ21" s="371"/>
      <c r="AK21" s="371"/>
      <c r="AL21" s="145"/>
      <c r="AM21" s="145"/>
      <c r="AN21" s="145"/>
      <c r="AO21" s="145"/>
      <c r="AP21" s="145"/>
      <c r="AQ21" s="145"/>
      <c r="AR21" s="145"/>
      <c r="AS21" s="145"/>
    </row>
    <row r="22" spans="1:45" s="34" customFormat="1" ht="9.6" customHeight="1" x14ac:dyDescent="0.25">
      <c r="A22" s="350"/>
      <c r="B22" s="141"/>
      <c r="C22" s="141"/>
      <c r="D22" s="141"/>
      <c r="E22" s="220"/>
      <c r="F22" s="141"/>
      <c r="G22" s="141"/>
      <c r="H22" s="141"/>
      <c r="I22" s="141"/>
      <c r="J22" s="220"/>
      <c r="K22" s="141"/>
      <c r="L22" s="141"/>
      <c r="M22" s="141"/>
      <c r="N22" s="143"/>
      <c r="O22" s="143"/>
      <c r="P22" s="143"/>
      <c r="Q22" s="143"/>
      <c r="R22" s="144"/>
      <c r="S22" s="145"/>
      <c r="T22" s="145"/>
      <c r="U22" s="145"/>
      <c r="V22" s="145"/>
      <c r="W22" s="145"/>
      <c r="X22" s="145"/>
      <c r="Y22" s="375"/>
      <c r="Z22" s="375"/>
      <c r="AA22" s="375" t="s">
        <v>71</v>
      </c>
      <c r="AB22" s="384">
        <v>15</v>
      </c>
      <c r="AC22" s="384">
        <v>10</v>
      </c>
      <c r="AD22" s="384">
        <v>6</v>
      </c>
      <c r="AE22" s="384">
        <v>3</v>
      </c>
      <c r="AF22" s="384">
        <v>1</v>
      </c>
      <c r="AG22" s="384">
        <v>0</v>
      </c>
      <c r="AH22" s="384">
        <v>0</v>
      </c>
      <c r="AI22" s="371"/>
      <c r="AJ22" s="371"/>
      <c r="AK22" s="371"/>
      <c r="AL22" s="145"/>
      <c r="AM22" s="145"/>
      <c r="AN22" s="145"/>
      <c r="AO22" s="145"/>
      <c r="AP22" s="145"/>
      <c r="AQ22" s="145"/>
      <c r="AR22" s="145"/>
      <c r="AS22" s="145"/>
    </row>
    <row r="23" spans="1:45" s="34" customFormat="1" ht="9.6" customHeight="1" x14ac:dyDescent="0.25">
      <c r="A23" s="221"/>
      <c r="B23" s="220"/>
      <c r="C23" s="220"/>
      <c r="D23" s="220"/>
      <c r="E23" s="220"/>
      <c r="F23" s="141"/>
      <c r="G23" s="141"/>
      <c r="H23" s="145"/>
      <c r="I23" s="340"/>
      <c r="J23" s="220"/>
      <c r="K23" s="141"/>
      <c r="L23" s="141"/>
      <c r="M23" s="141"/>
      <c r="N23" s="143"/>
      <c r="O23" s="143"/>
      <c r="P23" s="143"/>
      <c r="Q23" s="143"/>
      <c r="R23" s="144"/>
      <c r="S23" s="145"/>
      <c r="T23" s="145"/>
      <c r="U23" s="145"/>
      <c r="V23" s="145"/>
      <c r="W23" s="145"/>
      <c r="X23" s="145"/>
      <c r="Y23" s="375"/>
      <c r="Z23" s="375"/>
      <c r="AA23" s="375" t="s">
        <v>72</v>
      </c>
      <c r="AB23" s="384">
        <v>10</v>
      </c>
      <c r="AC23" s="384">
        <v>6</v>
      </c>
      <c r="AD23" s="384">
        <v>3</v>
      </c>
      <c r="AE23" s="384">
        <v>1</v>
      </c>
      <c r="AF23" s="384">
        <v>0</v>
      </c>
      <c r="AG23" s="384">
        <v>0</v>
      </c>
      <c r="AH23" s="384">
        <v>0</v>
      </c>
      <c r="AI23" s="371"/>
      <c r="AJ23" s="371"/>
      <c r="AK23" s="371"/>
      <c r="AL23" s="145"/>
      <c r="AM23" s="145"/>
      <c r="AN23" s="145"/>
      <c r="AO23" s="145"/>
      <c r="AP23" s="145"/>
      <c r="AQ23" s="145"/>
      <c r="AR23" s="145"/>
      <c r="AS23" s="145"/>
    </row>
    <row r="24" spans="1:45" s="34" customFormat="1" ht="9.6" customHeight="1" x14ac:dyDescent="0.25">
      <c r="A24" s="221"/>
      <c r="B24" s="141"/>
      <c r="C24" s="141"/>
      <c r="D24" s="141"/>
      <c r="E24" s="220"/>
      <c r="F24" s="141"/>
      <c r="G24" s="141"/>
      <c r="H24" s="141"/>
      <c r="I24" s="141"/>
      <c r="J24" s="220"/>
      <c r="K24" s="141"/>
      <c r="L24" s="341"/>
      <c r="M24" s="141"/>
      <c r="N24" s="143"/>
      <c r="O24" s="143"/>
      <c r="P24" s="143"/>
      <c r="Q24" s="143"/>
      <c r="R24" s="144"/>
      <c r="S24" s="145"/>
      <c r="T24" s="145"/>
      <c r="U24" s="145"/>
      <c r="V24" s="145"/>
      <c r="W24" s="145"/>
      <c r="X24" s="145"/>
      <c r="Y24" s="375"/>
      <c r="Z24" s="375"/>
      <c r="AA24" s="375" t="s">
        <v>73</v>
      </c>
      <c r="AB24" s="384">
        <v>6</v>
      </c>
      <c r="AC24" s="384">
        <v>3</v>
      </c>
      <c r="AD24" s="384">
        <v>1</v>
      </c>
      <c r="AE24" s="384">
        <v>0</v>
      </c>
      <c r="AF24" s="384">
        <v>0</v>
      </c>
      <c r="AG24" s="384">
        <v>0</v>
      </c>
      <c r="AH24" s="384">
        <v>0</v>
      </c>
      <c r="AI24" s="371"/>
      <c r="AJ24" s="371"/>
      <c r="AK24" s="371"/>
      <c r="AL24" s="145"/>
      <c r="AM24" s="145"/>
      <c r="AN24" s="145"/>
      <c r="AO24" s="145"/>
      <c r="AP24" s="145"/>
      <c r="AQ24" s="145"/>
      <c r="AR24" s="145"/>
      <c r="AS24" s="145"/>
    </row>
    <row r="25" spans="1:45" s="34" customFormat="1" ht="9.6" customHeight="1" x14ac:dyDescent="0.25">
      <c r="A25" s="221"/>
      <c r="B25" s="220"/>
      <c r="C25" s="220"/>
      <c r="D25" s="220"/>
      <c r="E25" s="220"/>
      <c r="F25" s="141"/>
      <c r="G25" s="141"/>
      <c r="H25" s="145"/>
      <c r="I25" s="141"/>
      <c r="J25" s="220"/>
      <c r="K25" s="340"/>
      <c r="L25" s="220"/>
      <c r="M25" s="141"/>
      <c r="N25" s="143"/>
      <c r="O25" s="143"/>
      <c r="P25" s="143"/>
      <c r="Q25" s="143"/>
      <c r="R25" s="144"/>
      <c r="S25" s="145"/>
      <c r="T25" s="145"/>
      <c r="U25" s="145"/>
      <c r="V25" s="145"/>
      <c r="W25" s="145"/>
      <c r="X25" s="145"/>
      <c r="Y25" s="375"/>
      <c r="Z25" s="375"/>
      <c r="AA25" s="375" t="s">
        <v>78</v>
      </c>
      <c r="AB25" s="384">
        <v>3</v>
      </c>
      <c r="AC25" s="384">
        <v>2</v>
      </c>
      <c r="AD25" s="384">
        <v>1</v>
      </c>
      <c r="AE25" s="384">
        <v>0</v>
      </c>
      <c r="AF25" s="384">
        <v>0</v>
      </c>
      <c r="AG25" s="384">
        <v>0</v>
      </c>
      <c r="AH25" s="384">
        <v>0</v>
      </c>
      <c r="AI25" s="371"/>
      <c r="AJ25" s="371"/>
      <c r="AK25" s="371"/>
      <c r="AL25" s="145"/>
      <c r="AM25" s="145"/>
      <c r="AN25" s="145"/>
      <c r="AO25" s="145"/>
      <c r="AP25" s="145"/>
      <c r="AQ25" s="145"/>
      <c r="AR25" s="145"/>
      <c r="AS25" s="145"/>
    </row>
    <row r="26" spans="1:45" s="34" customFormat="1" ht="9.6" customHeight="1" x14ac:dyDescent="0.25">
      <c r="A26" s="221"/>
      <c r="B26" s="141"/>
      <c r="C26" s="141"/>
      <c r="D26" s="141"/>
      <c r="E26" s="220"/>
      <c r="F26" s="141"/>
      <c r="G26" s="141"/>
      <c r="H26" s="141"/>
      <c r="I26" s="141"/>
      <c r="J26" s="220"/>
      <c r="K26" s="141"/>
      <c r="L26" s="141"/>
      <c r="M26" s="141"/>
      <c r="N26" s="143"/>
      <c r="O26" s="143"/>
      <c r="P26" s="143"/>
      <c r="Q26" s="143"/>
      <c r="R26" s="144"/>
      <c r="S26" s="178"/>
      <c r="T26" s="145"/>
      <c r="U26" s="145"/>
      <c r="V26" s="145"/>
      <c r="W26" s="145"/>
      <c r="X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1"/>
      <c r="AJ26" s="371"/>
      <c r="AK26" s="371"/>
      <c r="AL26" s="145"/>
      <c r="AM26" s="145"/>
      <c r="AN26" s="145"/>
      <c r="AO26" s="145"/>
      <c r="AP26" s="145"/>
      <c r="AQ26" s="145"/>
      <c r="AR26" s="145"/>
      <c r="AS26" s="145"/>
    </row>
    <row r="27" spans="1:45" s="34" customFormat="1" ht="9.6" customHeight="1" x14ac:dyDescent="0.25">
      <c r="A27" s="221"/>
      <c r="B27" s="220"/>
      <c r="C27" s="220"/>
      <c r="D27" s="220"/>
      <c r="E27" s="220"/>
      <c r="F27" s="141"/>
      <c r="G27" s="141"/>
      <c r="H27" s="145"/>
      <c r="I27" s="340"/>
      <c r="J27" s="220"/>
      <c r="K27" s="141"/>
      <c r="L27" s="141"/>
      <c r="M27" s="141"/>
      <c r="N27" s="143"/>
      <c r="O27" s="143"/>
      <c r="P27" s="143"/>
      <c r="Q27" s="143"/>
      <c r="R27" s="144"/>
      <c r="S27" s="145"/>
      <c r="T27" s="145"/>
      <c r="U27" s="145"/>
      <c r="V27" s="145"/>
      <c r="W27" s="145"/>
      <c r="X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1"/>
      <c r="AJ27" s="371"/>
      <c r="AK27" s="371"/>
      <c r="AL27" s="145"/>
      <c r="AM27" s="145"/>
      <c r="AN27" s="145"/>
      <c r="AO27" s="145"/>
      <c r="AP27" s="145"/>
      <c r="AQ27" s="145"/>
      <c r="AR27" s="145"/>
      <c r="AS27" s="145"/>
    </row>
    <row r="28" spans="1:45" s="34" customFormat="1" ht="9.6" customHeight="1" x14ac:dyDescent="0.25">
      <c r="A28" s="221"/>
      <c r="B28" s="141"/>
      <c r="C28" s="141"/>
      <c r="D28" s="141"/>
      <c r="E28" s="220"/>
      <c r="F28" s="141"/>
      <c r="G28" s="141"/>
      <c r="H28" s="141"/>
      <c r="I28" s="141"/>
      <c r="J28" s="220"/>
      <c r="K28" s="141"/>
      <c r="L28" s="141"/>
      <c r="M28" s="141"/>
      <c r="N28" s="143"/>
      <c r="O28" s="143"/>
      <c r="P28" s="143"/>
      <c r="Q28" s="143"/>
      <c r="R28" s="144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393"/>
      <c r="AJ28" s="393"/>
      <c r="AK28" s="393"/>
      <c r="AL28" s="145"/>
      <c r="AM28" s="145"/>
      <c r="AN28" s="145"/>
      <c r="AO28" s="145"/>
      <c r="AP28" s="145"/>
      <c r="AQ28" s="145"/>
      <c r="AR28" s="145"/>
      <c r="AS28" s="145"/>
    </row>
    <row r="29" spans="1:45" s="34" customFormat="1" ht="9.6" customHeight="1" x14ac:dyDescent="0.25">
      <c r="A29" s="221"/>
      <c r="B29" s="220"/>
      <c r="C29" s="220"/>
      <c r="D29" s="220"/>
      <c r="E29" s="220"/>
      <c r="F29" s="141"/>
      <c r="G29" s="141"/>
      <c r="H29" s="145"/>
      <c r="I29" s="141"/>
      <c r="J29" s="220"/>
      <c r="K29" s="141"/>
      <c r="L29" s="141"/>
      <c r="M29" s="340"/>
      <c r="N29" s="220"/>
      <c r="O29" s="141"/>
      <c r="P29" s="143"/>
      <c r="Q29" s="143"/>
      <c r="R29" s="144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393"/>
      <c r="AJ29" s="393"/>
      <c r="AK29" s="393"/>
      <c r="AL29" s="145"/>
      <c r="AM29" s="145"/>
      <c r="AN29" s="145"/>
      <c r="AO29" s="145"/>
      <c r="AP29" s="145"/>
      <c r="AQ29" s="145"/>
      <c r="AR29" s="145"/>
      <c r="AS29" s="145"/>
    </row>
    <row r="30" spans="1:45" s="34" customFormat="1" ht="9.6" customHeight="1" x14ac:dyDescent="0.25">
      <c r="A30" s="221"/>
      <c r="B30" s="141"/>
      <c r="C30" s="141"/>
      <c r="D30" s="141"/>
      <c r="E30" s="220"/>
      <c r="F30" s="141"/>
      <c r="G30" s="141"/>
      <c r="H30" s="141"/>
      <c r="I30" s="141"/>
      <c r="J30" s="220"/>
      <c r="K30" s="141"/>
      <c r="L30" s="141"/>
      <c r="M30" s="141"/>
      <c r="N30" s="143"/>
      <c r="O30" s="141"/>
      <c r="P30" s="143"/>
      <c r="Q30" s="143"/>
      <c r="R30" s="144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393"/>
      <c r="AJ30" s="393"/>
      <c r="AK30" s="393"/>
      <c r="AL30" s="145"/>
      <c r="AM30" s="145"/>
      <c r="AN30" s="145"/>
      <c r="AO30" s="145"/>
      <c r="AP30" s="145"/>
      <c r="AQ30" s="145"/>
      <c r="AR30" s="145"/>
      <c r="AS30" s="145"/>
    </row>
    <row r="31" spans="1:45" s="34" customFormat="1" ht="9.6" customHeight="1" x14ac:dyDescent="0.25">
      <c r="A31" s="221"/>
      <c r="B31" s="220"/>
      <c r="C31" s="220"/>
      <c r="D31" s="220"/>
      <c r="E31" s="220"/>
      <c r="F31" s="141"/>
      <c r="G31" s="141"/>
      <c r="H31" s="145"/>
      <c r="I31" s="340"/>
      <c r="J31" s="220"/>
      <c r="K31" s="141"/>
      <c r="L31" s="141"/>
      <c r="M31" s="141"/>
      <c r="N31" s="143"/>
      <c r="O31" s="143"/>
      <c r="P31" s="143"/>
      <c r="Q31" s="143"/>
      <c r="R31" s="144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393"/>
      <c r="AJ31" s="393"/>
      <c r="AK31" s="393"/>
      <c r="AL31" s="145"/>
      <c r="AM31" s="145"/>
      <c r="AN31" s="145"/>
      <c r="AO31" s="145"/>
      <c r="AP31" s="145"/>
      <c r="AQ31" s="145"/>
      <c r="AR31" s="145"/>
      <c r="AS31" s="145"/>
    </row>
    <row r="32" spans="1:45" s="34" customFormat="1" ht="9.6" customHeight="1" x14ac:dyDescent="0.25">
      <c r="A32" s="221"/>
      <c r="B32" s="141"/>
      <c r="C32" s="141"/>
      <c r="D32" s="141"/>
      <c r="E32" s="220"/>
      <c r="F32" s="141"/>
      <c r="G32" s="141"/>
      <c r="H32" s="141"/>
      <c r="I32" s="141"/>
      <c r="J32" s="220"/>
      <c r="K32" s="141"/>
      <c r="L32" s="341"/>
      <c r="M32" s="141"/>
      <c r="N32" s="143"/>
      <c r="O32" s="143"/>
      <c r="P32" s="143"/>
      <c r="Q32" s="143"/>
      <c r="R32" s="144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393"/>
      <c r="AJ32" s="393"/>
      <c r="AK32" s="393"/>
      <c r="AL32" s="145"/>
      <c r="AM32" s="145"/>
      <c r="AN32" s="145"/>
      <c r="AO32" s="145"/>
      <c r="AP32" s="145"/>
      <c r="AQ32" s="145"/>
      <c r="AR32" s="145"/>
      <c r="AS32" s="145"/>
    </row>
    <row r="33" spans="1:45" s="34" customFormat="1" ht="9.6" customHeight="1" x14ac:dyDescent="0.25">
      <c r="A33" s="221"/>
      <c r="B33" s="220"/>
      <c r="C33" s="220"/>
      <c r="D33" s="220"/>
      <c r="E33" s="220"/>
      <c r="F33" s="141"/>
      <c r="G33" s="141"/>
      <c r="H33" s="145"/>
      <c r="I33" s="141"/>
      <c r="J33" s="220"/>
      <c r="K33" s="340"/>
      <c r="L33" s="220"/>
      <c r="M33" s="141"/>
      <c r="N33" s="143"/>
      <c r="O33" s="143"/>
      <c r="P33" s="143"/>
      <c r="Q33" s="143"/>
      <c r="R33" s="144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393"/>
      <c r="AJ33" s="393"/>
      <c r="AK33" s="393"/>
      <c r="AL33" s="145"/>
      <c r="AM33" s="145"/>
      <c r="AN33" s="145"/>
      <c r="AO33" s="145"/>
      <c r="AP33" s="145"/>
      <c r="AQ33" s="145"/>
      <c r="AR33" s="145"/>
      <c r="AS33" s="145"/>
    </row>
    <row r="34" spans="1:45" s="34" customFormat="1" ht="9.6" customHeight="1" x14ac:dyDescent="0.25">
      <c r="A34" s="221"/>
      <c r="B34" s="141"/>
      <c r="C34" s="141"/>
      <c r="D34" s="141"/>
      <c r="E34" s="220"/>
      <c r="F34" s="141"/>
      <c r="G34" s="141"/>
      <c r="H34" s="141"/>
      <c r="I34" s="141"/>
      <c r="J34" s="220"/>
      <c r="K34" s="141"/>
      <c r="L34" s="141"/>
      <c r="M34" s="141"/>
      <c r="N34" s="143"/>
      <c r="O34" s="143"/>
      <c r="P34" s="143"/>
      <c r="Q34" s="143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393"/>
      <c r="AJ34" s="393"/>
      <c r="AK34" s="393"/>
      <c r="AL34" s="145"/>
      <c r="AM34" s="145"/>
      <c r="AN34" s="145"/>
      <c r="AO34" s="145"/>
      <c r="AP34" s="145"/>
      <c r="AQ34" s="145"/>
      <c r="AR34" s="145"/>
      <c r="AS34" s="145"/>
    </row>
    <row r="35" spans="1:45" s="34" customFormat="1" ht="9.6" customHeight="1" x14ac:dyDescent="0.25">
      <c r="A35" s="221"/>
      <c r="B35" s="220"/>
      <c r="C35" s="220"/>
      <c r="D35" s="220"/>
      <c r="E35" s="220"/>
      <c r="F35" s="141"/>
      <c r="G35" s="141"/>
      <c r="H35" s="145"/>
      <c r="I35" s="340"/>
      <c r="J35" s="220"/>
      <c r="K35" s="141"/>
      <c r="L35" s="141"/>
      <c r="M35" s="141"/>
      <c r="N35" s="143"/>
      <c r="O35" s="143"/>
      <c r="P35" s="143"/>
      <c r="Q35" s="143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393"/>
      <c r="AJ35" s="393"/>
      <c r="AK35" s="393"/>
      <c r="AL35" s="145"/>
      <c r="AM35" s="145"/>
      <c r="AN35" s="145"/>
      <c r="AO35" s="145"/>
      <c r="AP35" s="145"/>
      <c r="AQ35" s="145"/>
      <c r="AR35" s="145"/>
      <c r="AS35" s="145"/>
    </row>
    <row r="36" spans="1:45" s="34" customFormat="1" ht="9.6" customHeight="1" x14ac:dyDescent="0.25">
      <c r="A36" s="350"/>
      <c r="B36" s="141"/>
      <c r="C36" s="141"/>
      <c r="D36" s="141"/>
      <c r="E36" s="220"/>
      <c r="F36" s="141"/>
      <c r="G36" s="141"/>
      <c r="H36" s="141"/>
      <c r="I36" s="141"/>
      <c r="J36" s="220"/>
      <c r="K36" s="141"/>
      <c r="L36" s="141"/>
      <c r="M36" s="141"/>
      <c r="N36" s="141"/>
      <c r="O36" s="141"/>
      <c r="P36" s="141"/>
      <c r="Q36" s="143"/>
      <c r="R36" s="144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393"/>
      <c r="AJ36" s="393"/>
      <c r="AK36" s="393"/>
      <c r="AL36" s="145"/>
      <c r="AM36" s="145"/>
      <c r="AN36" s="145"/>
      <c r="AO36" s="145"/>
      <c r="AP36" s="145"/>
      <c r="AQ36" s="145"/>
      <c r="AR36" s="145"/>
      <c r="AS36" s="145"/>
    </row>
    <row r="37" spans="1:45" s="34" customFormat="1" ht="9.6" customHeight="1" x14ac:dyDescent="0.25">
      <c r="A37" s="221"/>
      <c r="B37" s="220"/>
      <c r="C37" s="220"/>
      <c r="D37" s="220"/>
      <c r="E37" s="220"/>
      <c r="F37" s="336"/>
      <c r="G37" s="336"/>
      <c r="H37" s="339"/>
      <c r="I37" s="321"/>
      <c r="J37" s="329"/>
      <c r="K37" s="321"/>
      <c r="L37" s="321"/>
      <c r="M37" s="321"/>
      <c r="N37" s="331"/>
      <c r="O37" s="331"/>
      <c r="P37" s="331"/>
      <c r="Q37" s="143"/>
      <c r="R37" s="144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393"/>
      <c r="AJ37" s="393"/>
      <c r="AK37" s="393"/>
      <c r="AL37" s="145"/>
      <c r="AM37" s="145"/>
      <c r="AN37" s="145"/>
      <c r="AO37" s="145"/>
      <c r="AP37" s="145"/>
      <c r="AQ37" s="145"/>
      <c r="AR37" s="145"/>
      <c r="AS37" s="145"/>
    </row>
    <row r="38" spans="1:45" s="34" customFormat="1" ht="9.6" customHeight="1" x14ac:dyDescent="0.25">
      <c r="A38" s="350"/>
      <c r="B38" s="141"/>
      <c r="C38" s="141"/>
      <c r="D38" s="141"/>
      <c r="E38" s="220"/>
      <c r="F38" s="141"/>
      <c r="G38" s="141"/>
      <c r="H38" s="141"/>
      <c r="I38" s="141"/>
      <c r="J38" s="220"/>
      <c r="K38" s="141"/>
      <c r="L38" s="141"/>
      <c r="M38" s="141"/>
      <c r="N38" s="143"/>
      <c r="O38" s="143"/>
      <c r="P38" s="143"/>
      <c r="Q38" s="143"/>
      <c r="R38" s="144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393"/>
      <c r="AJ38" s="393"/>
      <c r="AK38" s="393"/>
      <c r="AL38" s="145"/>
      <c r="AM38" s="145"/>
      <c r="AN38" s="145"/>
      <c r="AO38" s="145"/>
      <c r="AP38" s="145"/>
      <c r="AQ38" s="145"/>
      <c r="AR38" s="145"/>
      <c r="AS38" s="145"/>
    </row>
    <row r="39" spans="1:45" s="34" customFormat="1" ht="9.6" customHeight="1" x14ac:dyDescent="0.25">
      <c r="A39" s="221"/>
      <c r="B39" s="220"/>
      <c r="C39" s="220"/>
      <c r="D39" s="220"/>
      <c r="E39" s="220"/>
      <c r="F39" s="141"/>
      <c r="G39" s="141"/>
      <c r="H39" s="145"/>
      <c r="I39" s="340"/>
      <c r="J39" s="220"/>
      <c r="K39" s="141"/>
      <c r="L39" s="141"/>
      <c r="M39" s="141"/>
      <c r="N39" s="143"/>
      <c r="O39" s="143"/>
      <c r="P39" s="143"/>
      <c r="Q39" s="143"/>
      <c r="R39" s="144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393"/>
      <c r="AJ39" s="393"/>
      <c r="AK39" s="393"/>
      <c r="AL39" s="145"/>
      <c r="AM39" s="145"/>
      <c r="AN39" s="145"/>
      <c r="AO39" s="145"/>
      <c r="AP39" s="145"/>
      <c r="AQ39" s="145"/>
      <c r="AR39" s="145"/>
      <c r="AS39" s="145"/>
    </row>
    <row r="40" spans="1:45" s="34" customFormat="1" ht="9.6" customHeight="1" x14ac:dyDescent="0.25">
      <c r="A40" s="221"/>
      <c r="B40" s="141"/>
      <c r="C40" s="141"/>
      <c r="D40" s="141"/>
      <c r="E40" s="220"/>
      <c r="F40" s="141"/>
      <c r="G40" s="141"/>
      <c r="H40" s="141"/>
      <c r="I40" s="141"/>
      <c r="J40" s="220"/>
      <c r="K40" s="141"/>
      <c r="L40" s="341"/>
      <c r="M40" s="141"/>
      <c r="N40" s="143"/>
      <c r="O40" s="143"/>
      <c r="P40" s="143"/>
      <c r="Q40" s="143"/>
      <c r="R40" s="144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393"/>
      <c r="AJ40" s="393"/>
      <c r="AK40" s="393"/>
      <c r="AL40" s="145"/>
      <c r="AM40" s="145"/>
      <c r="AN40" s="145"/>
      <c r="AO40" s="145"/>
      <c r="AP40" s="145"/>
      <c r="AQ40" s="145"/>
      <c r="AR40" s="145"/>
      <c r="AS40" s="145"/>
    </row>
    <row r="41" spans="1:45" s="34" customFormat="1" ht="9.6" customHeight="1" x14ac:dyDescent="0.25">
      <c r="A41" s="221"/>
      <c r="B41" s="220"/>
      <c r="C41" s="220"/>
      <c r="D41" s="220"/>
      <c r="E41" s="220"/>
      <c r="F41" s="141"/>
      <c r="G41" s="141"/>
      <c r="H41" s="145"/>
      <c r="I41" s="141"/>
      <c r="J41" s="220"/>
      <c r="K41" s="340"/>
      <c r="L41" s="220"/>
      <c r="M41" s="141"/>
      <c r="N41" s="143"/>
      <c r="O41" s="143"/>
      <c r="P41" s="143"/>
      <c r="Q41" s="143"/>
      <c r="R41" s="144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393"/>
      <c r="AJ41" s="393"/>
      <c r="AK41" s="393"/>
      <c r="AL41" s="145"/>
      <c r="AM41" s="145"/>
      <c r="AN41" s="145"/>
      <c r="AO41" s="145"/>
      <c r="AP41" s="145"/>
      <c r="AQ41" s="145"/>
      <c r="AR41" s="145"/>
      <c r="AS41" s="145"/>
    </row>
    <row r="42" spans="1:45" s="34" customFormat="1" ht="9.6" customHeight="1" x14ac:dyDescent="0.25">
      <c r="A42" s="221"/>
      <c r="B42" s="141"/>
      <c r="C42" s="141"/>
      <c r="D42" s="141"/>
      <c r="E42" s="220"/>
      <c r="F42" s="141"/>
      <c r="G42" s="141"/>
      <c r="H42" s="141"/>
      <c r="I42" s="141"/>
      <c r="J42" s="220"/>
      <c r="K42" s="141"/>
      <c r="L42" s="141"/>
      <c r="M42" s="141"/>
      <c r="N42" s="143"/>
      <c r="O42" s="143"/>
      <c r="P42" s="143"/>
      <c r="Q42" s="143"/>
      <c r="R42" s="144"/>
      <c r="S42" s="178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393"/>
      <c r="AJ42" s="393"/>
      <c r="AK42" s="393"/>
      <c r="AL42" s="145"/>
      <c r="AM42" s="145"/>
      <c r="AN42" s="145"/>
      <c r="AO42" s="145"/>
      <c r="AP42" s="145"/>
      <c r="AQ42" s="145"/>
      <c r="AR42" s="145"/>
      <c r="AS42" s="145"/>
    </row>
    <row r="43" spans="1:45" s="34" customFormat="1" ht="9.6" customHeight="1" x14ac:dyDescent="0.25">
      <c r="A43" s="221"/>
      <c r="B43" s="220"/>
      <c r="C43" s="220"/>
      <c r="D43" s="220"/>
      <c r="E43" s="220"/>
      <c r="F43" s="141"/>
      <c r="G43" s="141"/>
      <c r="H43" s="145"/>
      <c r="I43" s="340"/>
      <c r="J43" s="220"/>
      <c r="K43" s="141"/>
      <c r="L43" s="141"/>
      <c r="M43" s="141"/>
      <c r="N43" s="143"/>
      <c r="O43" s="143"/>
      <c r="P43" s="143"/>
      <c r="Q43" s="143"/>
      <c r="R43" s="144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393"/>
      <c r="AJ43" s="393"/>
      <c r="AK43" s="393"/>
      <c r="AL43" s="145"/>
      <c r="AM43" s="145"/>
      <c r="AN43" s="145"/>
      <c r="AO43" s="145"/>
      <c r="AP43" s="145"/>
      <c r="AQ43" s="145"/>
      <c r="AR43" s="145"/>
      <c r="AS43" s="145"/>
    </row>
    <row r="44" spans="1:45" s="34" customFormat="1" ht="9.6" customHeight="1" x14ac:dyDescent="0.25">
      <c r="A44" s="221"/>
      <c r="B44" s="141"/>
      <c r="C44" s="141"/>
      <c r="D44" s="141"/>
      <c r="E44" s="220"/>
      <c r="F44" s="141"/>
      <c r="G44" s="141"/>
      <c r="H44" s="141"/>
      <c r="I44" s="141"/>
      <c r="J44" s="220"/>
      <c r="K44" s="141"/>
      <c r="L44" s="141"/>
      <c r="M44" s="141"/>
      <c r="N44" s="143"/>
      <c r="O44" s="143"/>
      <c r="P44" s="143"/>
      <c r="Q44" s="143"/>
      <c r="R44" s="144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393"/>
      <c r="AJ44" s="393"/>
      <c r="AK44" s="393"/>
      <c r="AL44" s="145"/>
      <c r="AM44" s="145"/>
      <c r="AN44" s="145"/>
      <c r="AO44" s="145"/>
      <c r="AP44" s="145"/>
      <c r="AQ44" s="145"/>
      <c r="AR44" s="145"/>
      <c r="AS44" s="145"/>
    </row>
    <row r="45" spans="1:45" s="34" customFormat="1" ht="9.6" customHeight="1" x14ac:dyDescent="0.25">
      <c r="A45" s="221"/>
      <c r="B45" s="220"/>
      <c r="C45" s="220"/>
      <c r="D45" s="220"/>
      <c r="E45" s="220"/>
      <c r="F45" s="141"/>
      <c r="G45" s="141"/>
      <c r="H45" s="145"/>
      <c r="I45" s="141"/>
      <c r="J45" s="220"/>
      <c r="K45" s="141"/>
      <c r="L45" s="141"/>
      <c r="M45" s="340"/>
      <c r="N45" s="220"/>
      <c r="O45" s="141"/>
      <c r="P45" s="143"/>
      <c r="Q45" s="143"/>
      <c r="R45" s="144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393"/>
      <c r="AJ45" s="393"/>
      <c r="AK45" s="393"/>
      <c r="AL45" s="145"/>
      <c r="AM45" s="145"/>
      <c r="AN45" s="145"/>
      <c r="AO45" s="145"/>
      <c r="AP45" s="145"/>
      <c r="AQ45" s="145"/>
      <c r="AR45" s="145"/>
      <c r="AS45" s="145"/>
    </row>
    <row r="46" spans="1:45" s="34" customFormat="1" ht="9.6" customHeight="1" x14ac:dyDescent="0.25">
      <c r="A46" s="221"/>
      <c r="B46" s="141"/>
      <c r="C46" s="141"/>
      <c r="D46" s="141"/>
      <c r="E46" s="220"/>
      <c r="F46" s="141"/>
      <c r="G46" s="141"/>
      <c r="H46" s="141"/>
      <c r="I46" s="141"/>
      <c r="J46" s="220"/>
      <c r="K46" s="141"/>
      <c r="L46" s="141"/>
      <c r="M46" s="141"/>
      <c r="N46" s="143"/>
      <c r="O46" s="141"/>
      <c r="P46" s="143"/>
      <c r="Q46" s="143"/>
      <c r="R46" s="144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393"/>
      <c r="AJ46" s="393"/>
      <c r="AK46" s="393"/>
      <c r="AL46" s="145"/>
      <c r="AM46" s="145"/>
      <c r="AN46" s="145"/>
      <c r="AO46" s="145"/>
      <c r="AP46" s="145"/>
      <c r="AQ46" s="145"/>
      <c r="AR46" s="145"/>
      <c r="AS46" s="145"/>
    </row>
    <row r="47" spans="1:45" s="34" customFormat="1" ht="9.6" customHeight="1" x14ac:dyDescent="0.25">
      <c r="A47" s="221"/>
      <c r="B47" s="220"/>
      <c r="C47" s="220"/>
      <c r="D47" s="220"/>
      <c r="E47" s="220"/>
      <c r="F47" s="141"/>
      <c r="G47" s="141"/>
      <c r="H47" s="145"/>
      <c r="I47" s="340"/>
      <c r="J47" s="220"/>
      <c r="K47" s="141"/>
      <c r="L47" s="141"/>
      <c r="M47" s="141"/>
      <c r="N47" s="143"/>
      <c r="O47" s="143"/>
      <c r="P47" s="143"/>
      <c r="Q47" s="143"/>
      <c r="R47" s="144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393"/>
      <c r="AJ47" s="393"/>
      <c r="AK47" s="393"/>
      <c r="AL47" s="145"/>
      <c r="AM47" s="145"/>
      <c r="AN47" s="145"/>
      <c r="AO47" s="145"/>
      <c r="AP47" s="145"/>
      <c r="AQ47" s="145"/>
      <c r="AR47" s="145"/>
      <c r="AS47" s="145"/>
    </row>
    <row r="48" spans="1:45" s="34" customFormat="1" ht="9.6" customHeight="1" x14ac:dyDescent="0.25">
      <c r="A48" s="221"/>
      <c r="B48" s="141"/>
      <c r="C48" s="141"/>
      <c r="D48" s="141"/>
      <c r="E48" s="220"/>
      <c r="F48" s="141"/>
      <c r="G48" s="141"/>
      <c r="H48" s="141"/>
      <c r="I48" s="141"/>
      <c r="J48" s="220"/>
      <c r="K48" s="141"/>
      <c r="L48" s="341"/>
      <c r="M48" s="141"/>
      <c r="N48" s="143"/>
      <c r="O48" s="143"/>
      <c r="P48" s="143"/>
      <c r="Q48" s="143"/>
      <c r="R48" s="144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393"/>
      <c r="AJ48" s="393"/>
      <c r="AK48" s="393"/>
      <c r="AL48" s="145"/>
      <c r="AM48" s="145"/>
      <c r="AN48" s="145"/>
      <c r="AO48" s="145"/>
      <c r="AP48" s="145"/>
      <c r="AQ48" s="145"/>
      <c r="AR48" s="145"/>
      <c r="AS48" s="145"/>
    </row>
    <row r="49" spans="1:45" s="34" customFormat="1" ht="9.6" customHeight="1" x14ac:dyDescent="0.25">
      <c r="A49" s="221"/>
      <c r="B49" s="220"/>
      <c r="C49" s="220"/>
      <c r="D49" s="220"/>
      <c r="E49" s="220"/>
      <c r="F49" s="141"/>
      <c r="G49" s="141"/>
      <c r="H49" s="145"/>
      <c r="I49" s="141"/>
      <c r="J49" s="220"/>
      <c r="K49" s="340"/>
      <c r="L49" s="220"/>
      <c r="M49" s="141"/>
      <c r="N49" s="143"/>
      <c r="O49" s="143"/>
      <c r="P49" s="143"/>
      <c r="Q49" s="143"/>
      <c r="R49" s="144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393"/>
      <c r="AJ49" s="393"/>
      <c r="AK49" s="393"/>
      <c r="AL49" s="145"/>
      <c r="AM49" s="145"/>
      <c r="AN49" s="145"/>
      <c r="AO49" s="145"/>
      <c r="AP49" s="145"/>
      <c r="AQ49" s="145"/>
      <c r="AR49" s="145"/>
      <c r="AS49" s="145"/>
    </row>
    <row r="50" spans="1:45" s="34" customFormat="1" ht="9.6" customHeight="1" x14ac:dyDescent="0.25">
      <c r="A50" s="221"/>
      <c r="B50" s="141"/>
      <c r="C50" s="141"/>
      <c r="D50" s="141"/>
      <c r="E50" s="220"/>
      <c r="F50" s="141"/>
      <c r="G50" s="141"/>
      <c r="H50" s="141"/>
      <c r="I50" s="141"/>
      <c r="J50" s="220"/>
      <c r="K50" s="141"/>
      <c r="L50" s="141"/>
      <c r="M50" s="141"/>
      <c r="N50" s="143"/>
      <c r="O50" s="143"/>
      <c r="P50" s="143"/>
      <c r="Q50" s="143"/>
      <c r="R50" s="144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393"/>
      <c r="AJ50" s="393"/>
      <c r="AK50" s="393"/>
      <c r="AL50" s="145"/>
      <c r="AM50" s="145"/>
      <c r="AN50" s="145"/>
      <c r="AO50" s="145"/>
      <c r="AP50" s="145"/>
      <c r="AQ50" s="145"/>
      <c r="AR50" s="145"/>
      <c r="AS50" s="145"/>
    </row>
    <row r="51" spans="1:45" s="34" customFormat="1" ht="9.6" customHeight="1" x14ac:dyDescent="0.25">
      <c r="A51" s="221"/>
      <c r="B51" s="220"/>
      <c r="C51" s="220"/>
      <c r="D51" s="220"/>
      <c r="E51" s="220"/>
      <c r="F51" s="141"/>
      <c r="G51" s="141"/>
      <c r="H51" s="145"/>
      <c r="I51" s="340"/>
      <c r="J51" s="220"/>
      <c r="K51" s="141"/>
      <c r="L51" s="141"/>
      <c r="M51" s="141"/>
      <c r="N51" s="143"/>
      <c r="O51" s="143"/>
      <c r="P51" s="143"/>
      <c r="Q51" s="143"/>
      <c r="R51" s="144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393"/>
      <c r="AJ51" s="393"/>
      <c r="AK51" s="393"/>
      <c r="AL51" s="145"/>
      <c r="AM51" s="145"/>
      <c r="AN51" s="145"/>
      <c r="AO51" s="145"/>
      <c r="AP51" s="145"/>
      <c r="AQ51" s="145"/>
      <c r="AR51" s="145"/>
      <c r="AS51" s="145"/>
    </row>
    <row r="52" spans="1:45" s="34" customFormat="1" ht="9.6" customHeight="1" x14ac:dyDescent="0.25">
      <c r="A52" s="350"/>
      <c r="B52" s="141"/>
      <c r="C52" s="141"/>
      <c r="D52" s="141"/>
      <c r="E52" s="220"/>
      <c r="F52" s="426"/>
      <c r="G52" s="426"/>
      <c r="H52" s="426"/>
      <c r="I52" s="426"/>
      <c r="J52" s="220"/>
      <c r="K52" s="141"/>
      <c r="L52" s="141"/>
      <c r="M52" s="141"/>
      <c r="N52" s="141"/>
      <c r="O52" s="141"/>
      <c r="P52" s="141"/>
      <c r="Q52" s="143"/>
      <c r="R52" s="144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393"/>
      <c r="AJ52" s="393"/>
      <c r="AK52" s="393"/>
      <c r="AL52" s="145"/>
      <c r="AM52" s="145"/>
      <c r="AN52" s="145"/>
      <c r="AO52" s="145"/>
      <c r="AP52" s="145"/>
      <c r="AQ52" s="145"/>
      <c r="AR52" s="145"/>
      <c r="AS52" s="145"/>
    </row>
    <row r="53" spans="1:45" s="2" customFormat="1" ht="6.75" customHeight="1" x14ac:dyDescent="0.25">
      <c r="A53" s="179"/>
      <c r="B53" s="179"/>
      <c r="C53" s="179"/>
      <c r="D53" s="179"/>
      <c r="E53" s="179"/>
      <c r="F53" s="427"/>
      <c r="G53" s="427"/>
      <c r="H53" s="427"/>
      <c r="I53" s="427"/>
      <c r="J53" s="181"/>
      <c r="K53" s="182"/>
      <c r="L53" s="183"/>
      <c r="M53" s="182"/>
      <c r="N53" s="183"/>
      <c r="O53" s="182"/>
      <c r="P53" s="183"/>
      <c r="Q53" s="182"/>
      <c r="R53" s="183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393"/>
      <c r="AJ53" s="393"/>
      <c r="AK53" s="393"/>
      <c r="AL53" s="184"/>
      <c r="AM53" s="184"/>
      <c r="AN53" s="184"/>
      <c r="AO53" s="184"/>
      <c r="AP53" s="184"/>
      <c r="AQ53" s="184"/>
      <c r="AR53" s="184"/>
      <c r="AS53" s="184"/>
    </row>
    <row r="54" spans="1:45" s="18" customFormat="1" ht="10.5" customHeight="1" x14ac:dyDescent="0.25">
      <c r="A54" s="185" t="s">
        <v>44</v>
      </c>
      <c r="B54" s="186"/>
      <c r="C54" s="186"/>
      <c r="D54" s="276"/>
      <c r="E54" s="187" t="s">
        <v>5</v>
      </c>
      <c r="F54" s="188" t="s">
        <v>46</v>
      </c>
      <c r="G54" s="187"/>
      <c r="H54" s="189"/>
      <c r="I54" s="190"/>
      <c r="J54" s="187" t="s">
        <v>5</v>
      </c>
      <c r="K54" s="188" t="s">
        <v>54</v>
      </c>
      <c r="L54" s="191"/>
      <c r="M54" s="188" t="s">
        <v>55</v>
      </c>
      <c r="N54" s="192"/>
      <c r="O54" s="193" t="s">
        <v>56</v>
      </c>
      <c r="P54" s="193"/>
      <c r="Q54" s="194"/>
      <c r="R54" s="195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394"/>
      <c r="AJ54" s="394"/>
      <c r="AK54" s="394"/>
      <c r="AL54" s="87"/>
      <c r="AM54" s="87"/>
      <c r="AN54" s="87"/>
      <c r="AO54" s="87"/>
      <c r="AP54" s="87"/>
      <c r="AQ54" s="87"/>
      <c r="AR54" s="87"/>
      <c r="AS54" s="87"/>
    </row>
    <row r="55" spans="1:45" s="18" customFormat="1" ht="9" customHeight="1" x14ac:dyDescent="0.25">
      <c r="A55" s="359" t="s">
        <v>45</v>
      </c>
      <c r="B55" s="360"/>
      <c r="C55" s="361"/>
      <c r="D55" s="362"/>
      <c r="E55" s="198">
        <v>1</v>
      </c>
      <c r="F55" s="87" t="str">
        <f>IF(E55&gt;$R$62,,UPPER(VLOOKUP(E55,'F14 csapat ELO'!$A$7:$Q$134,2)))</f>
        <v>PASARÉT TK 1</v>
      </c>
      <c r="G55" s="198"/>
      <c r="H55" s="87"/>
      <c r="I55" s="86"/>
      <c r="J55" s="351" t="s">
        <v>6</v>
      </c>
      <c r="K55" s="85"/>
      <c r="L55" s="352"/>
      <c r="M55" s="85"/>
      <c r="N55" s="353"/>
      <c r="O55" s="354" t="s">
        <v>47</v>
      </c>
      <c r="P55" s="355"/>
      <c r="Q55" s="355"/>
      <c r="R55" s="353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394"/>
      <c r="AJ55" s="394"/>
      <c r="AK55" s="394"/>
      <c r="AL55" s="87"/>
      <c r="AM55" s="87"/>
      <c r="AN55" s="87"/>
      <c r="AO55" s="87"/>
      <c r="AP55" s="87"/>
      <c r="AQ55" s="87"/>
      <c r="AR55" s="87"/>
      <c r="AS55" s="87"/>
    </row>
    <row r="56" spans="1:45" s="18" customFormat="1" ht="9" customHeight="1" x14ac:dyDescent="0.25">
      <c r="A56" s="363" t="s">
        <v>53</v>
      </c>
      <c r="B56" s="222"/>
      <c r="C56" s="364"/>
      <c r="D56" s="365"/>
      <c r="E56" s="198">
        <v>2</v>
      </c>
      <c r="F56" s="87" t="str">
        <f>IF(E56&gt;$R$62,,UPPER(VLOOKUP(E56,'F14 csapat ELO'!$A$7:$Q$134,2)))</f>
        <v>TENISZ MÚHELY 2</v>
      </c>
      <c r="G56" s="198"/>
      <c r="H56" s="87"/>
      <c r="I56" s="86"/>
      <c r="J56" s="351" t="s">
        <v>7</v>
      </c>
      <c r="K56" s="85"/>
      <c r="L56" s="352"/>
      <c r="M56" s="85"/>
      <c r="N56" s="353"/>
      <c r="O56" s="214"/>
      <c r="P56" s="356"/>
      <c r="Q56" s="222"/>
      <c r="R56" s="35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394"/>
      <c r="AJ56" s="394"/>
      <c r="AK56" s="394"/>
      <c r="AL56" s="87"/>
      <c r="AM56" s="87"/>
      <c r="AN56" s="87"/>
      <c r="AO56" s="87"/>
      <c r="AP56" s="87"/>
      <c r="AQ56" s="87"/>
      <c r="AR56" s="87"/>
      <c r="AS56" s="87"/>
    </row>
    <row r="57" spans="1:45" s="18" customFormat="1" ht="9" customHeight="1" x14ac:dyDescent="0.25">
      <c r="A57" s="236"/>
      <c r="B57" s="237"/>
      <c r="C57" s="274"/>
      <c r="D57" s="238"/>
      <c r="E57" s="198"/>
      <c r="F57" s="87"/>
      <c r="G57" s="198"/>
      <c r="H57" s="87"/>
      <c r="I57" s="86"/>
      <c r="J57" s="351" t="s">
        <v>8</v>
      </c>
      <c r="K57" s="85"/>
      <c r="L57" s="352"/>
      <c r="M57" s="85"/>
      <c r="N57" s="353"/>
      <c r="O57" s="354" t="s">
        <v>48</v>
      </c>
      <c r="P57" s="355"/>
      <c r="Q57" s="355"/>
      <c r="R57" s="353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394"/>
      <c r="AJ57" s="394"/>
      <c r="AK57" s="394"/>
      <c r="AL57" s="87"/>
      <c r="AM57" s="87"/>
      <c r="AN57" s="87"/>
      <c r="AO57" s="87"/>
      <c r="AP57" s="87"/>
      <c r="AQ57" s="87"/>
      <c r="AR57" s="87"/>
      <c r="AS57" s="87"/>
    </row>
    <row r="58" spans="1:45" s="18" customFormat="1" ht="9" customHeight="1" x14ac:dyDescent="0.25">
      <c r="A58" s="211"/>
      <c r="B58" s="269"/>
      <c r="C58" s="269"/>
      <c r="D58" s="212"/>
      <c r="E58" s="198"/>
      <c r="F58" s="87"/>
      <c r="G58" s="198"/>
      <c r="H58" s="87"/>
      <c r="I58" s="86"/>
      <c r="J58" s="351" t="s">
        <v>9</v>
      </c>
      <c r="K58" s="85"/>
      <c r="L58" s="352"/>
      <c r="M58" s="85"/>
      <c r="N58" s="353"/>
      <c r="O58" s="85"/>
      <c r="P58" s="352"/>
      <c r="Q58" s="85"/>
      <c r="R58" s="353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394"/>
      <c r="AJ58" s="394"/>
      <c r="AK58" s="394"/>
      <c r="AL58" s="87"/>
      <c r="AM58" s="87"/>
      <c r="AN58" s="87"/>
      <c r="AO58" s="87"/>
      <c r="AP58" s="87"/>
      <c r="AQ58" s="87"/>
      <c r="AR58" s="87"/>
      <c r="AS58" s="87"/>
    </row>
    <row r="59" spans="1:45" s="18" customFormat="1" ht="9" customHeight="1" x14ac:dyDescent="0.25">
      <c r="A59" s="224"/>
      <c r="B59" s="239"/>
      <c r="C59" s="239"/>
      <c r="D59" s="275"/>
      <c r="E59" s="198"/>
      <c r="F59" s="87"/>
      <c r="G59" s="198"/>
      <c r="H59" s="87"/>
      <c r="I59" s="86"/>
      <c r="J59" s="351" t="s">
        <v>10</v>
      </c>
      <c r="K59" s="85"/>
      <c r="L59" s="352"/>
      <c r="M59" s="85"/>
      <c r="N59" s="353"/>
      <c r="O59" s="222"/>
      <c r="P59" s="356"/>
      <c r="Q59" s="222"/>
      <c r="R59" s="35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394"/>
      <c r="AJ59" s="394"/>
      <c r="AK59" s="394"/>
      <c r="AL59" s="87"/>
      <c r="AM59" s="87"/>
      <c r="AN59" s="87"/>
      <c r="AO59" s="87"/>
      <c r="AP59" s="87"/>
      <c r="AQ59" s="87"/>
      <c r="AR59" s="87"/>
      <c r="AS59" s="87"/>
    </row>
    <row r="60" spans="1:45" s="18" customFormat="1" ht="9" customHeight="1" x14ac:dyDescent="0.25">
      <c r="A60" s="225"/>
      <c r="B60" s="242"/>
      <c r="C60" s="269"/>
      <c r="D60" s="212"/>
      <c r="E60" s="198"/>
      <c r="F60" s="87"/>
      <c r="G60" s="198"/>
      <c r="H60" s="87"/>
      <c r="I60" s="86"/>
      <c r="J60" s="351" t="s">
        <v>11</v>
      </c>
      <c r="K60" s="85"/>
      <c r="L60" s="352"/>
      <c r="M60" s="85"/>
      <c r="N60" s="353"/>
      <c r="O60" s="354" t="s">
        <v>34</v>
      </c>
      <c r="P60" s="355"/>
      <c r="Q60" s="355"/>
      <c r="R60" s="353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394"/>
      <c r="AJ60" s="394"/>
      <c r="AK60" s="394"/>
      <c r="AL60" s="87"/>
      <c r="AM60" s="87"/>
      <c r="AN60" s="87"/>
      <c r="AO60" s="87"/>
      <c r="AP60" s="87"/>
      <c r="AQ60" s="87"/>
      <c r="AR60" s="87"/>
      <c r="AS60" s="87"/>
    </row>
    <row r="61" spans="1:45" s="18" customFormat="1" ht="9" customHeight="1" x14ac:dyDescent="0.25">
      <c r="A61" s="225"/>
      <c r="B61" s="242"/>
      <c r="C61" s="270"/>
      <c r="D61" s="234"/>
      <c r="E61" s="198"/>
      <c r="F61" s="87"/>
      <c r="G61" s="198"/>
      <c r="H61" s="87"/>
      <c r="I61" s="86"/>
      <c r="J61" s="351" t="s">
        <v>12</v>
      </c>
      <c r="K61" s="85"/>
      <c r="L61" s="352"/>
      <c r="M61" s="85"/>
      <c r="N61" s="353"/>
      <c r="O61" s="85"/>
      <c r="P61" s="352"/>
      <c r="Q61" s="85"/>
      <c r="R61" s="353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394"/>
      <c r="AJ61" s="394"/>
      <c r="AK61" s="394"/>
      <c r="AL61" s="87"/>
      <c r="AM61" s="87"/>
      <c r="AN61" s="87"/>
      <c r="AO61" s="87"/>
      <c r="AP61" s="87"/>
      <c r="AQ61" s="87"/>
      <c r="AR61" s="87"/>
      <c r="AS61" s="87"/>
    </row>
    <row r="62" spans="1:45" s="18" customFormat="1" ht="9" customHeight="1" x14ac:dyDescent="0.25">
      <c r="A62" s="226"/>
      <c r="B62" s="223"/>
      <c r="C62" s="271"/>
      <c r="D62" s="235"/>
      <c r="E62" s="215"/>
      <c r="F62" s="214"/>
      <c r="G62" s="215"/>
      <c r="H62" s="214"/>
      <c r="I62" s="216"/>
      <c r="J62" s="358" t="s">
        <v>13</v>
      </c>
      <c r="K62" s="222"/>
      <c r="L62" s="356"/>
      <c r="M62" s="222"/>
      <c r="N62" s="357"/>
      <c r="O62" s="222" t="str">
        <f>R4</f>
        <v>Rákóczi Andrea</v>
      </c>
      <c r="P62" s="356"/>
      <c r="Q62" s="222"/>
      <c r="R62" s="218">
        <f>MIN(4,'F14 csapat ELO'!Q5)</f>
        <v>4</v>
      </c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394"/>
      <c r="AJ62" s="394"/>
      <c r="AK62" s="394"/>
      <c r="AL62" s="87"/>
      <c r="AM62" s="87"/>
      <c r="AN62" s="87"/>
      <c r="AO62" s="87"/>
      <c r="AP62" s="87"/>
      <c r="AQ62" s="87"/>
      <c r="AR62" s="87"/>
      <c r="AS62" s="87"/>
    </row>
    <row r="63" spans="1:45" x14ac:dyDescent="0.25"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L63" s="348"/>
      <c r="AM63" s="348"/>
      <c r="AN63" s="348"/>
      <c r="AO63" s="348"/>
      <c r="AP63" s="348"/>
      <c r="AQ63" s="348"/>
      <c r="AR63" s="348"/>
      <c r="AS63" s="348"/>
    </row>
    <row r="64" spans="1:45" x14ac:dyDescent="0.25"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L64" s="348"/>
      <c r="AM64" s="348"/>
      <c r="AN64" s="348"/>
      <c r="AO64" s="348"/>
      <c r="AP64" s="348"/>
      <c r="AQ64" s="348"/>
      <c r="AR64" s="348"/>
      <c r="AS64" s="348"/>
    </row>
    <row r="65" spans="20:45" x14ac:dyDescent="0.25"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L65" s="348"/>
      <c r="AM65" s="348"/>
      <c r="AN65" s="348"/>
      <c r="AO65" s="348"/>
      <c r="AP65" s="348"/>
      <c r="AQ65" s="348"/>
      <c r="AR65" s="348"/>
      <c r="AS65" s="348"/>
    </row>
    <row r="66" spans="20:45" x14ac:dyDescent="0.25"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L66" s="348"/>
      <c r="AM66" s="348"/>
      <c r="AN66" s="348"/>
      <c r="AO66" s="348"/>
      <c r="AP66" s="348"/>
      <c r="AQ66" s="348"/>
      <c r="AR66" s="348"/>
      <c r="AS66" s="348"/>
    </row>
    <row r="67" spans="20:45" x14ac:dyDescent="0.25"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L67" s="348"/>
      <c r="AM67" s="348"/>
      <c r="AN67" s="348"/>
      <c r="AO67" s="348"/>
      <c r="AP67" s="348"/>
      <c r="AQ67" s="348"/>
      <c r="AR67" s="348"/>
      <c r="AS67" s="348"/>
    </row>
    <row r="68" spans="20:45" x14ac:dyDescent="0.25"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L68" s="348"/>
      <c r="AM68" s="348"/>
      <c r="AN68" s="348"/>
      <c r="AO68" s="348"/>
      <c r="AP68" s="348"/>
      <c r="AQ68" s="348"/>
      <c r="AR68" s="348"/>
      <c r="AS68" s="348"/>
    </row>
    <row r="69" spans="20:45" x14ac:dyDescent="0.25"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L69" s="348"/>
      <c r="AM69" s="348"/>
      <c r="AN69" s="348"/>
      <c r="AO69" s="348"/>
      <c r="AP69" s="348"/>
      <c r="AQ69" s="348"/>
      <c r="AR69" s="348"/>
      <c r="AS69" s="348"/>
    </row>
    <row r="70" spans="20:45" x14ac:dyDescent="0.25"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L70" s="348"/>
      <c r="AM70" s="348"/>
      <c r="AN70" s="348"/>
      <c r="AO70" s="348"/>
      <c r="AP70" s="348"/>
      <c r="AQ70" s="348"/>
      <c r="AR70" s="348"/>
      <c r="AS70" s="348"/>
    </row>
    <row r="71" spans="20:45" x14ac:dyDescent="0.25"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L71" s="348"/>
      <c r="AM71" s="348"/>
      <c r="AN71" s="348"/>
      <c r="AO71" s="348"/>
      <c r="AP71" s="348"/>
      <c r="AQ71" s="348"/>
      <c r="AR71" s="348"/>
      <c r="AS71" s="348"/>
    </row>
    <row r="72" spans="20:45" x14ac:dyDescent="0.2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L72" s="348"/>
      <c r="AM72" s="348"/>
      <c r="AN72" s="348"/>
      <c r="AO72" s="348"/>
      <c r="AP72" s="348"/>
      <c r="AQ72" s="348"/>
      <c r="AR72" s="348"/>
      <c r="AS72" s="348"/>
    </row>
    <row r="73" spans="20:45" x14ac:dyDescent="0.25"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L73" s="348"/>
      <c r="AM73" s="348"/>
      <c r="AN73" s="348"/>
      <c r="AO73" s="348"/>
      <c r="AP73" s="348"/>
      <c r="AQ73" s="348"/>
      <c r="AR73" s="348"/>
      <c r="AS73" s="348"/>
    </row>
    <row r="74" spans="20:45" x14ac:dyDescent="0.25"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L74" s="348"/>
      <c r="AM74" s="348"/>
      <c r="AN74" s="348"/>
      <c r="AO74" s="348"/>
      <c r="AP74" s="348"/>
      <c r="AQ74" s="348"/>
      <c r="AR74" s="348"/>
      <c r="AS74" s="348"/>
    </row>
    <row r="75" spans="20:45" x14ac:dyDescent="0.25"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L75" s="348"/>
      <c r="AM75" s="348"/>
      <c r="AN75" s="348"/>
      <c r="AO75" s="348"/>
      <c r="AP75" s="348"/>
      <c r="AQ75" s="348"/>
      <c r="AR75" s="348"/>
      <c r="AS75" s="348"/>
    </row>
    <row r="76" spans="20:45" x14ac:dyDescent="0.25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L76" s="348"/>
      <c r="AM76" s="348"/>
      <c r="AN76" s="348"/>
      <c r="AO76" s="348"/>
      <c r="AP76" s="348"/>
      <c r="AQ76" s="348"/>
      <c r="AR76" s="348"/>
      <c r="AS76" s="348"/>
    </row>
    <row r="77" spans="20:45" x14ac:dyDescent="0.25"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L77" s="348"/>
      <c r="AM77" s="348"/>
      <c r="AN77" s="348"/>
      <c r="AO77" s="348"/>
      <c r="AP77" s="348"/>
      <c r="AQ77" s="348"/>
      <c r="AR77" s="348"/>
      <c r="AS77" s="348"/>
    </row>
    <row r="78" spans="20:45" x14ac:dyDescent="0.25"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L78" s="348"/>
      <c r="AM78" s="348"/>
      <c r="AN78" s="348"/>
      <c r="AO78" s="348"/>
      <c r="AP78" s="348"/>
      <c r="AQ78" s="348"/>
      <c r="AR78" s="348"/>
      <c r="AS78" s="348"/>
    </row>
    <row r="79" spans="20:45" x14ac:dyDescent="0.25"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L79" s="348"/>
      <c r="AM79" s="348"/>
      <c r="AN79" s="348"/>
      <c r="AO79" s="348"/>
      <c r="AP79" s="348"/>
      <c r="AQ79" s="348"/>
      <c r="AR79" s="348"/>
      <c r="AS79" s="348"/>
    </row>
    <row r="80" spans="20:45" x14ac:dyDescent="0.25"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L80" s="348"/>
      <c r="AM80" s="348"/>
      <c r="AN80" s="348"/>
      <c r="AO80" s="348"/>
      <c r="AP80" s="348"/>
      <c r="AQ80" s="348"/>
      <c r="AR80" s="348"/>
      <c r="AS80" s="348"/>
    </row>
    <row r="81" spans="20:45" x14ac:dyDescent="0.25"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348"/>
      <c r="AH81" s="348"/>
      <c r="AL81" s="348"/>
      <c r="AM81" s="348"/>
      <c r="AN81" s="348"/>
      <c r="AO81" s="348"/>
      <c r="AP81" s="348"/>
      <c r="AQ81" s="348"/>
      <c r="AR81" s="348"/>
      <c r="AS81" s="348"/>
    </row>
    <row r="82" spans="20:45" x14ac:dyDescent="0.25"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L82" s="348"/>
      <c r="AM82" s="348"/>
      <c r="AN82" s="348"/>
      <c r="AO82" s="348"/>
      <c r="AP82" s="348"/>
      <c r="AQ82" s="348"/>
      <c r="AR82" s="348"/>
      <c r="AS82" s="348"/>
    </row>
    <row r="83" spans="20:45" x14ac:dyDescent="0.25"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L83" s="348"/>
      <c r="AM83" s="348"/>
      <c r="AN83" s="348"/>
      <c r="AO83" s="348"/>
      <c r="AP83" s="348"/>
      <c r="AQ83" s="348"/>
      <c r="AR83" s="348"/>
      <c r="AS83" s="348"/>
    </row>
    <row r="84" spans="20:45" x14ac:dyDescent="0.25"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L84" s="348"/>
      <c r="AM84" s="348"/>
      <c r="AN84" s="348"/>
      <c r="AO84" s="348"/>
      <c r="AP84" s="348"/>
      <c r="AQ84" s="348"/>
      <c r="AR84" s="348"/>
      <c r="AS84" s="348"/>
    </row>
    <row r="85" spans="20:45" x14ac:dyDescent="0.25"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L85" s="348"/>
      <c r="AM85" s="348"/>
      <c r="AN85" s="348"/>
      <c r="AO85" s="348"/>
      <c r="AP85" s="348"/>
      <c r="AQ85" s="348"/>
      <c r="AR85" s="348"/>
      <c r="AS85" s="348"/>
    </row>
    <row r="86" spans="20:45" x14ac:dyDescent="0.25"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348"/>
      <c r="AH86" s="348"/>
      <c r="AL86" s="348"/>
      <c r="AM86" s="348"/>
      <c r="AN86" s="348"/>
      <c r="AO86" s="348"/>
      <c r="AP86" s="348"/>
      <c r="AQ86" s="348"/>
      <c r="AR86" s="348"/>
      <c r="AS86" s="348"/>
    </row>
    <row r="87" spans="20:45" x14ac:dyDescent="0.25"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348"/>
      <c r="AL87" s="348"/>
      <c r="AM87" s="348"/>
      <c r="AN87" s="348"/>
      <c r="AO87" s="348"/>
      <c r="AP87" s="348"/>
      <c r="AQ87" s="348"/>
      <c r="AR87" s="348"/>
      <c r="AS87" s="348"/>
    </row>
    <row r="88" spans="20:45" x14ac:dyDescent="0.25"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348"/>
      <c r="AH88" s="348"/>
      <c r="AL88" s="348"/>
      <c r="AM88" s="348"/>
      <c r="AN88" s="348"/>
      <c r="AO88" s="348"/>
      <c r="AP88" s="348"/>
      <c r="AQ88" s="348"/>
      <c r="AR88" s="348"/>
      <c r="AS88" s="348"/>
    </row>
    <row r="89" spans="20:45" x14ac:dyDescent="0.25">
      <c r="T89" s="348"/>
      <c r="U89" s="348"/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L89" s="348"/>
      <c r="AM89" s="348"/>
      <c r="AN89" s="348"/>
      <c r="AO89" s="348"/>
      <c r="AP89" s="348"/>
      <c r="AQ89" s="348"/>
      <c r="AR89" s="348"/>
      <c r="AS89" s="348"/>
    </row>
    <row r="90" spans="20:45" x14ac:dyDescent="0.2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L90" s="348"/>
      <c r="AM90" s="348"/>
      <c r="AN90" s="348"/>
      <c r="AO90" s="348"/>
      <c r="AP90" s="348"/>
      <c r="AQ90" s="348"/>
      <c r="AR90" s="348"/>
      <c r="AS90" s="348"/>
    </row>
    <row r="91" spans="20:45" x14ac:dyDescent="0.25"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8"/>
      <c r="AG91" s="348"/>
      <c r="AH91" s="348"/>
      <c r="AL91" s="348"/>
      <c r="AM91" s="348"/>
      <c r="AN91" s="348"/>
      <c r="AO91" s="348"/>
      <c r="AP91" s="348"/>
      <c r="AQ91" s="348"/>
      <c r="AR91" s="348"/>
      <c r="AS91" s="348"/>
    </row>
    <row r="92" spans="20:45" x14ac:dyDescent="0.25"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L92" s="348"/>
      <c r="AM92" s="348"/>
      <c r="AN92" s="348"/>
      <c r="AO92" s="348"/>
      <c r="AP92" s="348"/>
      <c r="AQ92" s="348"/>
      <c r="AR92" s="348"/>
      <c r="AS92" s="348"/>
    </row>
    <row r="93" spans="20:45" x14ac:dyDescent="0.25"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8"/>
      <c r="AL93" s="348"/>
      <c r="AM93" s="348"/>
      <c r="AN93" s="348"/>
      <c r="AO93" s="348"/>
      <c r="AP93" s="348"/>
      <c r="AQ93" s="348"/>
      <c r="AR93" s="348"/>
      <c r="AS93" s="348"/>
    </row>
    <row r="94" spans="20:45" x14ac:dyDescent="0.25"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8"/>
      <c r="AL94" s="348"/>
      <c r="AM94" s="348"/>
      <c r="AN94" s="348"/>
      <c r="AO94" s="348"/>
      <c r="AP94" s="348"/>
      <c r="AQ94" s="348"/>
      <c r="AR94" s="348"/>
      <c r="AS94" s="348"/>
    </row>
    <row r="95" spans="20:45" x14ac:dyDescent="0.25"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8"/>
      <c r="AL95" s="348"/>
      <c r="AM95" s="348"/>
      <c r="AN95" s="348"/>
      <c r="AO95" s="348"/>
      <c r="AP95" s="348"/>
      <c r="AQ95" s="348"/>
      <c r="AR95" s="348"/>
      <c r="AS95" s="348"/>
    </row>
    <row r="96" spans="20:45" x14ac:dyDescent="0.25"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L96" s="348"/>
      <c r="AM96" s="348"/>
      <c r="AN96" s="348"/>
      <c r="AO96" s="348"/>
      <c r="AP96" s="348"/>
      <c r="AQ96" s="348"/>
      <c r="AR96" s="348"/>
      <c r="AS96" s="348"/>
    </row>
    <row r="97" spans="20:45" x14ac:dyDescent="0.25"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L97" s="348"/>
      <c r="AM97" s="348"/>
      <c r="AN97" s="348"/>
      <c r="AO97" s="348"/>
      <c r="AP97" s="348"/>
      <c r="AQ97" s="348"/>
      <c r="AR97" s="348"/>
      <c r="AS97" s="348"/>
    </row>
    <row r="98" spans="20:45" x14ac:dyDescent="0.25"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L98" s="348"/>
      <c r="AM98" s="348"/>
      <c r="AN98" s="348"/>
      <c r="AO98" s="348"/>
      <c r="AP98" s="348"/>
      <c r="AQ98" s="348"/>
      <c r="AR98" s="348"/>
      <c r="AS98" s="348"/>
    </row>
    <row r="99" spans="20:45" x14ac:dyDescent="0.25">
      <c r="T99" s="348"/>
      <c r="U99" s="348"/>
      <c r="V99" s="348"/>
      <c r="W99" s="348"/>
      <c r="X99" s="348"/>
      <c r="Y99" s="348"/>
      <c r="Z99" s="348"/>
      <c r="AA99" s="348"/>
      <c r="AB99" s="348"/>
      <c r="AC99" s="348"/>
      <c r="AD99" s="348"/>
      <c r="AE99" s="348"/>
      <c r="AF99" s="348"/>
      <c r="AG99" s="348"/>
      <c r="AH99" s="348"/>
      <c r="AL99" s="348"/>
      <c r="AM99" s="348"/>
      <c r="AN99" s="348"/>
      <c r="AO99" s="348"/>
      <c r="AP99" s="348"/>
      <c r="AQ99" s="348"/>
      <c r="AR99" s="348"/>
      <c r="AS99" s="348"/>
    </row>
    <row r="100" spans="20:45" x14ac:dyDescent="0.25"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L100" s="348"/>
      <c r="AM100" s="348"/>
      <c r="AN100" s="348"/>
      <c r="AO100" s="348"/>
      <c r="AP100" s="348"/>
      <c r="AQ100" s="348"/>
      <c r="AR100" s="348"/>
      <c r="AS100" s="348"/>
    </row>
    <row r="101" spans="20:45" x14ac:dyDescent="0.25">
      <c r="T101" s="348"/>
      <c r="U101" s="348"/>
      <c r="V101" s="348"/>
      <c r="W101" s="348"/>
      <c r="X101" s="348"/>
      <c r="Y101" s="348"/>
      <c r="Z101" s="348"/>
      <c r="AA101" s="348"/>
      <c r="AB101" s="348"/>
      <c r="AC101" s="348"/>
      <c r="AD101" s="348"/>
      <c r="AE101" s="348"/>
      <c r="AF101" s="348"/>
      <c r="AG101" s="348"/>
      <c r="AH101" s="348"/>
      <c r="AL101" s="348"/>
      <c r="AM101" s="348"/>
      <c r="AN101" s="348"/>
      <c r="AO101" s="348"/>
      <c r="AP101" s="348"/>
      <c r="AQ101" s="348"/>
      <c r="AR101" s="348"/>
      <c r="AS101" s="348"/>
    </row>
    <row r="102" spans="20:45" x14ac:dyDescent="0.25"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L102" s="348"/>
      <c r="AM102" s="348"/>
      <c r="AN102" s="348"/>
      <c r="AO102" s="348"/>
      <c r="AP102" s="348"/>
      <c r="AQ102" s="348"/>
      <c r="AR102" s="348"/>
      <c r="AS102" s="348"/>
    </row>
    <row r="103" spans="20:45" x14ac:dyDescent="0.25">
      <c r="T103" s="348"/>
      <c r="U103" s="348"/>
      <c r="V103" s="348"/>
      <c r="W103" s="348"/>
      <c r="X103" s="348"/>
      <c r="Y103" s="348"/>
      <c r="Z103" s="348"/>
      <c r="AA103" s="348"/>
      <c r="AB103" s="348"/>
      <c r="AC103" s="348"/>
      <c r="AD103" s="348"/>
      <c r="AE103" s="348"/>
      <c r="AF103" s="348"/>
      <c r="AG103" s="348"/>
      <c r="AH103" s="348"/>
      <c r="AL103" s="348"/>
      <c r="AM103" s="348"/>
      <c r="AN103" s="348"/>
      <c r="AO103" s="348"/>
      <c r="AP103" s="348"/>
      <c r="AQ103" s="348"/>
      <c r="AR103" s="348"/>
      <c r="AS103" s="348"/>
    </row>
    <row r="104" spans="20:45" x14ac:dyDescent="0.25">
      <c r="T104" s="348"/>
      <c r="U104" s="348"/>
      <c r="V104" s="348"/>
      <c r="W104" s="348"/>
      <c r="X104" s="348"/>
      <c r="Y104" s="348"/>
      <c r="Z104" s="348"/>
      <c r="AA104" s="348"/>
      <c r="AB104" s="348"/>
      <c r="AC104" s="348"/>
      <c r="AD104" s="348"/>
      <c r="AE104" s="348"/>
      <c r="AF104" s="348"/>
      <c r="AG104" s="348"/>
      <c r="AH104" s="348"/>
      <c r="AL104" s="348"/>
      <c r="AM104" s="348"/>
      <c r="AN104" s="348"/>
      <c r="AO104" s="348"/>
      <c r="AP104" s="348"/>
      <c r="AQ104" s="348"/>
      <c r="AR104" s="348"/>
      <c r="AS104" s="348"/>
    </row>
    <row r="105" spans="20:45" x14ac:dyDescent="0.25"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348"/>
      <c r="AL105" s="348"/>
      <c r="AM105" s="348"/>
      <c r="AN105" s="348"/>
      <c r="AO105" s="348"/>
      <c r="AP105" s="348"/>
      <c r="AQ105" s="348"/>
      <c r="AR105" s="348"/>
      <c r="AS105" s="348"/>
    </row>
    <row r="106" spans="20:45" x14ac:dyDescent="0.25">
      <c r="T106" s="348"/>
      <c r="U106" s="348"/>
      <c r="V106" s="348"/>
      <c r="W106" s="348"/>
      <c r="X106" s="348"/>
      <c r="Y106" s="348"/>
      <c r="Z106" s="348"/>
      <c r="AA106" s="348"/>
      <c r="AB106" s="348"/>
      <c r="AC106" s="348"/>
      <c r="AD106" s="348"/>
      <c r="AE106" s="348"/>
      <c r="AF106" s="348"/>
      <c r="AG106" s="348"/>
      <c r="AH106" s="348"/>
      <c r="AL106" s="348"/>
      <c r="AM106" s="348"/>
      <c r="AN106" s="348"/>
      <c r="AO106" s="348"/>
      <c r="AP106" s="348"/>
      <c r="AQ106" s="348"/>
      <c r="AR106" s="348"/>
      <c r="AS106" s="348"/>
    </row>
    <row r="107" spans="20:45" x14ac:dyDescent="0.25">
      <c r="T107" s="348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L107" s="348"/>
      <c r="AM107" s="348"/>
      <c r="AN107" s="348"/>
      <c r="AO107" s="348"/>
      <c r="AP107" s="348"/>
      <c r="AQ107" s="348"/>
      <c r="AR107" s="348"/>
      <c r="AS107" s="348"/>
    </row>
    <row r="108" spans="20:45" x14ac:dyDescent="0.25">
      <c r="T108" s="348"/>
      <c r="U108" s="348"/>
      <c r="V108" s="348"/>
      <c r="W108" s="348"/>
      <c r="X108" s="348"/>
      <c r="Y108" s="348"/>
      <c r="Z108" s="348"/>
      <c r="AA108" s="348"/>
      <c r="AB108" s="348"/>
      <c r="AC108" s="348"/>
      <c r="AD108" s="348"/>
      <c r="AE108" s="348"/>
      <c r="AF108" s="348"/>
      <c r="AG108" s="348"/>
      <c r="AH108" s="348"/>
      <c r="AL108" s="348"/>
      <c r="AM108" s="348"/>
      <c r="AN108" s="348"/>
      <c r="AO108" s="348"/>
      <c r="AP108" s="348"/>
      <c r="AQ108" s="348"/>
      <c r="AR108" s="348"/>
      <c r="AS108" s="348"/>
    </row>
    <row r="109" spans="20:45" x14ac:dyDescent="0.25">
      <c r="T109" s="348"/>
      <c r="U109" s="348"/>
      <c r="V109" s="348"/>
      <c r="W109" s="348"/>
      <c r="X109" s="348"/>
      <c r="Y109" s="348"/>
      <c r="Z109" s="348"/>
      <c r="AA109" s="348"/>
      <c r="AB109" s="348"/>
      <c r="AC109" s="348"/>
      <c r="AD109" s="348"/>
      <c r="AE109" s="348"/>
      <c r="AF109" s="348"/>
      <c r="AG109" s="348"/>
      <c r="AH109" s="348"/>
      <c r="AL109" s="348"/>
      <c r="AM109" s="348"/>
      <c r="AN109" s="348"/>
      <c r="AO109" s="348"/>
      <c r="AP109" s="348"/>
      <c r="AQ109" s="348"/>
      <c r="AR109" s="348"/>
      <c r="AS109" s="348"/>
    </row>
    <row r="110" spans="20:45" x14ac:dyDescent="0.25">
      <c r="T110" s="348"/>
      <c r="U110" s="348"/>
      <c r="V110" s="348"/>
      <c r="W110" s="348"/>
      <c r="X110" s="348"/>
      <c r="Y110" s="348"/>
      <c r="Z110" s="348"/>
      <c r="AA110" s="348"/>
      <c r="AB110" s="348"/>
      <c r="AC110" s="348"/>
      <c r="AD110" s="348"/>
      <c r="AE110" s="348"/>
      <c r="AF110" s="348"/>
      <c r="AG110" s="348"/>
      <c r="AH110" s="348"/>
      <c r="AL110" s="348"/>
      <c r="AM110" s="348"/>
      <c r="AN110" s="348"/>
      <c r="AO110" s="348"/>
      <c r="AP110" s="348"/>
      <c r="AQ110" s="348"/>
      <c r="AR110" s="348"/>
      <c r="AS110" s="348"/>
    </row>
    <row r="111" spans="20:45" x14ac:dyDescent="0.25">
      <c r="T111" s="348"/>
      <c r="U111" s="348"/>
      <c r="V111" s="348"/>
      <c r="W111" s="348"/>
      <c r="X111" s="348"/>
      <c r="Y111" s="348"/>
      <c r="Z111" s="348"/>
      <c r="AA111" s="348"/>
      <c r="AB111" s="348"/>
      <c r="AC111" s="348"/>
      <c r="AD111" s="348"/>
      <c r="AE111" s="348"/>
      <c r="AF111" s="348"/>
      <c r="AG111" s="348"/>
      <c r="AH111" s="348"/>
      <c r="AL111" s="348"/>
      <c r="AM111" s="348"/>
      <c r="AN111" s="348"/>
      <c r="AO111" s="348"/>
      <c r="AP111" s="348"/>
      <c r="AQ111" s="348"/>
      <c r="AR111" s="348"/>
      <c r="AS111" s="348"/>
    </row>
    <row r="112" spans="20:45" x14ac:dyDescent="0.25">
      <c r="T112" s="348"/>
      <c r="U112" s="348"/>
      <c r="V112" s="348"/>
      <c r="W112" s="348"/>
      <c r="X112" s="348"/>
      <c r="Y112" s="348"/>
      <c r="Z112" s="348"/>
      <c r="AA112" s="348"/>
      <c r="AB112" s="348"/>
      <c r="AC112" s="348"/>
      <c r="AD112" s="348"/>
      <c r="AE112" s="348"/>
      <c r="AF112" s="348"/>
      <c r="AG112" s="348"/>
      <c r="AH112" s="348"/>
      <c r="AL112" s="348"/>
      <c r="AM112" s="348"/>
      <c r="AN112" s="348"/>
      <c r="AO112" s="348"/>
      <c r="AP112" s="348"/>
      <c r="AQ112" s="348"/>
      <c r="AR112" s="348"/>
      <c r="AS112" s="348"/>
    </row>
    <row r="113" spans="20:45" x14ac:dyDescent="0.25">
      <c r="T113" s="348"/>
      <c r="U113" s="348"/>
      <c r="V113" s="348"/>
      <c r="W113" s="348"/>
      <c r="X113" s="348"/>
      <c r="Y113" s="348"/>
      <c r="Z113" s="348"/>
      <c r="AA113" s="348"/>
      <c r="AB113" s="348"/>
      <c r="AC113" s="348"/>
      <c r="AD113" s="348"/>
      <c r="AE113" s="348"/>
      <c r="AF113" s="348"/>
      <c r="AG113" s="348"/>
      <c r="AH113" s="348"/>
      <c r="AL113" s="348"/>
      <c r="AM113" s="348"/>
      <c r="AN113" s="348"/>
      <c r="AO113" s="348"/>
      <c r="AP113" s="348"/>
      <c r="AQ113" s="348"/>
      <c r="AR113" s="348"/>
      <c r="AS113" s="348"/>
    </row>
    <row r="114" spans="20:45" x14ac:dyDescent="0.25">
      <c r="T114" s="348"/>
      <c r="U114" s="348"/>
      <c r="V114" s="348"/>
      <c r="W114" s="348"/>
      <c r="X114" s="348"/>
      <c r="Y114" s="348"/>
      <c r="Z114" s="348"/>
      <c r="AA114" s="348"/>
      <c r="AB114" s="348"/>
      <c r="AC114" s="348"/>
      <c r="AD114" s="348"/>
      <c r="AE114" s="348"/>
      <c r="AF114" s="348"/>
      <c r="AG114" s="348"/>
      <c r="AH114" s="348"/>
      <c r="AL114" s="348"/>
      <c r="AM114" s="348"/>
      <c r="AN114" s="348"/>
      <c r="AO114" s="348"/>
      <c r="AP114" s="348"/>
      <c r="AQ114" s="348"/>
      <c r="AR114" s="348"/>
      <c r="AS114" s="348"/>
    </row>
    <row r="115" spans="20:45" x14ac:dyDescent="0.25">
      <c r="T115" s="348"/>
      <c r="U115" s="348"/>
      <c r="V115" s="348"/>
      <c r="W115" s="348"/>
      <c r="X115" s="348"/>
      <c r="Y115" s="348"/>
      <c r="Z115" s="348"/>
      <c r="AA115" s="348"/>
      <c r="AB115" s="348"/>
      <c r="AC115" s="348"/>
      <c r="AD115" s="348"/>
      <c r="AE115" s="348"/>
      <c r="AF115" s="348"/>
      <c r="AG115" s="348"/>
      <c r="AH115" s="348"/>
      <c r="AL115" s="348"/>
      <c r="AM115" s="348"/>
      <c r="AN115" s="348"/>
      <c r="AO115" s="348"/>
      <c r="AP115" s="348"/>
      <c r="AQ115" s="348"/>
      <c r="AR115" s="348"/>
      <c r="AS115" s="348"/>
    </row>
    <row r="116" spans="20:45" x14ac:dyDescent="0.25">
      <c r="T116" s="348"/>
      <c r="U116" s="348"/>
      <c r="V116" s="348"/>
      <c r="W116" s="348"/>
      <c r="X116" s="348"/>
      <c r="Y116" s="348"/>
      <c r="Z116" s="348"/>
      <c r="AA116" s="348"/>
      <c r="AB116" s="348"/>
      <c r="AC116" s="348"/>
      <c r="AD116" s="348"/>
      <c r="AE116" s="348"/>
      <c r="AF116" s="348"/>
      <c r="AG116" s="348"/>
      <c r="AH116" s="348"/>
      <c r="AL116" s="348"/>
      <c r="AM116" s="348"/>
      <c r="AN116" s="348"/>
      <c r="AO116" s="348"/>
      <c r="AP116" s="348"/>
      <c r="AQ116" s="348"/>
      <c r="AR116" s="348"/>
      <c r="AS116" s="348"/>
    </row>
    <row r="117" spans="20:45" x14ac:dyDescent="0.25">
      <c r="T117" s="348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L117" s="348"/>
      <c r="AM117" s="348"/>
      <c r="AN117" s="348"/>
      <c r="AO117" s="348"/>
      <c r="AP117" s="348"/>
      <c r="AQ117" s="348"/>
      <c r="AR117" s="348"/>
      <c r="AS117" s="348"/>
    </row>
    <row r="118" spans="20:45" x14ac:dyDescent="0.25">
      <c r="T118" s="348"/>
      <c r="U118" s="348"/>
      <c r="V118" s="348"/>
      <c r="W118" s="348"/>
      <c r="X118" s="348"/>
      <c r="Y118" s="348"/>
      <c r="Z118" s="348"/>
      <c r="AA118" s="348"/>
      <c r="AB118" s="348"/>
      <c r="AC118" s="348"/>
      <c r="AD118" s="348"/>
      <c r="AE118" s="348"/>
      <c r="AF118" s="348"/>
      <c r="AG118" s="348"/>
      <c r="AH118" s="348"/>
      <c r="AL118" s="348"/>
      <c r="AM118" s="348"/>
      <c r="AN118" s="348"/>
      <c r="AO118" s="348"/>
      <c r="AP118" s="348"/>
      <c r="AQ118" s="348"/>
      <c r="AR118" s="348"/>
      <c r="AS118" s="348"/>
    </row>
    <row r="119" spans="20:45" x14ac:dyDescent="0.25">
      <c r="T119" s="348"/>
      <c r="U119" s="348"/>
      <c r="V119" s="348"/>
      <c r="W119" s="348"/>
      <c r="X119" s="348"/>
      <c r="Y119" s="348"/>
      <c r="Z119" s="348"/>
      <c r="AA119" s="348"/>
      <c r="AB119" s="348"/>
      <c r="AC119" s="348"/>
      <c r="AD119" s="348"/>
      <c r="AE119" s="348"/>
      <c r="AF119" s="348"/>
      <c r="AG119" s="348"/>
      <c r="AH119" s="348"/>
      <c r="AL119" s="348"/>
      <c r="AM119" s="348"/>
      <c r="AN119" s="348"/>
      <c r="AO119" s="348"/>
      <c r="AP119" s="348"/>
      <c r="AQ119" s="348"/>
      <c r="AR119" s="348"/>
      <c r="AS119" s="348"/>
    </row>
    <row r="120" spans="20:45" x14ac:dyDescent="0.25"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  <c r="AG120" s="348"/>
      <c r="AH120" s="348"/>
      <c r="AL120" s="348"/>
      <c r="AM120" s="348"/>
      <c r="AN120" s="348"/>
      <c r="AO120" s="348"/>
      <c r="AP120" s="348"/>
      <c r="AQ120" s="348"/>
      <c r="AR120" s="348"/>
      <c r="AS120" s="348"/>
    </row>
    <row r="121" spans="20:45" x14ac:dyDescent="0.25">
      <c r="T121" s="348"/>
      <c r="U121" s="348"/>
      <c r="V121" s="348"/>
      <c r="W121" s="348"/>
      <c r="X121" s="348"/>
      <c r="Y121" s="348"/>
      <c r="Z121" s="348"/>
      <c r="AA121" s="348"/>
      <c r="AB121" s="348"/>
      <c r="AC121" s="348"/>
      <c r="AD121" s="348"/>
      <c r="AE121" s="348"/>
      <c r="AF121" s="348"/>
      <c r="AG121" s="348"/>
      <c r="AH121" s="348"/>
      <c r="AL121" s="348"/>
      <c r="AM121" s="348"/>
      <c r="AN121" s="348"/>
      <c r="AO121" s="348"/>
      <c r="AP121" s="348"/>
      <c r="AQ121" s="348"/>
      <c r="AR121" s="348"/>
      <c r="AS121" s="348"/>
    </row>
    <row r="122" spans="20:45" x14ac:dyDescent="0.25">
      <c r="T122" s="348"/>
      <c r="U122" s="348"/>
      <c r="V122" s="348"/>
      <c r="W122" s="348"/>
      <c r="X122" s="348"/>
      <c r="Y122" s="348"/>
      <c r="Z122" s="348"/>
      <c r="AA122" s="348"/>
      <c r="AB122" s="348"/>
      <c r="AC122" s="348"/>
      <c r="AD122" s="348"/>
      <c r="AE122" s="348"/>
      <c r="AF122" s="348"/>
      <c r="AG122" s="348"/>
      <c r="AH122" s="348"/>
      <c r="AL122" s="348"/>
      <c r="AM122" s="348"/>
      <c r="AN122" s="348"/>
      <c r="AO122" s="348"/>
      <c r="AP122" s="348"/>
      <c r="AQ122" s="348"/>
      <c r="AR122" s="348"/>
      <c r="AS122" s="348"/>
    </row>
    <row r="123" spans="20:45" x14ac:dyDescent="0.25"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L123" s="348"/>
      <c r="AM123" s="348"/>
      <c r="AN123" s="348"/>
      <c r="AO123" s="348"/>
      <c r="AP123" s="348"/>
      <c r="AQ123" s="348"/>
      <c r="AR123" s="348"/>
      <c r="AS123" s="348"/>
    </row>
    <row r="124" spans="20:45" x14ac:dyDescent="0.25">
      <c r="T124" s="348"/>
      <c r="U124" s="348"/>
      <c r="V124" s="348"/>
      <c r="W124" s="348"/>
      <c r="X124" s="348"/>
      <c r="Y124" s="348"/>
      <c r="Z124" s="348"/>
      <c r="AA124" s="348"/>
      <c r="AB124" s="348"/>
      <c r="AC124" s="348"/>
      <c r="AD124" s="348"/>
      <c r="AE124" s="348"/>
      <c r="AF124" s="348"/>
      <c r="AG124" s="348"/>
      <c r="AH124" s="348"/>
      <c r="AL124" s="348"/>
      <c r="AM124" s="348"/>
      <c r="AN124" s="348"/>
      <c r="AO124" s="348"/>
      <c r="AP124" s="348"/>
      <c r="AQ124" s="348"/>
      <c r="AR124" s="348"/>
      <c r="AS124" s="348"/>
    </row>
    <row r="125" spans="20:45" x14ac:dyDescent="0.25">
      <c r="T125" s="348"/>
      <c r="U125" s="348"/>
      <c r="V125" s="348"/>
      <c r="W125" s="348"/>
      <c r="X125" s="348"/>
      <c r="Y125" s="348"/>
      <c r="Z125" s="348"/>
      <c r="AA125" s="348"/>
      <c r="AB125" s="348"/>
      <c r="AC125" s="348"/>
      <c r="AD125" s="348"/>
      <c r="AE125" s="348"/>
      <c r="AF125" s="348"/>
      <c r="AG125" s="348"/>
      <c r="AH125" s="348"/>
      <c r="AL125" s="348"/>
      <c r="AM125" s="348"/>
      <c r="AN125" s="348"/>
      <c r="AO125" s="348"/>
      <c r="AP125" s="348"/>
      <c r="AQ125" s="348"/>
      <c r="AR125" s="348"/>
      <c r="AS125" s="348"/>
    </row>
    <row r="126" spans="20:45" x14ac:dyDescent="0.25">
      <c r="T126" s="348"/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L126" s="348"/>
      <c r="AM126" s="348"/>
      <c r="AN126" s="348"/>
      <c r="AO126" s="348"/>
      <c r="AP126" s="348"/>
      <c r="AQ126" s="348"/>
      <c r="AR126" s="348"/>
      <c r="AS126" s="348"/>
    </row>
    <row r="127" spans="20:45" x14ac:dyDescent="0.25">
      <c r="T127" s="348"/>
      <c r="U127" s="348"/>
      <c r="V127" s="348"/>
      <c r="W127" s="348"/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L127" s="348"/>
      <c r="AM127" s="348"/>
      <c r="AN127" s="348"/>
      <c r="AO127" s="348"/>
      <c r="AP127" s="348"/>
      <c r="AQ127" s="348"/>
      <c r="AR127" s="348"/>
      <c r="AS127" s="348"/>
    </row>
    <row r="128" spans="20:45" x14ac:dyDescent="0.25">
      <c r="T128" s="348"/>
      <c r="U128" s="348"/>
      <c r="V128" s="348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L128" s="348"/>
      <c r="AM128" s="348"/>
      <c r="AN128" s="348"/>
      <c r="AO128" s="348"/>
      <c r="AP128" s="348"/>
      <c r="AQ128" s="348"/>
      <c r="AR128" s="348"/>
      <c r="AS128" s="348"/>
    </row>
    <row r="129" spans="20:45" x14ac:dyDescent="0.25">
      <c r="T129" s="348"/>
      <c r="U129" s="348"/>
      <c r="V129" s="348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L129" s="348"/>
      <c r="AM129" s="348"/>
      <c r="AN129" s="348"/>
      <c r="AO129" s="348"/>
      <c r="AP129" s="348"/>
      <c r="AQ129" s="348"/>
      <c r="AR129" s="348"/>
      <c r="AS129" s="348"/>
    </row>
    <row r="130" spans="20:45" x14ac:dyDescent="0.25">
      <c r="T130" s="348"/>
      <c r="U130" s="348"/>
      <c r="V130" s="348"/>
      <c r="W130" s="348"/>
      <c r="X130" s="348"/>
      <c r="Y130" s="348"/>
      <c r="Z130" s="348"/>
      <c r="AA130" s="348"/>
      <c r="AB130" s="348"/>
      <c r="AC130" s="348"/>
      <c r="AD130" s="348"/>
      <c r="AE130" s="348"/>
      <c r="AF130" s="348"/>
      <c r="AG130" s="348"/>
      <c r="AH130" s="348"/>
      <c r="AL130" s="348"/>
      <c r="AM130" s="348"/>
      <c r="AN130" s="348"/>
      <c r="AO130" s="348"/>
      <c r="AP130" s="348"/>
      <c r="AQ130" s="348"/>
      <c r="AR130" s="348"/>
      <c r="AS130" s="348"/>
    </row>
    <row r="131" spans="20:45" x14ac:dyDescent="0.25">
      <c r="T131" s="348"/>
      <c r="U131" s="348"/>
      <c r="V131" s="348"/>
      <c r="W131" s="348"/>
      <c r="X131" s="348"/>
      <c r="Y131" s="348"/>
      <c r="Z131" s="348"/>
      <c r="AA131" s="348"/>
      <c r="AB131" s="348"/>
      <c r="AC131" s="348"/>
      <c r="AD131" s="348"/>
      <c r="AE131" s="348"/>
      <c r="AF131" s="348"/>
      <c r="AG131" s="348"/>
      <c r="AH131" s="348"/>
      <c r="AL131" s="348"/>
      <c r="AM131" s="348"/>
      <c r="AN131" s="348"/>
      <c r="AO131" s="348"/>
      <c r="AP131" s="348"/>
      <c r="AQ131" s="348"/>
      <c r="AR131" s="348"/>
      <c r="AS131" s="348"/>
    </row>
    <row r="132" spans="20:45" x14ac:dyDescent="0.25">
      <c r="T132" s="348"/>
      <c r="U132" s="348"/>
      <c r="V132" s="348"/>
      <c r="W132" s="348"/>
      <c r="X132" s="348"/>
      <c r="Y132" s="348"/>
      <c r="Z132" s="348"/>
      <c r="AA132" s="348"/>
      <c r="AB132" s="348"/>
      <c r="AC132" s="348"/>
      <c r="AD132" s="348"/>
      <c r="AE132" s="348"/>
      <c r="AF132" s="348"/>
      <c r="AG132" s="348"/>
      <c r="AH132" s="348"/>
      <c r="AL132" s="348"/>
      <c r="AM132" s="348"/>
      <c r="AN132" s="348"/>
      <c r="AO132" s="348"/>
      <c r="AP132" s="348"/>
      <c r="AQ132" s="348"/>
      <c r="AR132" s="348"/>
      <c r="AS132" s="348"/>
    </row>
    <row r="133" spans="20:45" x14ac:dyDescent="0.25">
      <c r="T133" s="348"/>
      <c r="U133" s="348"/>
      <c r="V133" s="348"/>
      <c r="W133" s="348"/>
      <c r="X133" s="348"/>
      <c r="Y133" s="348"/>
      <c r="Z133" s="348"/>
      <c r="AA133" s="348"/>
      <c r="AB133" s="348"/>
      <c r="AC133" s="348"/>
      <c r="AD133" s="348"/>
      <c r="AE133" s="348"/>
      <c r="AF133" s="348"/>
      <c r="AG133" s="348"/>
      <c r="AH133" s="348"/>
      <c r="AL133" s="348"/>
      <c r="AM133" s="348"/>
      <c r="AN133" s="348"/>
      <c r="AO133" s="348"/>
      <c r="AP133" s="348"/>
      <c r="AQ133" s="348"/>
      <c r="AR133" s="348"/>
      <c r="AS133" s="348"/>
    </row>
    <row r="134" spans="20:45" x14ac:dyDescent="0.25">
      <c r="T134" s="348"/>
      <c r="U134" s="348"/>
      <c r="V134" s="348"/>
      <c r="W134" s="348"/>
      <c r="X134" s="348"/>
      <c r="Y134" s="348"/>
      <c r="Z134" s="348"/>
      <c r="AA134" s="348"/>
      <c r="AB134" s="348"/>
      <c r="AC134" s="348"/>
      <c r="AD134" s="348"/>
      <c r="AE134" s="348"/>
      <c r="AF134" s="348"/>
      <c r="AG134" s="348"/>
      <c r="AH134" s="348"/>
      <c r="AL134" s="348"/>
      <c r="AM134" s="348"/>
      <c r="AN134" s="348"/>
      <c r="AO134" s="348"/>
      <c r="AP134" s="348"/>
      <c r="AQ134" s="348"/>
      <c r="AR134" s="348"/>
      <c r="AS134" s="348"/>
    </row>
    <row r="135" spans="20:45" x14ac:dyDescent="0.25">
      <c r="T135" s="348"/>
      <c r="U135" s="348"/>
      <c r="V135" s="348"/>
      <c r="W135" s="348"/>
      <c r="X135" s="348"/>
      <c r="Y135" s="348"/>
      <c r="Z135" s="348"/>
      <c r="AA135" s="348"/>
      <c r="AB135" s="348"/>
      <c r="AC135" s="348"/>
      <c r="AD135" s="348"/>
      <c r="AE135" s="348"/>
      <c r="AF135" s="348"/>
      <c r="AG135" s="348"/>
      <c r="AH135" s="348"/>
      <c r="AL135" s="348"/>
      <c r="AM135" s="348"/>
      <c r="AN135" s="348"/>
      <c r="AO135" s="348"/>
      <c r="AP135" s="348"/>
      <c r="AQ135" s="348"/>
      <c r="AR135" s="348"/>
      <c r="AS135" s="348"/>
    </row>
    <row r="136" spans="20:45" x14ac:dyDescent="0.25">
      <c r="T136" s="348"/>
      <c r="U136" s="348"/>
      <c r="V136" s="348"/>
      <c r="W136" s="348"/>
      <c r="X136" s="348"/>
      <c r="Y136" s="348"/>
      <c r="Z136" s="348"/>
      <c r="AA136" s="348"/>
      <c r="AB136" s="348"/>
      <c r="AC136" s="348"/>
      <c r="AD136" s="348"/>
      <c r="AE136" s="348"/>
      <c r="AF136" s="348"/>
      <c r="AG136" s="348"/>
      <c r="AH136" s="348"/>
      <c r="AL136" s="348"/>
      <c r="AM136" s="348"/>
      <c r="AN136" s="348"/>
      <c r="AO136" s="348"/>
      <c r="AP136" s="348"/>
      <c r="AQ136" s="348"/>
      <c r="AR136" s="348"/>
      <c r="AS136" s="348"/>
    </row>
    <row r="137" spans="20:45" x14ac:dyDescent="0.25">
      <c r="T137" s="348"/>
      <c r="U137" s="348"/>
      <c r="V137" s="348"/>
      <c r="W137" s="348"/>
      <c r="X137" s="348"/>
      <c r="Y137" s="348"/>
      <c r="Z137" s="348"/>
      <c r="AA137" s="348"/>
      <c r="AB137" s="348"/>
      <c r="AC137" s="348"/>
      <c r="AD137" s="348"/>
      <c r="AE137" s="348"/>
      <c r="AF137" s="348"/>
      <c r="AG137" s="348"/>
      <c r="AH137" s="348"/>
      <c r="AL137" s="348"/>
      <c r="AM137" s="348"/>
      <c r="AN137" s="348"/>
      <c r="AO137" s="348"/>
      <c r="AP137" s="348"/>
      <c r="AQ137" s="348"/>
      <c r="AR137" s="348"/>
      <c r="AS137" s="348"/>
    </row>
    <row r="138" spans="20:45" x14ac:dyDescent="0.25">
      <c r="T138" s="348"/>
      <c r="U138" s="348"/>
      <c r="V138" s="348"/>
      <c r="W138" s="348"/>
      <c r="X138" s="348"/>
      <c r="Y138" s="348"/>
      <c r="Z138" s="348"/>
      <c r="AA138" s="348"/>
      <c r="AB138" s="348"/>
      <c r="AC138" s="348"/>
      <c r="AD138" s="348"/>
      <c r="AE138" s="348"/>
      <c r="AF138" s="348"/>
      <c r="AG138" s="348"/>
      <c r="AH138" s="348"/>
      <c r="AL138" s="348"/>
      <c r="AM138" s="348"/>
      <c r="AN138" s="348"/>
      <c r="AO138" s="348"/>
      <c r="AP138" s="348"/>
      <c r="AQ138" s="348"/>
      <c r="AR138" s="348"/>
      <c r="AS138" s="348"/>
    </row>
    <row r="139" spans="20:45" x14ac:dyDescent="0.25">
      <c r="T139" s="348"/>
      <c r="U139" s="348"/>
      <c r="V139" s="348"/>
      <c r="W139" s="348"/>
      <c r="X139" s="348"/>
      <c r="Y139" s="348"/>
      <c r="Z139" s="348"/>
      <c r="AA139" s="348"/>
      <c r="AB139" s="348"/>
      <c r="AC139" s="348"/>
      <c r="AD139" s="348"/>
      <c r="AE139" s="348"/>
      <c r="AF139" s="348"/>
      <c r="AG139" s="348"/>
      <c r="AH139" s="348"/>
      <c r="AL139" s="348"/>
      <c r="AM139" s="348"/>
      <c r="AN139" s="348"/>
      <c r="AO139" s="348"/>
      <c r="AP139" s="348"/>
      <c r="AQ139" s="348"/>
      <c r="AR139" s="348"/>
      <c r="AS139" s="348"/>
    </row>
    <row r="140" spans="20:45" x14ac:dyDescent="0.25">
      <c r="T140" s="348"/>
      <c r="U140" s="348"/>
      <c r="V140" s="348"/>
      <c r="W140" s="348"/>
      <c r="X140" s="348"/>
      <c r="Y140" s="348"/>
      <c r="Z140" s="348"/>
      <c r="AA140" s="348"/>
      <c r="AB140" s="348"/>
      <c r="AC140" s="348"/>
      <c r="AD140" s="348"/>
      <c r="AE140" s="348"/>
      <c r="AF140" s="348"/>
      <c r="AG140" s="348"/>
      <c r="AH140" s="348"/>
      <c r="AL140" s="348"/>
      <c r="AM140" s="348"/>
      <c r="AN140" s="348"/>
      <c r="AO140" s="348"/>
      <c r="AP140" s="348"/>
      <c r="AQ140" s="348"/>
      <c r="AR140" s="348"/>
      <c r="AS140" s="348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139" priority="17" stopIfTrue="1">
      <formula>AND($E7&lt;9,$C7&gt;0)</formula>
    </cfRule>
  </conditionalFormatting>
  <conditionalFormatting sqref="I23 I43 K33 I31 K41 I51 I39 K49 I47 K10 M29 M45 I27 K25 I35 I8 I12 I16 I20 K18 M14">
    <cfRule type="expression" dxfId="138" priority="14" stopIfTrue="1">
      <formula>AND($O$1="CU",I8="Umpire")</formula>
    </cfRule>
    <cfRule type="expression" dxfId="137" priority="15" stopIfTrue="1">
      <formula>AND($O$1="CU",I8&lt;&gt;"Umpire",J8&lt;&gt;"")</formula>
    </cfRule>
    <cfRule type="expression" dxfId="136" priority="16" stopIfTrue="1">
      <formula>AND($O$1="CU",I8&lt;&gt;"Umpire")</formula>
    </cfRule>
  </conditionalFormatting>
  <conditionalFormatting sqref="E36 E30 E28 E26 E24 E22 E52 E50 E32 E48 E46 E44 E42 E40 E38 E34">
    <cfRule type="expression" dxfId="135" priority="13" stopIfTrue="1">
      <formula>AND($E22&lt;9,$C22&gt;0)</formula>
    </cfRule>
  </conditionalFormatting>
  <conditionalFormatting sqref="F38 F40 F42 F44 F46 F48 F50 F36 F22 F24 F26 F28 F30 F32 F34">
    <cfRule type="cellIs" dxfId="134" priority="11" stopIfTrue="1" operator="equal">
      <formula>"Bye"</formula>
    </cfRule>
    <cfRule type="expression" dxfId="133" priority="12" stopIfTrue="1">
      <formula>AND($E22&lt;9,$C22&gt;0)</formula>
    </cfRule>
  </conditionalFormatting>
  <conditionalFormatting sqref="M10 M18 O45 M41 M49 O14 O29 M25 M33 K8 K12 K16 K20 K39 K43 K47 K51 K23 K27 K31 K35">
    <cfRule type="expression" dxfId="132" priority="9" stopIfTrue="1">
      <formula>J8="as"</formula>
    </cfRule>
    <cfRule type="expression" dxfId="131" priority="10" stopIfTrue="1">
      <formula>J8="bs"</formula>
    </cfRule>
  </conditionalFormatting>
  <conditionalFormatting sqref="B40 B42 B44 B46 B48 B50 B52 B24 B26 B28 B30 B32 B34 B36 B38 B22">
    <cfRule type="cellIs" dxfId="130" priority="7" stopIfTrue="1" operator="equal">
      <formula>"QA"</formula>
    </cfRule>
    <cfRule type="cellIs" dxfId="129" priority="8" stopIfTrue="1" operator="equal">
      <formula>"DA"</formula>
    </cfRule>
  </conditionalFormatting>
  <conditionalFormatting sqref="R62 J8 J12 J16 J20 N14 L10 L18">
    <cfRule type="expression" dxfId="128" priority="6" stopIfTrue="1">
      <formula>$O$1="CU"</formula>
    </cfRule>
  </conditionalFormatting>
  <conditionalFormatting sqref="E21 E7">
    <cfRule type="expression" dxfId="127" priority="5" stopIfTrue="1">
      <formula>$E7&lt;5</formula>
    </cfRule>
  </conditionalFormatting>
  <conditionalFormatting sqref="F19 F21 F9 F17 F15 F13 F11 F7">
    <cfRule type="cellIs" dxfId="126" priority="4" stopIfTrue="1" operator="equal">
      <formula>"Bye"</formula>
    </cfRule>
  </conditionalFormatting>
  <conditionalFormatting sqref="O16">
    <cfRule type="expression" dxfId="125" priority="1" stopIfTrue="1">
      <formula>AND($O$1="CU",O16="Umpire")</formula>
    </cfRule>
    <cfRule type="expression" dxfId="124" priority="2" stopIfTrue="1">
      <formula>AND($O$1="CU",O16&lt;&gt;"Umpire",P16&lt;&gt;"")</formula>
    </cfRule>
    <cfRule type="expression" dxfId="123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AA36C0BD-25E7-433D-A6B1-11BE632D3A3A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18E9-D1CC-4D26-8533-8EC08EE620DB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T15" sqref="T15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41" customWidth="1"/>
    <col min="5" max="5" width="10.6640625" style="418" customWidth="1"/>
    <col min="6" max="6" width="6.109375" style="94" hidden="1" customWidth="1"/>
    <col min="7" max="7" width="35" style="94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8" thickBot="1" x14ac:dyDescent="0.3">
      <c r="B2" s="90" t="s">
        <v>51</v>
      </c>
      <c r="C2" s="432" t="str">
        <f>Altalanos!$B$8</f>
        <v>F14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8" thickBot="1" x14ac:dyDescent="0.3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5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8" thickBot="1" x14ac:dyDescent="0.3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3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899999999999999" customHeight="1" x14ac:dyDescent="0.25">
      <c r="A7" s="253">
        <v>1</v>
      </c>
      <c r="B7" s="96" t="s">
        <v>96</v>
      </c>
      <c r="C7" s="96"/>
      <c r="D7" s="97"/>
      <c r="E7" s="268"/>
      <c r="F7" s="401"/>
      <c r="G7" s="402"/>
      <c r="H7" s="97"/>
      <c r="I7" s="97"/>
      <c r="J7" s="250"/>
      <c r="K7" s="248"/>
      <c r="L7" s="252"/>
      <c r="M7" s="248"/>
      <c r="N7" s="241"/>
      <c r="O7" s="97">
        <v>39</v>
      </c>
      <c r="P7" s="116"/>
      <c r="Q7" s="98"/>
    </row>
    <row r="8" spans="1:17" s="11" customFormat="1" ht="18.899999999999999" customHeight="1" x14ac:dyDescent="0.25">
      <c r="A8" s="253">
        <v>2</v>
      </c>
      <c r="B8" s="96" t="s">
        <v>104</v>
      </c>
      <c r="C8" s="96"/>
      <c r="D8" s="97"/>
      <c r="E8" s="268"/>
      <c r="F8" s="401"/>
      <c r="G8" s="402"/>
      <c r="H8" s="97"/>
      <c r="I8" s="97"/>
      <c r="J8" s="250"/>
      <c r="K8" s="248"/>
      <c r="L8" s="252"/>
      <c r="M8" s="248"/>
      <c r="N8" s="241"/>
      <c r="O8" s="97">
        <v>50</v>
      </c>
      <c r="P8" s="116"/>
      <c r="Q8" s="98"/>
    </row>
    <row r="9" spans="1:17" s="11" customFormat="1" ht="18.899999999999999" customHeight="1" x14ac:dyDescent="0.25">
      <c r="A9" s="253">
        <v>3</v>
      </c>
      <c r="B9" s="96" t="s">
        <v>105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56</v>
      </c>
      <c r="P9" s="412"/>
      <c r="Q9" s="283"/>
    </row>
    <row r="10" spans="1:17" s="11" customFormat="1" ht="18.899999999999999" customHeight="1" x14ac:dyDescent="0.25">
      <c r="A10" s="253">
        <v>4</v>
      </c>
      <c r="B10" s="96" t="s">
        <v>100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81</v>
      </c>
      <c r="P10" s="411"/>
      <c r="Q10" s="408"/>
    </row>
    <row r="11" spans="1:17" s="11" customFormat="1" ht="18.899999999999999" customHeight="1" x14ac:dyDescent="0.25">
      <c r="A11" s="253">
        <v>5</v>
      </c>
      <c r="B11" s="96" t="s">
        <v>106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84</v>
      </c>
      <c r="P11" s="411"/>
      <c r="Q11" s="408"/>
    </row>
    <row r="12" spans="1:17" s="11" customFormat="1" ht="18.899999999999999" customHeight="1" x14ac:dyDescent="0.25">
      <c r="A12" s="253">
        <v>6</v>
      </c>
      <c r="B12" s="96" t="s">
        <v>107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101</v>
      </c>
      <c r="P12" s="411"/>
      <c r="Q12" s="408"/>
    </row>
    <row r="13" spans="1:17" s="11" customFormat="1" ht="18.899999999999999" customHeight="1" x14ac:dyDescent="0.25">
      <c r="A13" s="253">
        <v>7</v>
      </c>
      <c r="B13" s="96" t="s">
        <v>108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161</v>
      </c>
      <c r="P13" s="411"/>
      <c r="Q13" s="408"/>
    </row>
    <row r="14" spans="1:17" s="11" customFormat="1" ht="18.899999999999999" customHeight="1" x14ac:dyDescent="0.25">
      <c r="A14" s="253">
        <v>8</v>
      </c>
      <c r="B14" s="96" t="s">
        <v>109</v>
      </c>
      <c r="C14" s="96"/>
      <c r="D14" s="97"/>
      <c r="E14" s="268"/>
      <c r="F14" s="115"/>
      <c r="G14" s="115"/>
      <c r="H14" s="97"/>
      <c r="I14" s="97"/>
      <c r="J14" s="250"/>
      <c r="K14" s="248"/>
      <c r="L14" s="252"/>
      <c r="M14" s="288"/>
      <c r="N14" s="241"/>
      <c r="O14" s="97">
        <v>183</v>
      </c>
      <c r="P14" s="411"/>
      <c r="Q14" s="408"/>
    </row>
    <row r="15" spans="1:17" s="11" customFormat="1" ht="18.899999999999999" customHeight="1" x14ac:dyDescent="0.25">
      <c r="A15" s="253">
        <v>9</v>
      </c>
      <c r="B15" s="436" t="s">
        <v>110</v>
      </c>
      <c r="C15" s="96"/>
      <c r="D15" s="97"/>
      <c r="E15" s="268"/>
      <c r="F15" s="115"/>
      <c r="G15" s="115"/>
      <c r="H15" s="97"/>
      <c r="I15" s="97"/>
      <c r="J15" s="250"/>
      <c r="K15" s="248"/>
      <c r="L15" s="252"/>
      <c r="M15" s="288"/>
      <c r="N15" s="241"/>
      <c r="O15" s="97">
        <v>272</v>
      </c>
      <c r="P15" s="98"/>
      <c r="Q15" s="98"/>
    </row>
    <row r="16" spans="1:17" s="11" customFormat="1" ht="18.899999999999999" customHeight="1" x14ac:dyDescent="0.25">
      <c r="A16" s="253">
        <v>10</v>
      </c>
      <c r="B16" s="96" t="s">
        <v>111</v>
      </c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>
        <v>277</v>
      </c>
      <c r="P16" s="116"/>
      <c r="Q16" s="98"/>
    </row>
    <row r="17" spans="1:17" s="11" customFormat="1" ht="18.899999999999999" customHeight="1" x14ac:dyDescent="0.25">
      <c r="A17" s="253">
        <v>11</v>
      </c>
      <c r="B17" s="96" t="s">
        <v>126</v>
      </c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>
        <v>291</v>
      </c>
      <c r="P17" s="116"/>
      <c r="Q17" s="98"/>
    </row>
    <row r="18" spans="1:17" s="11" customFormat="1" ht="18.899999999999999" customHeight="1" x14ac:dyDescent="0.25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899999999999999" customHeight="1" x14ac:dyDescent="0.25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899999999999999" customHeight="1" x14ac:dyDescent="0.25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899999999999999" customHeight="1" x14ac:dyDescent="0.25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899999999999999" customHeight="1" x14ac:dyDescent="0.25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899999999999999" customHeight="1" x14ac:dyDescent="0.25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899999999999999" customHeight="1" x14ac:dyDescent="0.25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899999999999999" customHeight="1" x14ac:dyDescent="0.25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899999999999999" customHeight="1" x14ac:dyDescent="0.25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899999999999999" customHeight="1" x14ac:dyDescent="0.25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899999999999999" customHeight="1" x14ac:dyDescent="0.25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899999999999999" customHeight="1" x14ac:dyDescent="0.25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899999999999999" customHeight="1" x14ac:dyDescent="0.25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899999999999999" customHeight="1" x14ac:dyDescent="0.25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899999999999999" customHeight="1" x14ac:dyDescent="0.25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899999999999999" customHeight="1" x14ac:dyDescent="0.25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899999999999999" customHeight="1" x14ac:dyDescent="0.25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899999999999999" customHeight="1" x14ac:dyDescent="0.25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899999999999999" customHeight="1" x14ac:dyDescent="0.25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899999999999999" customHeight="1" x14ac:dyDescent="0.25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899999999999999" customHeight="1" x14ac:dyDescent="0.25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899999999999999" customHeight="1" x14ac:dyDescent="0.25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899999999999999" customHeight="1" x14ac:dyDescent="0.25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103" si="0">IF(Q40="",999,Q40)</f>
        <v>999</v>
      </c>
      <c r="M40" s="288">
        <f t="shared" ref="M40:M103" si="1">IF(P40=999,999,1)</f>
        <v>999</v>
      </c>
      <c r="N40" s="283"/>
      <c r="O40" s="245"/>
      <c r="P40" s="116">
        <f t="shared" ref="P40:P103" si="2">IF(N40="DA",1,IF(N40="WC",2,IF(N40="SE",3,IF(N40="Q",4,IF(N40="LL",5,999)))))</f>
        <v>999</v>
      </c>
      <c r="Q40" s="98"/>
    </row>
    <row r="41" spans="1:17" s="11" customFormat="1" ht="18.899999999999999" customHeight="1" x14ac:dyDescent="0.25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899999999999999" customHeight="1" x14ac:dyDescent="0.25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899999999999999" customHeight="1" x14ac:dyDescent="0.25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899999999999999" customHeight="1" x14ac:dyDescent="0.25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899999999999999" customHeight="1" x14ac:dyDescent="0.25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899999999999999" customHeight="1" x14ac:dyDescent="0.25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899999999999999" customHeight="1" x14ac:dyDescent="0.25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899999999999999" customHeight="1" x14ac:dyDescent="0.25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899999999999999" customHeight="1" x14ac:dyDescent="0.25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899999999999999" customHeight="1" x14ac:dyDescent="0.25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899999999999999" customHeight="1" x14ac:dyDescent="0.25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899999999999999" customHeight="1" x14ac:dyDescent="0.25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899999999999999" customHeight="1" x14ac:dyDescent="0.25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899999999999999" customHeight="1" x14ac:dyDescent="0.25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899999999999999" customHeight="1" x14ac:dyDescent="0.25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899999999999999" customHeight="1" x14ac:dyDescent="0.25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899999999999999" customHeight="1" x14ac:dyDescent="0.25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899999999999999" customHeight="1" x14ac:dyDescent="0.25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899999999999999" customHeight="1" x14ac:dyDescent="0.25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899999999999999" customHeight="1" x14ac:dyDescent="0.25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899999999999999" customHeight="1" x14ac:dyDescent="0.25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899999999999999" customHeight="1" x14ac:dyDescent="0.25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899999999999999" customHeight="1" x14ac:dyDescent="0.25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899999999999999" customHeight="1" x14ac:dyDescent="0.25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899999999999999" customHeight="1" x14ac:dyDescent="0.25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899999999999999" customHeight="1" x14ac:dyDescent="0.25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899999999999999" customHeight="1" x14ac:dyDescent="0.25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899999999999999" customHeight="1" x14ac:dyDescent="0.25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899999999999999" customHeight="1" x14ac:dyDescent="0.25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899999999999999" customHeight="1" x14ac:dyDescent="0.25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899999999999999" customHeight="1" x14ac:dyDescent="0.25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899999999999999" customHeight="1" x14ac:dyDescent="0.25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si="0"/>
        <v>999</v>
      </c>
      <c r="M72" s="288">
        <f t="shared" si="1"/>
        <v>999</v>
      </c>
      <c r="N72" s="283"/>
      <c r="O72" s="245"/>
      <c r="P72" s="116">
        <f t="shared" si="2"/>
        <v>999</v>
      </c>
      <c r="Q72" s="98"/>
    </row>
    <row r="73" spans="1:17" s="11" customFormat="1" ht="18.899999999999999" customHeight="1" x14ac:dyDescent="0.25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0"/>
        <v>999</v>
      </c>
      <c r="M73" s="288">
        <f t="shared" si="1"/>
        <v>999</v>
      </c>
      <c r="N73" s="283"/>
      <c r="O73" s="245"/>
      <c r="P73" s="116">
        <f t="shared" si="2"/>
        <v>999</v>
      </c>
      <c r="Q73" s="98"/>
    </row>
    <row r="74" spans="1:17" s="11" customFormat="1" ht="18.899999999999999" customHeight="1" x14ac:dyDescent="0.25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0"/>
        <v>999</v>
      </c>
      <c r="M74" s="288">
        <f t="shared" si="1"/>
        <v>999</v>
      </c>
      <c r="N74" s="283"/>
      <c r="O74" s="245"/>
      <c r="P74" s="116">
        <f t="shared" si="2"/>
        <v>999</v>
      </c>
      <c r="Q74" s="98"/>
    </row>
    <row r="75" spans="1:17" s="11" customFormat="1" ht="18.899999999999999" customHeight="1" x14ac:dyDescent="0.25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0"/>
        <v>999</v>
      </c>
      <c r="M75" s="288">
        <f t="shared" si="1"/>
        <v>999</v>
      </c>
      <c r="N75" s="283"/>
      <c r="O75" s="245"/>
      <c r="P75" s="116">
        <f t="shared" si="2"/>
        <v>999</v>
      </c>
      <c r="Q75" s="98"/>
    </row>
    <row r="76" spans="1:17" s="11" customFormat="1" ht="18.899999999999999" customHeight="1" x14ac:dyDescent="0.25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0"/>
        <v>999</v>
      </c>
      <c r="M76" s="288">
        <f t="shared" si="1"/>
        <v>999</v>
      </c>
      <c r="N76" s="283"/>
      <c r="O76" s="245"/>
      <c r="P76" s="116">
        <f t="shared" si="2"/>
        <v>999</v>
      </c>
      <c r="Q76" s="98"/>
    </row>
    <row r="77" spans="1:17" s="11" customFormat="1" ht="18.899999999999999" customHeight="1" x14ac:dyDescent="0.25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0"/>
        <v>999</v>
      </c>
      <c r="M77" s="288">
        <f t="shared" si="1"/>
        <v>999</v>
      </c>
      <c r="N77" s="283"/>
      <c r="O77" s="245"/>
      <c r="P77" s="116">
        <f t="shared" si="2"/>
        <v>999</v>
      </c>
      <c r="Q77" s="98"/>
    </row>
    <row r="78" spans="1:17" s="11" customFormat="1" ht="18.899999999999999" customHeight="1" x14ac:dyDescent="0.25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0"/>
        <v>999</v>
      </c>
      <c r="M78" s="288">
        <f t="shared" si="1"/>
        <v>999</v>
      </c>
      <c r="N78" s="283"/>
      <c r="O78" s="245"/>
      <c r="P78" s="116">
        <f t="shared" si="2"/>
        <v>999</v>
      </c>
      <c r="Q78" s="98"/>
    </row>
    <row r="79" spans="1:17" s="11" customFormat="1" ht="18.899999999999999" customHeight="1" x14ac:dyDescent="0.25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0"/>
        <v>999</v>
      </c>
      <c r="M79" s="288">
        <f t="shared" si="1"/>
        <v>999</v>
      </c>
      <c r="N79" s="283"/>
      <c r="O79" s="245"/>
      <c r="P79" s="116">
        <f t="shared" si="2"/>
        <v>999</v>
      </c>
      <c r="Q79" s="98"/>
    </row>
    <row r="80" spans="1:17" s="11" customFormat="1" ht="18.899999999999999" customHeight="1" x14ac:dyDescent="0.25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0"/>
        <v>999</v>
      </c>
      <c r="M80" s="288">
        <f t="shared" si="1"/>
        <v>999</v>
      </c>
      <c r="N80" s="283"/>
      <c r="O80" s="245"/>
      <c r="P80" s="116">
        <f t="shared" si="2"/>
        <v>999</v>
      </c>
      <c r="Q80" s="98"/>
    </row>
    <row r="81" spans="1:17" s="11" customFormat="1" ht="18.899999999999999" customHeight="1" x14ac:dyDescent="0.25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0"/>
        <v>999</v>
      </c>
      <c r="M81" s="288">
        <f t="shared" si="1"/>
        <v>999</v>
      </c>
      <c r="N81" s="283"/>
      <c r="O81" s="245"/>
      <c r="P81" s="116">
        <f t="shared" si="2"/>
        <v>999</v>
      </c>
      <c r="Q81" s="98"/>
    </row>
    <row r="82" spans="1:17" s="11" customFormat="1" ht="18.899999999999999" customHeight="1" x14ac:dyDescent="0.25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0"/>
        <v>999</v>
      </c>
      <c r="M82" s="288">
        <f t="shared" si="1"/>
        <v>999</v>
      </c>
      <c r="N82" s="283"/>
      <c r="O82" s="245"/>
      <c r="P82" s="116">
        <f t="shared" si="2"/>
        <v>999</v>
      </c>
      <c r="Q82" s="98"/>
    </row>
    <row r="83" spans="1:17" s="11" customFormat="1" ht="18.899999999999999" customHeight="1" x14ac:dyDescent="0.25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0"/>
        <v>999</v>
      </c>
      <c r="M83" s="288">
        <f t="shared" si="1"/>
        <v>999</v>
      </c>
      <c r="N83" s="283"/>
      <c r="O83" s="245"/>
      <c r="P83" s="116">
        <f t="shared" si="2"/>
        <v>999</v>
      </c>
      <c r="Q83" s="98"/>
    </row>
    <row r="84" spans="1:17" s="11" customFormat="1" ht="18.899999999999999" customHeight="1" x14ac:dyDescent="0.25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0"/>
        <v>999</v>
      </c>
      <c r="M84" s="288">
        <f t="shared" si="1"/>
        <v>999</v>
      </c>
      <c r="N84" s="283"/>
      <c r="O84" s="245"/>
      <c r="P84" s="116">
        <f t="shared" si="2"/>
        <v>999</v>
      </c>
      <c r="Q84" s="98"/>
    </row>
    <row r="85" spans="1:17" s="11" customFormat="1" ht="18.899999999999999" customHeight="1" x14ac:dyDescent="0.25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0"/>
        <v>999</v>
      </c>
      <c r="M85" s="288">
        <f t="shared" si="1"/>
        <v>999</v>
      </c>
      <c r="N85" s="283"/>
      <c r="O85" s="245"/>
      <c r="P85" s="116">
        <f t="shared" si="2"/>
        <v>999</v>
      </c>
      <c r="Q85" s="98"/>
    </row>
    <row r="86" spans="1:17" s="11" customFormat="1" ht="18.899999999999999" customHeight="1" x14ac:dyDescent="0.25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0"/>
        <v>999</v>
      </c>
      <c r="M86" s="288">
        <f t="shared" si="1"/>
        <v>999</v>
      </c>
      <c r="N86" s="283"/>
      <c r="O86" s="245"/>
      <c r="P86" s="116">
        <f t="shared" si="2"/>
        <v>999</v>
      </c>
      <c r="Q86" s="98"/>
    </row>
    <row r="87" spans="1:17" s="11" customFormat="1" ht="18.899999999999999" customHeight="1" x14ac:dyDescent="0.25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0"/>
        <v>999</v>
      </c>
      <c r="M87" s="288">
        <f t="shared" si="1"/>
        <v>999</v>
      </c>
      <c r="N87" s="283"/>
      <c r="O87" s="245"/>
      <c r="P87" s="116">
        <f t="shared" si="2"/>
        <v>999</v>
      </c>
      <c r="Q87" s="98"/>
    </row>
    <row r="88" spans="1:17" s="11" customFormat="1" ht="18.899999999999999" customHeight="1" x14ac:dyDescent="0.25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0"/>
        <v>999</v>
      </c>
      <c r="M88" s="288">
        <f t="shared" si="1"/>
        <v>999</v>
      </c>
      <c r="N88" s="283"/>
      <c r="O88" s="245"/>
      <c r="P88" s="116">
        <f t="shared" si="2"/>
        <v>999</v>
      </c>
      <c r="Q88" s="98"/>
    </row>
    <row r="89" spans="1:17" s="11" customFormat="1" ht="18.899999999999999" customHeight="1" x14ac:dyDescent="0.25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0"/>
        <v>999</v>
      </c>
      <c r="M89" s="288">
        <f t="shared" si="1"/>
        <v>999</v>
      </c>
      <c r="N89" s="283"/>
      <c r="O89" s="245"/>
      <c r="P89" s="116">
        <f t="shared" si="2"/>
        <v>999</v>
      </c>
      <c r="Q89" s="98"/>
    </row>
    <row r="90" spans="1:17" s="11" customFormat="1" ht="18.899999999999999" customHeight="1" x14ac:dyDescent="0.25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0"/>
        <v>999</v>
      </c>
      <c r="M90" s="288">
        <f t="shared" si="1"/>
        <v>999</v>
      </c>
      <c r="N90" s="283"/>
      <c r="O90" s="245"/>
      <c r="P90" s="116">
        <f t="shared" si="2"/>
        <v>999</v>
      </c>
      <c r="Q90" s="98"/>
    </row>
    <row r="91" spans="1:17" s="11" customFormat="1" ht="18.899999999999999" customHeight="1" x14ac:dyDescent="0.25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0"/>
        <v>999</v>
      </c>
      <c r="M91" s="288">
        <f t="shared" si="1"/>
        <v>999</v>
      </c>
      <c r="N91" s="283"/>
      <c r="O91" s="245"/>
      <c r="P91" s="116">
        <f t="shared" si="2"/>
        <v>999</v>
      </c>
      <c r="Q91" s="98"/>
    </row>
    <row r="92" spans="1:17" s="11" customFormat="1" ht="18.899999999999999" customHeight="1" x14ac:dyDescent="0.25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0"/>
        <v>999</v>
      </c>
      <c r="M92" s="288">
        <f t="shared" si="1"/>
        <v>999</v>
      </c>
      <c r="N92" s="283"/>
      <c r="O92" s="245"/>
      <c r="P92" s="116">
        <f t="shared" si="2"/>
        <v>999</v>
      </c>
      <c r="Q92" s="98"/>
    </row>
    <row r="93" spans="1:17" s="11" customFormat="1" ht="18.899999999999999" customHeight="1" x14ac:dyDescent="0.25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0"/>
        <v>999</v>
      </c>
      <c r="M93" s="288">
        <f t="shared" si="1"/>
        <v>999</v>
      </c>
      <c r="N93" s="283"/>
      <c r="O93" s="245"/>
      <c r="P93" s="116">
        <f t="shared" si="2"/>
        <v>999</v>
      </c>
      <c r="Q93" s="98"/>
    </row>
    <row r="94" spans="1:17" s="11" customFormat="1" ht="18.899999999999999" customHeight="1" x14ac:dyDescent="0.25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0"/>
        <v>999</v>
      </c>
      <c r="M94" s="288">
        <f t="shared" si="1"/>
        <v>999</v>
      </c>
      <c r="N94" s="283"/>
      <c r="O94" s="245"/>
      <c r="P94" s="116">
        <f t="shared" si="2"/>
        <v>999</v>
      </c>
      <c r="Q94" s="98"/>
    </row>
    <row r="95" spans="1:17" s="11" customFormat="1" ht="18.899999999999999" customHeight="1" x14ac:dyDescent="0.25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0"/>
        <v>999</v>
      </c>
      <c r="M95" s="288">
        <f t="shared" si="1"/>
        <v>999</v>
      </c>
      <c r="N95" s="283"/>
      <c r="O95" s="245"/>
      <c r="P95" s="116">
        <f t="shared" si="2"/>
        <v>999</v>
      </c>
      <c r="Q95" s="98"/>
    </row>
    <row r="96" spans="1:17" s="11" customFormat="1" ht="18.899999999999999" customHeight="1" x14ac:dyDescent="0.25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0"/>
        <v>999</v>
      </c>
      <c r="M96" s="288">
        <f t="shared" si="1"/>
        <v>999</v>
      </c>
      <c r="N96" s="283"/>
      <c r="O96" s="245"/>
      <c r="P96" s="116">
        <f t="shared" si="2"/>
        <v>999</v>
      </c>
      <c r="Q96" s="98"/>
    </row>
    <row r="97" spans="1:17" s="11" customFormat="1" ht="18.899999999999999" customHeight="1" x14ac:dyDescent="0.25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0"/>
        <v>999</v>
      </c>
      <c r="M97" s="288">
        <f t="shared" si="1"/>
        <v>999</v>
      </c>
      <c r="N97" s="283"/>
      <c r="O97" s="245"/>
      <c r="P97" s="116">
        <f t="shared" si="2"/>
        <v>999</v>
      </c>
      <c r="Q97" s="98"/>
    </row>
    <row r="98" spans="1:17" s="11" customFormat="1" ht="18.899999999999999" customHeight="1" x14ac:dyDescent="0.25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0"/>
        <v>999</v>
      </c>
      <c r="M98" s="288">
        <f t="shared" si="1"/>
        <v>999</v>
      </c>
      <c r="N98" s="283"/>
      <c r="O98" s="245"/>
      <c r="P98" s="116">
        <f t="shared" si="2"/>
        <v>999</v>
      </c>
      <c r="Q98" s="98"/>
    </row>
    <row r="99" spans="1:17" s="11" customFormat="1" ht="18.899999999999999" customHeight="1" x14ac:dyDescent="0.25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0"/>
        <v>999</v>
      </c>
      <c r="M99" s="288">
        <f t="shared" si="1"/>
        <v>999</v>
      </c>
      <c r="N99" s="283"/>
      <c r="O99" s="245"/>
      <c r="P99" s="116">
        <f t="shared" si="2"/>
        <v>999</v>
      </c>
      <c r="Q99" s="98"/>
    </row>
    <row r="100" spans="1:17" s="11" customFormat="1" ht="18.899999999999999" customHeight="1" x14ac:dyDescent="0.25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0"/>
        <v>999</v>
      </c>
      <c r="M100" s="288">
        <f t="shared" si="1"/>
        <v>999</v>
      </c>
      <c r="N100" s="283"/>
      <c r="O100" s="245"/>
      <c r="P100" s="116">
        <f t="shared" si="2"/>
        <v>999</v>
      </c>
      <c r="Q100" s="98"/>
    </row>
    <row r="101" spans="1:17" s="11" customFormat="1" ht="18.899999999999999" customHeight="1" x14ac:dyDescent="0.25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si="0"/>
        <v>999</v>
      </c>
      <c r="M101" s="288">
        <f t="shared" si="1"/>
        <v>999</v>
      </c>
      <c r="N101" s="283"/>
      <c r="O101" s="245"/>
      <c r="P101" s="116">
        <f t="shared" si="2"/>
        <v>999</v>
      </c>
      <c r="Q101" s="98"/>
    </row>
    <row r="102" spans="1:17" s="11" customFormat="1" ht="18.899999999999999" customHeight="1" x14ac:dyDescent="0.25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0"/>
        <v>999</v>
      </c>
      <c r="M102" s="288">
        <f t="shared" si="1"/>
        <v>999</v>
      </c>
      <c r="N102" s="283"/>
      <c r="O102" s="245"/>
      <c r="P102" s="116">
        <f t="shared" si="2"/>
        <v>999</v>
      </c>
      <c r="Q102" s="98"/>
    </row>
    <row r="103" spans="1:17" s="11" customFormat="1" ht="18.899999999999999" customHeight="1" x14ac:dyDescent="0.25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0"/>
        <v>999</v>
      </c>
      <c r="M103" s="288">
        <f t="shared" si="1"/>
        <v>999</v>
      </c>
      <c r="N103" s="283"/>
      <c r="O103" s="245"/>
      <c r="P103" s="116">
        <f t="shared" si="2"/>
        <v>999</v>
      </c>
      <c r="Q103" s="98"/>
    </row>
    <row r="104" spans="1:17" s="11" customFormat="1" ht="18.899999999999999" customHeight="1" x14ac:dyDescent="0.25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ref="L104:L156" si="3">IF(Q104="",999,Q104)</f>
        <v>999</v>
      </c>
      <c r="M104" s="288">
        <f t="shared" ref="M104:M156" si="4">IF(P104=999,999,1)</f>
        <v>999</v>
      </c>
      <c r="N104" s="283"/>
      <c r="O104" s="245"/>
      <c r="P104" s="116">
        <f t="shared" ref="P104:P156" si="5">IF(N104="DA",1,IF(N104="WC",2,IF(N104="SE",3,IF(N104="Q",4,IF(N104="LL",5,999)))))</f>
        <v>999</v>
      </c>
      <c r="Q104" s="98"/>
    </row>
    <row r="105" spans="1:17" s="11" customFormat="1" ht="18.899999999999999" customHeight="1" x14ac:dyDescent="0.25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3"/>
        <v>999</v>
      </c>
      <c r="M105" s="288">
        <f t="shared" si="4"/>
        <v>999</v>
      </c>
      <c r="N105" s="283"/>
      <c r="O105" s="245"/>
      <c r="P105" s="116">
        <f t="shared" si="5"/>
        <v>999</v>
      </c>
      <c r="Q105" s="98"/>
    </row>
    <row r="106" spans="1:17" s="11" customFormat="1" ht="18.899999999999999" customHeight="1" x14ac:dyDescent="0.25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3"/>
        <v>999</v>
      </c>
      <c r="M106" s="288">
        <f t="shared" si="4"/>
        <v>999</v>
      </c>
      <c r="N106" s="283"/>
      <c r="O106" s="245"/>
      <c r="P106" s="116">
        <f t="shared" si="5"/>
        <v>999</v>
      </c>
      <c r="Q106" s="98"/>
    </row>
    <row r="107" spans="1:17" s="11" customFormat="1" ht="18.899999999999999" customHeight="1" x14ac:dyDescent="0.25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3"/>
        <v>999</v>
      </c>
      <c r="M107" s="288">
        <f t="shared" si="4"/>
        <v>999</v>
      </c>
      <c r="N107" s="283"/>
      <c r="O107" s="245"/>
      <c r="P107" s="116">
        <f t="shared" si="5"/>
        <v>999</v>
      </c>
      <c r="Q107" s="98"/>
    </row>
    <row r="108" spans="1:17" s="11" customFormat="1" ht="18.899999999999999" customHeight="1" x14ac:dyDescent="0.25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3"/>
        <v>999</v>
      </c>
      <c r="M108" s="288">
        <f t="shared" si="4"/>
        <v>999</v>
      </c>
      <c r="N108" s="283"/>
      <c r="O108" s="245"/>
      <c r="P108" s="116">
        <f t="shared" si="5"/>
        <v>999</v>
      </c>
      <c r="Q108" s="98"/>
    </row>
    <row r="109" spans="1:17" s="11" customFormat="1" ht="18.899999999999999" customHeight="1" x14ac:dyDescent="0.25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3"/>
        <v>999</v>
      </c>
      <c r="M109" s="288">
        <f t="shared" si="4"/>
        <v>999</v>
      </c>
      <c r="N109" s="283"/>
      <c r="O109" s="245"/>
      <c r="P109" s="116">
        <f t="shared" si="5"/>
        <v>999</v>
      </c>
      <c r="Q109" s="98"/>
    </row>
    <row r="110" spans="1:17" s="11" customFormat="1" ht="18.899999999999999" customHeight="1" x14ac:dyDescent="0.25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3"/>
        <v>999</v>
      </c>
      <c r="M110" s="288">
        <f t="shared" si="4"/>
        <v>999</v>
      </c>
      <c r="N110" s="283"/>
      <c r="O110" s="245"/>
      <c r="P110" s="116">
        <f t="shared" si="5"/>
        <v>999</v>
      </c>
      <c r="Q110" s="98"/>
    </row>
    <row r="111" spans="1:17" s="11" customFormat="1" ht="18.899999999999999" customHeight="1" x14ac:dyDescent="0.25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3"/>
        <v>999</v>
      </c>
      <c r="M111" s="288">
        <f t="shared" si="4"/>
        <v>999</v>
      </c>
      <c r="N111" s="283"/>
      <c r="O111" s="245"/>
      <c r="P111" s="116">
        <f t="shared" si="5"/>
        <v>999</v>
      </c>
      <c r="Q111" s="98"/>
    </row>
    <row r="112" spans="1:17" s="11" customFormat="1" ht="18.899999999999999" customHeight="1" x14ac:dyDescent="0.25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3"/>
        <v>999</v>
      </c>
      <c r="M112" s="288">
        <f t="shared" si="4"/>
        <v>999</v>
      </c>
      <c r="N112" s="283"/>
      <c r="O112" s="245"/>
      <c r="P112" s="116">
        <f t="shared" si="5"/>
        <v>999</v>
      </c>
      <c r="Q112" s="98"/>
    </row>
    <row r="113" spans="1:17" s="11" customFormat="1" ht="18.899999999999999" customHeight="1" x14ac:dyDescent="0.25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3"/>
        <v>999</v>
      </c>
      <c r="M113" s="288">
        <f t="shared" si="4"/>
        <v>999</v>
      </c>
      <c r="N113" s="283"/>
      <c r="O113" s="245"/>
      <c r="P113" s="116">
        <f t="shared" si="5"/>
        <v>999</v>
      </c>
      <c r="Q113" s="98"/>
    </row>
    <row r="114" spans="1:17" s="11" customFormat="1" ht="18.899999999999999" customHeight="1" x14ac:dyDescent="0.25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3"/>
        <v>999</v>
      </c>
      <c r="M114" s="288">
        <f t="shared" si="4"/>
        <v>999</v>
      </c>
      <c r="N114" s="283"/>
      <c r="O114" s="245"/>
      <c r="P114" s="116">
        <f t="shared" si="5"/>
        <v>999</v>
      </c>
      <c r="Q114" s="98"/>
    </row>
    <row r="115" spans="1:17" s="11" customFormat="1" ht="18.899999999999999" customHeight="1" x14ac:dyDescent="0.25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3"/>
        <v>999</v>
      </c>
      <c r="M115" s="288">
        <f t="shared" si="4"/>
        <v>999</v>
      </c>
      <c r="N115" s="283"/>
      <c r="O115" s="245"/>
      <c r="P115" s="116">
        <f t="shared" si="5"/>
        <v>999</v>
      </c>
      <c r="Q115" s="98"/>
    </row>
    <row r="116" spans="1:17" s="11" customFormat="1" ht="18.899999999999999" customHeight="1" x14ac:dyDescent="0.25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3"/>
        <v>999</v>
      </c>
      <c r="M116" s="288">
        <f t="shared" si="4"/>
        <v>999</v>
      </c>
      <c r="N116" s="283"/>
      <c r="O116" s="245"/>
      <c r="P116" s="116">
        <f t="shared" si="5"/>
        <v>999</v>
      </c>
      <c r="Q116" s="98"/>
    </row>
    <row r="117" spans="1:17" s="11" customFormat="1" ht="18.899999999999999" customHeight="1" x14ac:dyDescent="0.25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3"/>
        <v>999</v>
      </c>
      <c r="M117" s="288">
        <f t="shared" si="4"/>
        <v>999</v>
      </c>
      <c r="N117" s="283"/>
      <c r="O117" s="245"/>
      <c r="P117" s="116">
        <f t="shared" si="5"/>
        <v>999</v>
      </c>
      <c r="Q117" s="98"/>
    </row>
    <row r="118" spans="1:17" s="11" customFormat="1" ht="18.899999999999999" customHeight="1" x14ac:dyDescent="0.25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3"/>
        <v>999</v>
      </c>
      <c r="M118" s="288">
        <f t="shared" si="4"/>
        <v>999</v>
      </c>
      <c r="N118" s="283"/>
      <c r="O118" s="245"/>
      <c r="P118" s="116">
        <f t="shared" si="5"/>
        <v>999</v>
      </c>
      <c r="Q118" s="98"/>
    </row>
    <row r="119" spans="1:17" s="11" customFormat="1" ht="18.899999999999999" customHeight="1" x14ac:dyDescent="0.25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3"/>
        <v>999</v>
      </c>
      <c r="M119" s="288">
        <f t="shared" si="4"/>
        <v>999</v>
      </c>
      <c r="N119" s="283"/>
      <c r="O119" s="245"/>
      <c r="P119" s="116">
        <f t="shared" si="5"/>
        <v>999</v>
      </c>
      <c r="Q119" s="98"/>
    </row>
    <row r="120" spans="1:17" s="11" customFormat="1" ht="18.899999999999999" customHeight="1" x14ac:dyDescent="0.25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3"/>
        <v>999</v>
      </c>
      <c r="M120" s="288">
        <f t="shared" si="4"/>
        <v>999</v>
      </c>
      <c r="N120" s="283"/>
      <c r="O120" s="245"/>
      <c r="P120" s="116">
        <f t="shared" si="5"/>
        <v>999</v>
      </c>
      <c r="Q120" s="98"/>
    </row>
    <row r="121" spans="1:17" s="11" customFormat="1" ht="18.899999999999999" customHeight="1" x14ac:dyDescent="0.25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3"/>
        <v>999</v>
      </c>
      <c r="M121" s="288">
        <f t="shared" si="4"/>
        <v>999</v>
      </c>
      <c r="N121" s="283"/>
      <c r="O121" s="245"/>
      <c r="P121" s="116">
        <f t="shared" si="5"/>
        <v>999</v>
      </c>
      <c r="Q121" s="98"/>
    </row>
    <row r="122" spans="1:17" s="11" customFormat="1" ht="18.899999999999999" customHeight="1" x14ac:dyDescent="0.25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3"/>
        <v>999</v>
      </c>
      <c r="M122" s="288">
        <f t="shared" si="4"/>
        <v>999</v>
      </c>
      <c r="N122" s="283"/>
      <c r="O122" s="245"/>
      <c r="P122" s="116">
        <f t="shared" si="5"/>
        <v>999</v>
      </c>
      <c r="Q122" s="98"/>
    </row>
    <row r="123" spans="1:17" s="11" customFormat="1" ht="18.899999999999999" customHeight="1" x14ac:dyDescent="0.25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3"/>
        <v>999</v>
      </c>
      <c r="M123" s="288">
        <f t="shared" si="4"/>
        <v>999</v>
      </c>
      <c r="N123" s="283"/>
      <c r="O123" s="245"/>
      <c r="P123" s="116">
        <f t="shared" si="5"/>
        <v>999</v>
      </c>
      <c r="Q123" s="98"/>
    </row>
    <row r="124" spans="1:17" s="11" customFormat="1" ht="18.899999999999999" customHeight="1" x14ac:dyDescent="0.25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3"/>
        <v>999</v>
      </c>
      <c r="M124" s="288">
        <f t="shared" si="4"/>
        <v>999</v>
      </c>
      <c r="N124" s="283"/>
      <c r="O124" s="245"/>
      <c r="P124" s="116">
        <f t="shared" si="5"/>
        <v>999</v>
      </c>
      <c r="Q124" s="98"/>
    </row>
    <row r="125" spans="1:17" s="11" customFormat="1" ht="18.899999999999999" customHeight="1" x14ac:dyDescent="0.25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3"/>
        <v>999</v>
      </c>
      <c r="M125" s="288">
        <f t="shared" si="4"/>
        <v>999</v>
      </c>
      <c r="N125" s="283"/>
      <c r="O125" s="245"/>
      <c r="P125" s="116">
        <f t="shared" si="5"/>
        <v>999</v>
      </c>
      <c r="Q125" s="98"/>
    </row>
    <row r="126" spans="1:17" s="11" customFormat="1" ht="18.899999999999999" customHeight="1" x14ac:dyDescent="0.25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3"/>
        <v>999</v>
      </c>
      <c r="M126" s="288">
        <f t="shared" si="4"/>
        <v>999</v>
      </c>
      <c r="N126" s="283"/>
      <c r="O126" s="245"/>
      <c r="P126" s="116">
        <f t="shared" si="5"/>
        <v>999</v>
      </c>
      <c r="Q126" s="98"/>
    </row>
    <row r="127" spans="1:17" s="11" customFormat="1" ht="18.899999999999999" customHeight="1" x14ac:dyDescent="0.25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3"/>
        <v>999</v>
      </c>
      <c r="M127" s="288">
        <f t="shared" si="4"/>
        <v>999</v>
      </c>
      <c r="N127" s="283"/>
      <c r="O127" s="245"/>
      <c r="P127" s="116">
        <f t="shared" si="5"/>
        <v>999</v>
      </c>
      <c r="Q127" s="98"/>
    </row>
    <row r="128" spans="1:17" s="11" customFormat="1" ht="18.899999999999999" customHeight="1" x14ac:dyDescent="0.25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3"/>
        <v>999</v>
      </c>
      <c r="M128" s="288">
        <f t="shared" si="4"/>
        <v>999</v>
      </c>
      <c r="N128" s="283"/>
      <c r="O128" s="245"/>
      <c r="P128" s="116">
        <f t="shared" si="5"/>
        <v>999</v>
      </c>
      <c r="Q128" s="98"/>
    </row>
    <row r="129" spans="1:17" s="11" customFormat="1" ht="18.899999999999999" customHeight="1" x14ac:dyDescent="0.25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3"/>
        <v>999</v>
      </c>
      <c r="M129" s="288">
        <f t="shared" si="4"/>
        <v>999</v>
      </c>
      <c r="N129" s="283"/>
      <c r="O129" s="245"/>
      <c r="P129" s="116">
        <f t="shared" si="5"/>
        <v>999</v>
      </c>
      <c r="Q129" s="98"/>
    </row>
    <row r="130" spans="1:17" s="11" customFormat="1" ht="18.899999999999999" customHeight="1" x14ac:dyDescent="0.25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3"/>
        <v>999</v>
      </c>
      <c r="M130" s="288">
        <f t="shared" si="4"/>
        <v>999</v>
      </c>
      <c r="N130" s="283"/>
      <c r="O130" s="245"/>
      <c r="P130" s="116">
        <f t="shared" si="5"/>
        <v>999</v>
      </c>
      <c r="Q130" s="98"/>
    </row>
    <row r="131" spans="1:17" s="11" customFormat="1" ht="18.899999999999999" customHeight="1" x14ac:dyDescent="0.25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3"/>
        <v>999</v>
      </c>
      <c r="M131" s="288">
        <f t="shared" si="4"/>
        <v>999</v>
      </c>
      <c r="N131" s="283"/>
      <c r="O131" s="245"/>
      <c r="P131" s="116">
        <f t="shared" si="5"/>
        <v>999</v>
      </c>
      <c r="Q131" s="98"/>
    </row>
    <row r="132" spans="1:17" s="11" customFormat="1" ht="18.899999999999999" customHeight="1" x14ac:dyDescent="0.25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3"/>
        <v>999</v>
      </c>
      <c r="M132" s="288">
        <f t="shared" si="4"/>
        <v>999</v>
      </c>
      <c r="N132" s="283"/>
      <c r="O132" s="245"/>
      <c r="P132" s="116">
        <f t="shared" si="5"/>
        <v>999</v>
      </c>
      <c r="Q132" s="98"/>
    </row>
    <row r="133" spans="1:17" s="11" customFormat="1" ht="18.899999999999999" customHeight="1" x14ac:dyDescent="0.25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3"/>
        <v>999</v>
      </c>
      <c r="M133" s="288">
        <f t="shared" si="4"/>
        <v>999</v>
      </c>
      <c r="N133" s="283"/>
      <c r="O133" s="245"/>
      <c r="P133" s="116">
        <f t="shared" si="5"/>
        <v>999</v>
      </c>
      <c r="Q133" s="98"/>
    </row>
    <row r="134" spans="1:17" s="11" customFormat="1" ht="18.899999999999999" customHeight="1" x14ac:dyDescent="0.25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3"/>
        <v>999</v>
      </c>
      <c r="M134" s="288">
        <f t="shared" si="4"/>
        <v>999</v>
      </c>
      <c r="N134" s="283"/>
      <c r="O134" s="289"/>
      <c r="P134" s="290">
        <f t="shared" si="5"/>
        <v>999</v>
      </c>
      <c r="Q134" s="291"/>
    </row>
    <row r="135" spans="1:17" x14ac:dyDescent="0.25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si="3"/>
        <v>999</v>
      </c>
      <c r="M135" s="288">
        <f t="shared" si="4"/>
        <v>999</v>
      </c>
      <c r="N135" s="283"/>
      <c r="O135" s="245"/>
      <c r="P135" s="116">
        <f t="shared" si="5"/>
        <v>999</v>
      </c>
      <c r="Q135" s="98"/>
    </row>
    <row r="136" spans="1:17" x14ac:dyDescent="0.25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3"/>
        <v>999</v>
      </c>
      <c r="M136" s="288">
        <f t="shared" si="4"/>
        <v>999</v>
      </c>
      <c r="N136" s="283"/>
      <c r="O136" s="245"/>
      <c r="P136" s="116">
        <f t="shared" si="5"/>
        <v>999</v>
      </c>
      <c r="Q136" s="98"/>
    </row>
    <row r="137" spans="1:17" x14ac:dyDescent="0.25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3"/>
        <v>999</v>
      </c>
      <c r="M137" s="288">
        <f t="shared" si="4"/>
        <v>999</v>
      </c>
      <c r="N137" s="283"/>
      <c r="O137" s="245"/>
      <c r="P137" s="116">
        <f t="shared" si="5"/>
        <v>999</v>
      </c>
      <c r="Q137" s="98"/>
    </row>
    <row r="138" spans="1:17" x14ac:dyDescent="0.25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3"/>
        <v>999</v>
      </c>
      <c r="M138" s="288">
        <f t="shared" si="4"/>
        <v>999</v>
      </c>
      <c r="N138" s="283"/>
      <c r="O138" s="245"/>
      <c r="P138" s="116">
        <f t="shared" si="5"/>
        <v>999</v>
      </c>
      <c r="Q138" s="98"/>
    </row>
    <row r="139" spans="1:17" x14ac:dyDescent="0.25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3"/>
        <v>999</v>
      </c>
      <c r="M139" s="288">
        <f t="shared" si="4"/>
        <v>999</v>
      </c>
      <c r="N139" s="283"/>
      <c r="O139" s="245"/>
      <c r="P139" s="116">
        <f t="shared" si="5"/>
        <v>999</v>
      </c>
      <c r="Q139" s="98"/>
    </row>
    <row r="140" spans="1:17" x14ac:dyDescent="0.25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3"/>
        <v>999</v>
      </c>
      <c r="M140" s="288">
        <f t="shared" si="4"/>
        <v>999</v>
      </c>
      <c r="N140" s="283"/>
      <c r="O140" s="245"/>
      <c r="P140" s="116">
        <f t="shared" si="5"/>
        <v>999</v>
      </c>
      <c r="Q140" s="98"/>
    </row>
    <row r="141" spans="1:17" x14ac:dyDescent="0.25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3"/>
        <v>999</v>
      </c>
      <c r="M141" s="288">
        <f t="shared" si="4"/>
        <v>999</v>
      </c>
      <c r="N141" s="283"/>
      <c r="O141" s="289"/>
      <c r="P141" s="290">
        <f t="shared" si="5"/>
        <v>999</v>
      </c>
      <c r="Q141" s="291"/>
    </row>
    <row r="142" spans="1:17" x14ac:dyDescent="0.25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3"/>
        <v>999</v>
      </c>
      <c r="M142" s="288">
        <f t="shared" si="4"/>
        <v>999</v>
      </c>
      <c r="N142" s="283"/>
      <c r="O142" s="245"/>
      <c r="P142" s="116">
        <f t="shared" si="5"/>
        <v>999</v>
      </c>
      <c r="Q142" s="98"/>
    </row>
    <row r="143" spans="1:17" x14ac:dyDescent="0.25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3"/>
        <v>999</v>
      </c>
      <c r="M143" s="288">
        <f t="shared" si="4"/>
        <v>999</v>
      </c>
      <c r="N143" s="283"/>
      <c r="O143" s="245"/>
      <c r="P143" s="116">
        <f t="shared" si="5"/>
        <v>999</v>
      </c>
      <c r="Q143" s="98"/>
    </row>
    <row r="144" spans="1:17" x14ac:dyDescent="0.25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3"/>
        <v>999</v>
      </c>
      <c r="M144" s="288">
        <f t="shared" si="4"/>
        <v>999</v>
      </c>
      <c r="N144" s="283"/>
      <c r="O144" s="245"/>
      <c r="P144" s="116">
        <f t="shared" si="5"/>
        <v>999</v>
      </c>
      <c r="Q144" s="98"/>
    </row>
    <row r="145" spans="1:17" x14ac:dyDescent="0.25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3"/>
        <v>999</v>
      </c>
      <c r="M145" s="288">
        <f t="shared" si="4"/>
        <v>999</v>
      </c>
      <c r="N145" s="283"/>
      <c r="O145" s="245"/>
      <c r="P145" s="116">
        <f t="shared" si="5"/>
        <v>999</v>
      </c>
      <c r="Q145" s="98"/>
    </row>
    <row r="146" spans="1:17" x14ac:dyDescent="0.25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3"/>
        <v>999</v>
      </c>
      <c r="M146" s="288">
        <f t="shared" si="4"/>
        <v>999</v>
      </c>
      <c r="N146" s="283"/>
      <c r="O146" s="245"/>
      <c r="P146" s="116">
        <f t="shared" si="5"/>
        <v>999</v>
      </c>
      <c r="Q146" s="98"/>
    </row>
    <row r="147" spans="1:17" x14ac:dyDescent="0.25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3"/>
        <v>999</v>
      </c>
      <c r="M147" s="288">
        <f t="shared" si="4"/>
        <v>999</v>
      </c>
      <c r="N147" s="283"/>
      <c r="O147" s="245"/>
      <c r="P147" s="116">
        <f t="shared" si="5"/>
        <v>999</v>
      </c>
      <c r="Q147" s="98"/>
    </row>
    <row r="148" spans="1:17" x14ac:dyDescent="0.25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3"/>
        <v>999</v>
      </c>
      <c r="M148" s="288">
        <f t="shared" si="4"/>
        <v>999</v>
      </c>
      <c r="N148" s="283"/>
      <c r="O148" s="289"/>
      <c r="P148" s="290">
        <f t="shared" si="5"/>
        <v>999</v>
      </c>
      <c r="Q148" s="291"/>
    </row>
    <row r="149" spans="1:17" x14ac:dyDescent="0.25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3"/>
        <v>999</v>
      </c>
      <c r="M149" s="288">
        <f t="shared" si="4"/>
        <v>999</v>
      </c>
      <c r="N149" s="283"/>
      <c r="O149" s="245"/>
      <c r="P149" s="116">
        <f t="shared" si="5"/>
        <v>999</v>
      </c>
      <c r="Q149" s="98"/>
    </row>
    <row r="150" spans="1:17" x14ac:dyDescent="0.25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3"/>
        <v>999</v>
      </c>
      <c r="M150" s="288">
        <f t="shared" si="4"/>
        <v>999</v>
      </c>
      <c r="N150" s="283"/>
      <c r="O150" s="245"/>
      <c r="P150" s="116">
        <f t="shared" si="5"/>
        <v>999</v>
      </c>
      <c r="Q150" s="98"/>
    </row>
    <row r="151" spans="1:17" x14ac:dyDescent="0.25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3"/>
        <v>999</v>
      </c>
      <c r="M151" s="288">
        <f t="shared" si="4"/>
        <v>999</v>
      </c>
      <c r="N151" s="283"/>
      <c r="O151" s="245"/>
      <c r="P151" s="116">
        <f t="shared" si="5"/>
        <v>999</v>
      </c>
      <c r="Q151" s="98"/>
    </row>
    <row r="152" spans="1:17" x14ac:dyDescent="0.25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3"/>
        <v>999</v>
      </c>
      <c r="M152" s="288">
        <f t="shared" si="4"/>
        <v>999</v>
      </c>
      <c r="N152" s="283"/>
      <c r="O152" s="245"/>
      <c r="P152" s="116">
        <f t="shared" si="5"/>
        <v>999</v>
      </c>
      <c r="Q152" s="98"/>
    </row>
    <row r="153" spans="1:17" x14ac:dyDescent="0.25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3"/>
        <v>999</v>
      </c>
      <c r="M153" s="288">
        <f t="shared" si="4"/>
        <v>999</v>
      </c>
      <c r="N153" s="283"/>
      <c r="O153" s="245"/>
      <c r="P153" s="116">
        <f t="shared" si="5"/>
        <v>999</v>
      </c>
      <c r="Q153" s="98"/>
    </row>
    <row r="154" spans="1:17" x14ac:dyDescent="0.25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3"/>
        <v>999</v>
      </c>
      <c r="M154" s="288">
        <f t="shared" si="4"/>
        <v>999</v>
      </c>
      <c r="N154" s="283"/>
      <c r="O154" s="245"/>
      <c r="P154" s="116">
        <f t="shared" si="5"/>
        <v>999</v>
      </c>
      <c r="Q154" s="98"/>
    </row>
    <row r="155" spans="1:17" x14ac:dyDescent="0.25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3"/>
        <v>999</v>
      </c>
      <c r="M155" s="288">
        <f t="shared" si="4"/>
        <v>999</v>
      </c>
      <c r="N155" s="283"/>
      <c r="O155" s="245"/>
      <c r="P155" s="116">
        <f t="shared" si="5"/>
        <v>999</v>
      </c>
      <c r="Q155" s="98"/>
    </row>
    <row r="156" spans="1:17" x14ac:dyDescent="0.25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3"/>
        <v>999</v>
      </c>
      <c r="M156" s="288">
        <f t="shared" si="4"/>
        <v>999</v>
      </c>
      <c r="N156" s="283"/>
      <c r="O156" s="245"/>
      <c r="P156" s="116">
        <f t="shared" si="5"/>
        <v>999</v>
      </c>
      <c r="Q156" s="98"/>
    </row>
  </sheetData>
  <conditionalFormatting sqref="E7:E156">
    <cfRule type="expression" dxfId="122" priority="16" stopIfTrue="1">
      <formula>AND(ROUNDDOWN(($A$4-E7)/365.25,0)&lt;=13,G7&lt;&gt;"OK")</formula>
    </cfRule>
    <cfRule type="expression" dxfId="121" priority="17" stopIfTrue="1">
      <formula>AND(ROUNDDOWN(($A$4-E7)/365.25,0)&lt;=14,G7&lt;&gt;"OK")</formula>
    </cfRule>
    <cfRule type="expression" dxfId="120" priority="18" stopIfTrue="1">
      <formula>AND(ROUNDDOWN(($A$4-E7)/365.25,0)&lt;=17,G7&lt;&gt;"OK")</formula>
    </cfRule>
  </conditionalFormatting>
  <conditionalFormatting sqref="J7:J156">
    <cfRule type="cellIs" dxfId="119" priority="15" stopIfTrue="1" operator="equal">
      <formula>"Z"</formula>
    </cfRule>
  </conditionalFormatting>
  <conditionalFormatting sqref="A7:D156">
    <cfRule type="expression" dxfId="118" priority="14" stopIfTrue="1">
      <formula>$Q7&gt;=1</formula>
    </cfRule>
  </conditionalFormatting>
  <conditionalFormatting sqref="E7:E14">
    <cfRule type="expression" dxfId="117" priority="11" stopIfTrue="1">
      <formula>AND(ROUNDDOWN(($A$4-E7)/365.25,0)&lt;=13,G7&lt;&gt;"OK")</formula>
    </cfRule>
    <cfRule type="expression" dxfId="116" priority="12" stopIfTrue="1">
      <formula>AND(ROUNDDOWN(($A$4-E7)/365.25,0)&lt;=14,G7&lt;&gt;"OK")</formula>
    </cfRule>
    <cfRule type="expression" dxfId="115" priority="13" stopIfTrue="1">
      <formula>AND(ROUNDDOWN(($A$4-E7)/365.25,0)&lt;=17,G7&lt;&gt;"OK")</formula>
    </cfRule>
  </conditionalFormatting>
  <conditionalFormatting sqref="J7:J14">
    <cfRule type="cellIs" dxfId="114" priority="10" stopIfTrue="1" operator="equal">
      <formula>"Z"</formula>
    </cfRule>
  </conditionalFormatting>
  <conditionalFormatting sqref="B7:D14">
    <cfRule type="expression" dxfId="113" priority="9" stopIfTrue="1">
      <formula>$Q7&gt;=1</formula>
    </cfRule>
  </conditionalFormatting>
  <conditionalFormatting sqref="E7:E14">
    <cfRule type="expression" dxfId="112" priority="6" stopIfTrue="1">
      <formula>AND(ROUNDDOWN(($A$4-E7)/365.25,0)&lt;=13,G7&lt;&gt;"OK")</formula>
    </cfRule>
    <cfRule type="expression" dxfId="111" priority="7" stopIfTrue="1">
      <formula>AND(ROUNDDOWN(($A$4-E7)/365.25,0)&lt;=14,G7&lt;&gt;"OK")</formula>
    </cfRule>
    <cfRule type="expression" dxfId="110" priority="8" stopIfTrue="1">
      <formula>AND(ROUNDDOWN(($A$4-E7)/365.25,0)&lt;=17,G7&lt;&gt;"OK")</formula>
    </cfRule>
  </conditionalFormatting>
  <conditionalFormatting sqref="B7:D14">
    <cfRule type="expression" dxfId="109" priority="5" stopIfTrue="1">
      <formula>$Q7&gt;=1</formula>
    </cfRule>
  </conditionalFormatting>
  <conditionalFormatting sqref="E29:E37 E7:E27">
    <cfRule type="expression" dxfId="108" priority="2" stopIfTrue="1">
      <formula>AND(ROUNDDOWN(($A$4-E7)/365.25,0)&lt;=13,G7&lt;&gt;"OK")</formula>
    </cfRule>
    <cfRule type="expression" dxfId="107" priority="3" stopIfTrue="1">
      <formula>AND(ROUNDDOWN(($A$4-E7)/365.25,0)&lt;=14,G7&lt;&gt;"OK")</formula>
    </cfRule>
    <cfRule type="expression" dxfId="106" priority="4" stopIfTrue="1">
      <formula>AND(ROUNDDOWN(($A$4-E7)/365.25,0)&lt;=17,G7&lt;&gt;"OK")</formula>
    </cfRule>
  </conditionalFormatting>
  <conditionalFormatting sqref="B7:D37">
    <cfRule type="expression" dxfId="105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C6BF-EF1D-4602-B47D-0AF3B2143EEC}">
  <sheetPr codeName="Sheet138">
    <tabColor indexed="11"/>
    <pageSetUpPr fitToPage="1"/>
  </sheetPr>
  <dimension ref="A1:AO57"/>
  <sheetViews>
    <sheetView showGridLines="0" showZeros="0" workbookViewId="0">
      <selection activeCell="O27" sqref="O27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7" customWidth="1"/>
    <col min="11" max="11" width="10.6640625" customWidth="1"/>
    <col min="12" max="12" width="1.6640625" style="117" customWidth="1"/>
    <col min="13" max="13" width="10.6640625" customWidth="1"/>
    <col min="14" max="14" width="1.6640625" style="118" customWidth="1"/>
    <col min="15" max="15" width="10.6640625" customWidth="1"/>
    <col min="16" max="16" width="1.6640625" style="117" customWidth="1"/>
    <col min="17" max="17" width="10.6640625" customWidth="1"/>
    <col min="18" max="18" width="1.6640625" style="118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style="374" customWidth="1"/>
  </cols>
  <sheetData>
    <row r="1" spans="1:37" s="119" customFormat="1" ht="21.75" customHeight="1" x14ac:dyDescent="0.25">
      <c r="A1" s="88" t="str">
        <f>Altalanos!$A$6</f>
        <v>Budapest Bajnokság</v>
      </c>
      <c r="B1" s="88"/>
      <c r="C1" s="120"/>
      <c r="D1" s="120"/>
      <c r="E1" s="120"/>
      <c r="F1" s="120"/>
      <c r="G1" s="120"/>
      <c r="H1" s="88"/>
      <c r="I1" s="233"/>
      <c r="J1" s="121"/>
      <c r="K1" s="265" t="s">
        <v>52</v>
      </c>
      <c r="L1" s="107"/>
      <c r="M1" s="89"/>
      <c r="N1" s="121"/>
      <c r="O1" s="121" t="s">
        <v>3</v>
      </c>
      <c r="P1" s="121"/>
      <c r="Q1" s="120"/>
      <c r="R1" s="121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89"/>
      <c r="AJ1" s="389"/>
      <c r="AK1" s="389"/>
    </row>
    <row r="2" spans="1:37" s="99" customFormat="1" x14ac:dyDescent="0.25">
      <c r="A2" s="293" t="s">
        <v>51</v>
      </c>
      <c r="B2" s="90"/>
      <c r="C2" s="90"/>
      <c r="D2" s="90"/>
      <c r="E2" s="287" t="str">
        <f>Altalanos!$B$8</f>
        <v>F14 csapat</v>
      </c>
      <c r="F2" s="90"/>
      <c r="G2" s="122"/>
      <c r="H2" s="100"/>
      <c r="I2" s="100"/>
      <c r="J2" s="123"/>
      <c r="K2" s="107"/>
      <c r="L2" s="107"/>
      <c r="M2" s="107"/>
      <c r="N2" s="123"/>
      <c r="O2" s="100"/>
      <c r="P2" s="123"/>
      <c r="Q2" s="100"/>
      <c r="R2" s="123"/>
      <c r="Y2" s="376"/>
      <c r="Z2" s="375"/>
      <c r="AA2" s="390" t="s">
        <v>64</v>
      </c>
      <c r="AB2" s="391">
        <v>300</v>
      </c>
      <c r="AC2" s="391">
        <v>250</v>
      </c>
      <c r="AD2" s="391">
        <v>200</v>
      </c>
      <c r="AE2" s="391">
        <v>150</v>
      </c>
      <c r="AF2" s="391">
        <v>120</v>
      </c>
      <c r="AG2" s="391">
        <v>90</v>
      </c>
      <c r="AH2" s="391">
        <v>40</v>
      </c>
      <c r="AI2" s="374"/>
      <c r="AJ2" s="374"/>
      <c r="AK2" s="374"/>
    </row>
    <row r="3" spans="1:37" s="19" customFormat="1" ht="11.25" customHeight="1" x14ac:dyDescent="0.25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Y3" s="375" t="str">
        <f>IF(K4="OB","A",IF(K4="IX","W",IF(K4="","",K4)))</f>
        <v/>
      </c>
      <c r="Z3" s="375"/>
      <c r="AA3" s="390" t="s">
        <v>65</v>
      </c>
      <c r="AB3" s="391">
        <v>280</v>
      </c>
      <c r="AC3" s="391">
        <v>230</v>
      </c>
      <c r="AD3" s="391">
        <v>180</v>
      </c>
      <c r="AE3" s="391">
        <v>140</v>
      </c>
      <c r="AF3" s="391">
        <v>80</v>
      </c>
      <c r="AG3" s="391">
        <v>0</v>
      </c>
      <c r="AH3" s="391">
        <v>0</v>
      </c>
      <c r="AI3" s="374"/>
      <c r="AJ3" s="374"/>
      <c r="AK3" s="374"/>
    </row>
    <row r="4" spans="1:37" s="28" customFormat="1" ht="11.25" customHeight="1" thickBot="1" x14ac:dyDescent="0.3">
      <c r="A4" s="442" t="str">
        <f>Altalanos!$A$10</f>
        <v>2025.06.19-29.</v>
      </c>
      <c r="B4" s="442"/>
      <c r="C4" s="442"/>
      <c r="D4" s="259"/>
      <c r="E4" s="125"/>
      <c r="F4" s="125"/>
      <c r="G4" s="125" t="str">
        <f>Altalanos!$C$10</f>
        <v>Budapest</v>
      </c>
      <c r="H4" s="93"/>
      <c r="I4" s="125"/>
      <c r="J4" s="126"/>
      <c r="K4" s="127"/>
      <c r="L4" s="126"/>
      <c r="M4" s="128"/>
      <c r="N4" s="126"/>
      <c r="O4" s="125"/>
      <c r="P4" s="126"/>
      <c r="Q4" s="125"/>
      <c r="R4" s="84" t="str">
        <f>Altalanos!$E$10</f>
        <v>Rákóczi Andrea</v>
      </c>
      <c r="Y4" s="375"/>
      <c r="Z4" s="375"/>
      <c r="AA4" s="390" t="s">
        <v>66</v>
      </c>
      <c r="AB4" s="391">
        <v>250</v>
      </c>
      <c r="AC4" s="391">
        <v>200</v>
      </c>
      <c r="AD4" s="391">
        <v>150</v>
      </c>
      <c r="AE4" s="391">
        <v>120</v>
      </c>
      <c r="AF4" s="391">
        <v>90</v>
      </c>
      <c r="AG4" s="391">
        <v>60</v>
      </c>
      <c r="AH4" s="391">
        <v>25</v>
      </c>
      <c r="AI4" s="374"/>
      <c r="AJ4" s="374"/>
      <c r="AK4" s="374"/>
    </row>
    <row r="5" spans="1:37" s="19" customFormat="1" x14ac:dyDescent="0.25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59</v>
      </c>
      <c r="N5" s="132"/>
      <c r="O5" s="130" t="s">
        <v>58</v>
      </c>
      <c r="P5" s="132"/>
      <c r="Q5" s="130" t="s">
        <v>57</v>
      </c>
      <c r="R5" s="133"/>
      <c r="Y5" s="375">
        <f>IF(OR(Altalanos!$A$8="F1",Altalanos!$A$8="F2",Altalanos!$A$8="N1",Altalanos!$A$8="N2"),1,2)</f>
        <v>2</v>
      </c>
      <c r="Z5" s="375"/>
      <c r="AA5" s="390" t="s">
        <v>67</v>
      </c>
      <c r="AB5" s="391">
        <v>200</v>
      </c>
      <c r="AC5" s="391">
        <v>150</v>
      </c>
      <c r="AD5" s="391">
        <v>120</v>
      </c>
      <c r="AE5" s="391">
        <v>90</v>
      </c>
      <c r="AF5" s="391">
        <v>60</v>
      </c>
      <c r="AG5" s="391">
        <v>40</v>
      </c>
      <c r="AH5" s="391">
        <v>15</v>
      </c>
      <c r="AI5" s="374"/>
      <c r="AJ5" s="374"/>
      <c r="AK5" s="374"/>
    </row>
    <row r="6" spans="1:37" s="19" customFormat="1" ht="11.1" customHeight="1" thickBot="1" x14ac:dyDescent="0.3">
      <c r="A6" s="134"/>
      <c r="B6" s="379"/>
      <c r="C6" s="379"/>
      <c r="D6" s="379"/>
      <c r="E6" s="379"/>
      <c r="F6" s="378" t="str">
        <f>IF(Y3="","",CONCATENATE(AH1," / ",VLOOKUP(Y3,AB1:AH1,5)," pont"))</f>
        <v/>
      </c>
      <c r="G6" s="380"/>
      <c r="H6" s="381"/>
      <c r="I6" s="380"/>
      <c r="J6" s="382"/>
      <c r="K6" s="379" t="str">
        <f>IF(Y3="","",CONCATENATE(VLOOKUP(Y3,AB1:AH1,4)," pont"))</f>
        <v/>
      </c>
      <c r="L6" s="382"/>
      <c r="M6" s="379" t="str">
        <f>IF(Y3="","",CONCATENATE(VLOOKUP(Y3,AB1:AH1,3)," pont"))</f>
        <v/>
      </c>
      <c r="N6" s="382"/>
      <c r="O6" s="379" t="str">
        <f>IF(Y3="","",CONCATENATE(VLOOKUP(Y3,AB1:AH1,2)," pont"))</f>
        <v/>
      </c>
      <c r="P6" s="382"/>
      <c r="Q6" s="379" t="str">
        <f>IF(Y3="","",CONCATENATE(VLOOKUP(Y3,AB1:AH1,1)," pont"))</f>
        <v/>
      </c>
      <c r="R6" s="383"/>
      <c r="Y6" s="375"/>
      <c r="Z6" s="375"/>
      <c r="AA6" s="390" t="s">
        <v>68</v>
      </c>
      <c r="AB6" s="391">
        <v>150</v>
      </c>
      <c r="AC6" s="391">
        <v>120</v>
      </c>
      <c r="AD6" s="391">
        <v>90</v>
      </c>
      <c r="AE6" s="391">
        <v>60</v>
      </c>
      <c r="AF6" s="391">
        <v>40</v>
      </c>
      <c r="AG6" s="391">
        <v>25</v>
      </c>
      <c r="AH6" s="391">
        <v>10</v>
      </c>
      <c r="AI6" s="374"/>
      <c r="AJ6" s="374"/>
      <c r="AK6" s="374"/>
    </row>
    <row r="7" spans="1:37" s="34" customFormat="1" ht="12.9" customHeight="1" x14ac:dyDescent="0.25">
      <c r="A7" s="135">
        <v>1</v>
      </c>
      <c r="B7" s="243">
        <f>IF($E7="","",VLOOKUP($E7,'F14 csapat ELO'!$A$7:$O$22,14))</f>
        <v>0</v>
      </c>
      <c r="C7" s="272">
        <f>IF($E7="","",VLOOKUP($E7,'F14 csapat ELO'!$A$7:$O$22,15))</f>
        <v>39</v>
      </c>
      <c r="D7" s="272">
        <f>IF($E7="","",VLOOKUP($E7,'F14 csapat ELO'!$A$7:$O$22,5))</f>
        <v>0</v>
      </c>
      <c r="E7" s="136">
        <v>1</v>
      </c>
      <c r="F7" s="137" t="str">
        <f>UPPER(IF($E7="","",VLOOKUP($E7,'F14 csapat ELO'!$A$7:$O$22,2)))</f>
        <v>PASARÉT TK 1</v>
      </c>
      <c r="G7" s="137">
        <f>IF($E7="","",VLOOKUP($E7,'F14 csapat ELO'!$A$7:$O$22,3))</f>
        <v>0</v>
      </c>
      <c r="H7" s="137"/>
      <c r="I7" s="137">
        <f>IF($E7="","",VLOOKUP($E7,'F14 csapat ELO'!$A$7:$O$22,4))</f>
        <v>0</v>
      </c>
      <c r="J7" s="139"/>
      <c r="K7" s="138"/>
      <c r="L7" s="138"/>
      <c r="M7" s="138"/>
      <c r="N7" s="138"/>
      <c r="O7" s="141"/>
      <c r="P7" s="142"/>
      <c r="Q7" s="143"/>
      <c r="R7" s="144"/>
      <c r="S7" s="145"/>
      <c r="U7" s="146" t="str">
        <f>Birók!P21</f>
        <v>Bíró</v>
      </c>
      <c r="Y7" s="375"/>
      <c r="Z7" s="375"/>
      <c r="AA7" s="390" t="s">
        <v>69</v>
      </c>
      <c r="AB7" s="391">
        <v>120</v>
      </c>
      <c r="AC7" s="391">
        <v>90</v>
      </c>
      <c r="AD7" s="391">
        <v>60</v>
      </c>
      <c r="AE7" s="391">
        <v>40</v>
      </c>
      <c r="AF7" s="391">
        <v>25</v>
      </c>
      <c r="AG7" s="391">
        <v>10</v>
      </c>
      <c r="AH7" s="391">
        <v>5</v>
      </c>
      <c r="AI7" s="374"/>
      <c r="AJ7" s="374"/>
      <c r="AK7" s="374"/>
    </row>
    <row r="8" spans="1:37" s="34" customFormat="1" ht="12.9" customHeight="1" x14ac:dyDescent="0.25">
      <c r="A8" s="147"/>
      <c r="B8" s="285"/>
      <c r="C8" s="281"/>
      <c r="D8" s="281"/>
      <c r="E8" s="148"/>
      <c r="F8" s="149"/>
      <c r="G8" s="149"/>
      <c r="H8" s="150"/>
      <c r="I8" s="413" t="s">
        <v>0</v>
      </c>
      <c r="J8" s="152" t="s">
        <v>127</v>
      </c>
      <c r="K8" s="153" t="str">
        <f>UPPER(IF(OR(J8="a",J8="as"),F7,IF(OR(J8="b",J8="bs"),F9,)))</f>
        <v>PASARÉT TK 1</v>
      </c>
      <c r="L8" s="153"/>
      <c r="M8" s="138"/>
      <c r="N8" s="138"/>
      <c r="O8" s="141"/>
      <c r="P8" s="142"/>
      <c r="Q8" s="143"/>
      <c r="R8" s="144"/>
      <c r="S8" s="145"/>
      <c r="U8" s="154" t="str">
        <f>Birók!P22</f>
        <v xml:space="preserve"> </v>
      </c>
      <c r="Y8" s="375"/>
      <c r="Z8" s="375"/>
      <c r="AA8" s="390" t="s">
        <v>70</v>
      </c>
      <c r="AB8" s="391">
        <v>90</v>
      </c>
      <c r="AC8" s="391">
        <v>60</v>
      </c>
      <c r="AD8" s="391">
        <v>40</v>
      </c>
      <c r="AE8" s="391">
        <v>25</v>
      </c>
      <c r="AF8" s="391">
        <v>10</v>
      </c>
      <c r="AG8" s="391">
        <v>5</v>
      </c>
      <c r="AH8" s="391">
        <v>2</v>
      </c>
      <c r="AI8" s="374"/>
      <c r="AJ8" s="374"/>
      <c r="AK8" s="374"/>
    </row>
    <row r="9" spans="1:37" s="34" customFormat="1" ht="12.9" customHeight="1" x14ac:dyDescent="0.25">
      <c r="A9" s="147">
        <v>2</v>
      </c>
      <c r="B9" s="243" t="str">
        <f>IF($E9="","",VLOOKUP($E9,'F14 csapat ELO'!$A$7:$O$22,14))</f>
        <v/>
      </c>
      <c r="C9" s="272" t="str">
        <f>IF($E9="","",VLOOKUP($E9,'F14 csapat ELO'!$A$7:$O$22,15))</f>
        <v/>
      </c>
      <c r="D9" s="272" t="str">
        <f>IF($E9="","",VLOOKUP($E9,'F14 csapat ELO'!$A$7:$O$22,5))</f>
        <v/>
      </c>
      <c r="E9" s="136"/>
      <c r="F9" s="155" t="s">
        <v>144</v>
      </c>
      <c r="G9" s="155" t="str">
        <f>IF($E9="","",VLOOKUP($E9,'F14 csapat ELO'!$A$7:$O$22,3))</f>
        <v/>
      </c>
      <c r="H9" s="155"/>
      <c r="I9" s="137" t="str">
        <f>IF($E9="","",VLOOKUP($E9,'F14 csapat ELO'!$A$7:$O$22,4))</f>
        <v/>
      </c>
      <c r="J9" s="156"/>
      <c r="K9" s="138"/>
      <c r="L9" s="157"/>
      <c r="M9" s="138"/>
      <c r="N9" s="138"/>
      <c r="O9" s="141"/>
      <c r="P9" s="142"/>
      <c r="Q9" s="143"/>
      <c r="R9" s="144"/>
      <c r="S9" s="145"/>
      <c r="U9" s="154" t="str">
        <f>Birók!P23</f>
        <v xml:space="preserve"> </v>
      </c>
      <c r="Y9" s="375"/>
      <c r="Z9" s="375"/>
      <c r="AA9" s="390" t="s">
        <v>71</v>
      </c>
      <c r="AB9" s="391">
        <v>60</v>
      </c>
      <c r="AC9" s="391">
        <v>40</v>
      </c>
      <c r="AD9" s="391">
        <v>25</v>
      </c>
      <c r="AE9" s="391">
        <v>10</v>
      </c>
      <c r="AF9" s="391">
        <v>5</v>
      </c>
      <c r="AG9" s="391">
        <v>2</v>
      </c>
      <c r="AH9" s="391">
        <v>1</v>
      </c>
      <c r="AI9" s="374"/>
      <c r="AJ9" s="374"/>
      <c r="AK9" s="374"/>
    </row>
    <row r="10" spans="1:37" s="34" customFormat="1" ht="12.9" customHeight="1" x14ac:dyDescent="0.25">
      <c r="A10" s="147"/>
      <c r="B10" s="285"/>
      <c r="C10" s="281"/>
      <c r="D10" s="281"/>
      <c r="E10" s="158"/>
      <c r="F10" s="149"/>
      <c r="G10" s="149"/>
      <c r="H10" s="150"/>
      <c r="I10" s="138"/>
      <c r="J10" s="159"/>
      <c r="K10" s="151" t="s">
        <v>0</v>
      </c>
      <c r="L10" s="160" t="s">
        <v>127</v>
      </c>
      <c r="M10" s="153" t="str">
        <f>UPPER(IF(OR(L10="a",L10="as"),K8,IF(OR(L10="b",L10="bs"),K12,)))</f>
        <v>PASARÉT TK 1</v>
      </c>
      <c r="N10" s="161"/>
      <c r="O10" s="162"/>
      <c r="P10" s="162"/>
      <c r="Q10" s="143"/>
      <c r="R10" s="144"/>
      <c r="S10" s="145"/>
      <c r="U10" s="154" t="str">
        <f>Birók!P24</f>
        <v xml:space="preserve"> </v>
      </c>
      <c r="Y10" s="375"/>
      <c r="Z10" s="375"/>
      <c r="AA10" s="390" t="s">
        <v>72</v>
      </c>
      <c r="AB10" s="391">
        <v>40</v>
      </c>
      <c r="AC10" s="391">
        <v>25</v>
      </c>
      <c r="AD10" s="391">
        <v>15</v>
      </c>
      <c r="AE10" s="391">
        <v>7</v>
      </c>
      <c r="AF10" s="391">
        <v>4</v>
      </c>
      <c r="AG10" s="391">
        <v>1</v>
      </c>
      <c r="AH10" s="391">
        <v>0</v>
      </c>
      <c r="AI10" s="374"/>
      <c r="AJ10" s="374"/>
      <c r="AK10" s="374"/>
    </row>
    <row r="11" spans="1:37" s="34" customFormat="1" ht="12.9" customHeight="1" x14ac:dyDescent="0.25">
      <c r="A11" s="147">
        <v>3</v>
      </c>
      <c r="B11" s="243">
        <f>IF($E11="","",VLOOKUP($E11,'F14 csapat ELO'!$A$7:$O$22,14))</f>
        <v>0</v>
      </c>
      <c r="C11" s="272">
        <f>IF($E11="","",VLOOKUP($E11,'F14 csapat ELO'!$A$7:$O$22,15))</f>
        <v>183</v>
      </c>
      <c r="D11" s="272">
        <f>IF($E11="","",VLOOKUP($E11,'F14 csapat ELO'!$A$7:$O$22,5))</f>
        <v>0</v>
      </c>
      <c r="E11" s="136">
        <v>8</v>
      </c>
      <c r="F11" s="155" t="str">
        <f>UPPER(IF($E11="","",VLOOKUP($E11,'F14 csapat ELO'!$A$7:$O$22,2)))</f>
        <v>PG TENISZ</v>
      </c>
      <c r="G11" s="155">
        <f>IF($E11="","",VLOOKUP($E11,'F14 csapat ELO'!$A$7:$O$22,3))</f>
        <v>0</v>
      </c>
      <c r="H11" s="155"/>
      <c r="I11" s="155">
        <f>IF($E11="","",VLOOKUP($E11,'F14 csapat ELO'!$A$7:$O$22,4))</f>
        <v>0</v>
      </c>
      <c r="J11" s="139"/>
      <c r="K11" s="138"/>
      <c r="L11" s="163"/>
      <c r="M11" s="167" t="s">
        <v>140</v>
      </c>
      <c r="N11" s="164"/>
      <c r="O11" s="162"/>
      <c r="P11" s="162"/>
      <c r="Q11" s="143"/>
      <c r="R11" s="144"/>
      <c r="S11" s="145"/>
      <c r="U11" s="154" t="str">
        <f>Birók!P25</f>
        <v xml:space="preserve"> </v>
      </c>
      <c r="Y11" s="375"/>
      <c r="Z11" s="375"/>
      <c r="AA11" s="390" t="s">
        <v>73</v>
      </c>
      <c r="AB11" s="391">
        <v>25</v>
      </c>
      <c r="AC11" s="391">
        <v>15</v>
      </c>
      <c r="AD11" s="391">
        <v>10</v>
      </c>
      <c r="AE11" s="391">
        <v>6</v>
      </c>
      <c r="AF11" s="391">
        <v>3</v>
      </c>
      <c r="AG11" s="391">
        <v>1</v>
      </c>
      <c r="AH11" s="391">
        <v>0</v>
      </c>
      <c r="AI11" s="374"/>
      <c r="AJ11" s="374"/>
      <c r="AK11" s="374"/>
    </row>
    <row r="12" spans="1:37" s="34" customFormat="1" ht="12.9" customHeight="1" x14ac:dyDescent="0.25">
      <c r="A12" s="147"/>
      <c r="B12" s="285"/>
      <c r="C12" s="281"/>
      <c r="D12" s="281"/>
      <c r="E12" s="158"/>
      <c r="F12" s="149"/>
      <c r="G12" s="149"/>
      <c r="H12" s="150"/>
      <c r="I12" s="413" t="s">
        <v>0</v>
      </c>
      <c r="J12" s="152" t="s">
        <v>130</v>
      </c>
      <c r="K12" s="153" t="str">
        <f>UPPER(IF(OR(J12="a",J12="as"),F11,IF(OR(J12="b",J12="bs"),F13,)))</f>
        <v>M.E.S.E. ZÖLD</v>
      </c>
      <c r="L12" s="165"/>
      <c r="M12" s="138"/>
      <c r="N12" s="164"/>
      <c r="O12" s="162"/>
      <c r="P12" s="162"/>
      <c r="Q12" s="143"/>
      <c r="R12" s="144"/>
      <c r="S12" s="145"/>
      <c r="U12" s="154" t="str">
        <f>Birók!P26</f>
        <v xml:space="preserve"> </v>
      </c>
      <c r="Y12" s="375"/>
      <c r="Z12" s="375"/>
      <c r="AA12" s="390" t="s">
        <v>78</v>
      </c>
      <c r="AB12" s="391">
        <v>15</v>
      </c>
      <c r="AC12" s="391">
        <v>10</v>
      </c>
      <c r="AD12" s="391">
        <v>6</v>
      </c>
      <c r="AE12" s="391">
        <v>3</v>
      </c>
      <c r="AF12" s="391">
        <v>1</v>
      </c>
      <c r="AG12" s="391">
        <v>0</v>
      </c>
      <c r="AH12" s="391">
        <v>0</v>
      </c>
      <c r="AI12" s="374"/>
      <c r="AJ12" s="374"/>
      <c r="AK12" s="374"/>
    </row>
    <row r="13" spans="1:37" s="34" customFormat="1" ht="12.9" customHeight="1" x14ac:dyDescent="0.25">
      <c r="A13" s="147">
        <v>4</v>
      </c>
      <c r="B13" s="243">
        <f>IF($E13="","",VLOOKUP($E13,'F14 csapat ELO'!$A$7:$O$22,14))</f>
        <v>0</v>
      </c>
      <c r="C13" s="272">
        <f>IF($E13="","",VLOOKUP($E13,'F14 csapat ELO'!$A$7:$O$22,15))</f>
        <v>161</v>
      </c>
      <c r="D13" s="272">
        <f>IF($E13="","",VLOOKUP($E13,'F14 csapat ELO'!$A$7:$O$22,5))</f>
        <v>0</v>
      </c>
      <c r="E13" s="136">
        <v>7</v>
      </c>
      <c r="F13" s="155" t="str">
        <f>UPPER(IF($E13="","",VLOOKUP($E13,'F14 csapat ELO'!$A$7:$O$22,2)))</f>
        <v>M.E.S.E. ZÖLD</v>
      </c>
      <c r="G13" s="155">
        <f>IF($E13="","",VLOOKUP($E13,'F14 csapat ELO'!$A$7:$O$22,3))</f>
        <v>0</v>
      </c>
      <c r="H13" s="155"/>
      <c r="I13" s="155">
        <f>IF($E13="","",VLOOKUP($E13,'F14 csapat ELO'!$A$7:$O$22,4))</f>
        <v>0</v>
      </c>
      <c r="J13" s="166"/>
      <c r="K13" s="162" t="s">
        <v>133</v>
      </c>
      <c r="L13" s="138"/>
      <c r="M13" s="138"/>
      <c r="N13" s="164"/>
      <c r="O13" s="162"/>
      <c r="P13" s="162"/>
      <c r="Q13" s="143"/>
      <c r="R13" s="144"/>
      <c r="S13" s="145"/>
      <c r="U13" s="154" t="str">
        <f>Birók!P27</f>
        <v xml:space="preserve"> </v>
      </c>
      <c r="Y13" s="375"/>
      <c r="Z13" s="375"/>
      <c r="AA13" s="390" t="s">
        <v>74</v>
      </c>
      <c r="AB13" s="391">
        <v>10</v>
      </c>
      <c r="AC13" s="391">
        <v>6</v>
      </c>
      <c r="AD13" s="391">
        <v>3</v>
      </c>
      <c r="AE13" s="391">
        <v>1</v>
      </c>
      <c r="AF13" s="391">
        <v>0</v>
      </c>
      <c r="AG13" s="391">
        <v>0</v>
      </c>
      <c r="AH13" s="391">
        <v>0</v>
      </c>
      <c r="AI13" s="374"/>
      <c r="AJ13" s="374"/>
      <c r="AK13" s="374"/>
    </row>
    <row r="14" spans="1:37" s="34" customFormat="1" ht="12.9" customHeight="1" x14ac:dyDescent="0.25">
      <c r="A14" s="147"/>
      <c r="B14" s="285"/>
      <c r="C14" s="281"/>
      <c r="D14" s="281"/>
      <c r="E14" s="158"/>
      <c r="F14" s="138"/>
      <c r="G14" s="138"/>
      <c r="H14" s="66"/>
      <c r="I14" s="167"/>
      <c r="J14" s="159"/>
      <c r="K14" s="138"/>
      <c r="L14" s="138"/>
      <c r="M14" s="151" t="s">
        <v>0</v>
      </c>
      <c r="N14" s="160" t="s">
        <v>145</v>
      </c>
      <c r="O14" s="153" t="str">
        <f>UPPER(IF(OR(N14="a",N14="as"),M10,IF(OR(N14="b",N14="bs"),M18,)))</f>
        <v>PASARÉT TK 1</v>
      </c>
      <c r="P14" s="161"/>
      <c r="Q14" s="143"/>
      <c r="R14" s="144"/>
      <c r="S14" s="145"/>
      <c r="U14" s="154" t="str">
        <f>Birók!P28</f>
        <v xml:space="preserve"> </v>
      </c>
      <c r="Y14" s="375"/>
      <c r="Z14" s="375"/>
      <c r="AA14" s="390" t="s">
        <v>75</v>
      </c>
      <c r="AB14" s="391">
        <v>3</v>
      </c>
      <c r="AC14" s="391">
        <v>2</v>
      </c>
      <c r="AD14" s="391">
        <v>1</v>
      </c>
      <c r="AE14" s="391">
        <v>0</v>
      </c>
      <c r="AF14" s="391">
        <v>0</v>
      </c>
      <c r="AG14" s="391">
        <v>0</v>
      </c>
      <c r="AH14" s="391">
        <v>0</v>
      </c>
      <c r="AI14" s="374"/>
      <c r="AJ14" s="374"/>
      <c r="AK14" s="374"/>
    </row>
    <row r="15" spans="1:37" s="34" customFormat="1" ht="12.9" customHeight="1" x14ac:dyDescent="0.25">
      <c r="A15" s="135">
        <v>5</v>
      </c>
      <c r="B15" s="243">
        <f>IF($E15="","",VLOOKUP($E15,'F14 csapat ELO'!$A$7:$O$22,14))</f>
        <v>0</v>
      </c>
      <c r="C15" s="272">
        <f>IF($E15="","",VLOOKUP($E15,'F14 csapat ELO'!$A$7:$O$22,15))</f>
        <v>56</v>
      </c>
      <c r="D15" s="272">
        <f>IF($E15="","",VLOOKUP($E15,'F14 csapat ELO'!$A$7:$O$22,5))</f>
        <v>0</v>
      </c>
      <c r="E15" s="136">
        <v>3</v>
      </c>
      <c r="F15" s="137" t="str">
        <f>UPPER(IF($E15="","",VLOOKUP($E15,'F14 csapat ELO'!$A$7:$O$22,2)))</f>
        <v>OKOS TENISZ SE</v>
      </c>
      <c r="G15" s="137">
        <f>IF($E15="","",VLOOKUP($E15,'F14 csapat ELO'!$A$7:$O$22,3))</f>
        <v>0</v>
      </c>
      <c r="H15" s="137"/>
      <c r="I15" s="137">
        <f>IF($E15="","",VLOOKUP($E15,'F14 csapat ELO'!$A$7:$O$22,4))</f>
        <v>0</v>
      </c>
      <c r="J15" s="168"/>
      <c r="K15" s="138"/>
      <c r="L15" s="138"/>
      <c r="M15" s="138"/>
      <c r="N15" s="164"/>
      <c r="O15" s="439" t="s">
        <v>133</v>
      </c>
      <c r="P15" s="164"/>
      <c r="Q15" s="143"/>
      <c r="R15" s="144"/>
      <c r="S15" s="145"/>
      <c r="U15" s="154" t="str">
        <f>Birók!P29</f>
        <v xml:space="preserve"> </v>
      </c>
      <c r="Y15" s="375"/>
      <c r="Z15" s="375"/>
      <c r="AA15" s="390"/>
      <c r="AB15" s="390"/>
      <c r="AC15" s="390"/>
      <c r="AD15" s="390"/>
      <c r="AE15" s="390"/>
      <c r="AF15" s="390"/>
      <c r="AG15" s="390"/>
      <c r="AH15" s="390"/>
      <c r="AI15" s="374"/>
      <c r="AJ15" s="374"/>
      <c r="AK15" s="374"/>
    </row>
    <row r="16" spans="1:37" s="34" customFormat="1" ht="12.9" customHeight="1" thickBot="1" x14ac:dyDescent="0.3">
      <c r="A16" s="147"/>
      <c r="B16" s="285"/>
      <c r="C16" s="281"/>
      <c r="D16" s="281"/>
      <c r="E16" s="158"/>
      <c r="F16" s="149"/>
      <c r="G16" s="149"/>
      <c r="H16" s="150"/>
      <c r="I16" s="413" t="s">
        <v>0</v>
      </c>
      <c r="J16" s="152" t="s">
        <v>127</v>
      </c>
      <c r="K16" s="153" t="str">
        <f>UPPER(IF(OR(J16="a",J16="as"),F15,IF(OR(J16="b",J16="bs"),F17,)))</f>
        <v>OKOS TENISZ SE</v>
      </c>
      <c r="L16" s="153"/>
      <c r="M16" s="138"/>
      <c r="N16" s="164"/>
      <c r="O16" s="162"/>
      <c r="P16" s="164"/>
      <c r="Q16" s="143"/>
      <c r="R16" s="144"/>
      <c r="S16" s="145"/>
      <c r="U16" s="169" t="str">
        <f>Birók!P30</f>
        <v>Egyik sem</v>
      </c>
      <c r="Y16" s="375"/>
      <c r="Z16" s="375"/>
      <c r="AA16" s="390" t="s">
        <v>64</v>
      </c>
      <c r="AB16" s="391">
        <v>150</v>
      </c>
      <c r="AC16" s="391">
        <v>120</v>
      </c>
      <c r="AD16" s="391">
        <v>90</v>
      </c>
      <c r="AE16" s="391">
        <v>60</v>
      </c>
      <c r="AF16" s="391">
        <v>40</v>
      </c>
      <c r="AG16" s="391">
        <v>25</v>
      </c>
      <c r="AH16" s="391">
        <v>15</v>
      </c>
      <c r="AI16" s="374"/>
      <c r="AJ16" s="374"/>
      <c r="AK16" s="374"/>
    </row>
    <row r="17" spans="1:41" s="34" customFormat="1" ht="12.9" customHeight="1" x14ac:dyDescent="0.25">
      <c r="A17" s="147">
        <v>6</v>
      </c>
      <c r="B17" s="243" t="str">
        <f>IF($E17="","",VLOOKUP($E17,'F14 csapat ELO'!$A$7:$O$22,14))</f>
        <v/>
      </c>
      <c r="C17" s="272" t="str">
        <f>IF($E17="","",VLOOKUP($E17,'F14 csapat ELO'!$A$7:$O$22,15))</f>
        <v/>
      </c>
      <c r="D17" s="272" t="str">
        <f>IF($E17="","",VLOOKUP($E17,'F14 csapat ELO'!$A$7:$O$22,5))</f>
        <v/>
      </c>
      <c r="E17" s="136"/>
      <c r="F17" s="155" t="s">
        <v>144</v>
      </c>
      <c r="G17" s="155" t="str">
        <f>IF($E17="","",VLOOKUP($E17,'F14 csapat ELO'!$A$7:$O$22,3))</f>
        <v/>
      </c>
      <c r="H17" s="155"/>
      <c r="I17" s="155" t="str">
        <f>IF($E17="","",VLOOKUP($E17,'F14 csapat ELO'!$A$7:$O$22,4))</f>
        <v/>
      </c>
      <c r="J17" s="156"/>
      <c r="K17" s="138"/>
      <c r="L17" s="157"/>
      <c r="M17" s="138"/>
      <c r="N17" s="164"/>
      <c r="O17" s="162"/>
      <c r="P17" s="164"/>
      <c r="Q17" s="143"/>
      <c r="R17" s="144"/>
      <c r="S17" s="145"/>
      <c r="Y17" s="375"/>
      <c r="Z17" s="375"/>
      <c r="AA17" s="390" t="s">
        <v>66</v>
      </c>
      <c r="AB17" s="391">
        <v>120</v>
      </c>
      <c r="AC17" s="391">
        <v>90</v>
      </c>
      <c r="AD17" s="391">
        <v>60</v>
      </c>
      <c r="AE17" s="391">
        <v>40</v>
      </c>
      <c r="AF17" s="391">
        <v>25</v>
      </c>
      <c r="AG17" s="391">
        <v>15</v>
      </c>
      <c r="AH17" s="391">
        <v>8</v>
      </c>
      <c r="AI17" s="374"/>
      <c r="AJ17" s="374"/>
      <c r="AK17" s="374"/>
    </row>
    <row r="18" spans="1:41" s="34" customFormat="1" ht="12.9" customHeight="1" x14ac:dyDescent="0.25">
      <c r="A18" s="147"/>
      <c r="B18" s="285"/>
      <c r="C18" s="281"/>
      <c r="D18" s="281"/>
      <c r="E18" s="158"/>
      <c r="F18" s="149"/>
      <c r="G18" s="149"/>
      <c r="H18" s="150"/>
      <c r="I18" s="138"/>
      <c r="J18" s="159"/>
      <c r="K18" s="151" t="s">
        <v>0</v>
      </c>
      <c r="L18" s="160" t="s">
        <v>127</v>
      </c>
      <c r="M18" s="153" t="str">
        <f>UPPER(IF(OR(L18="a",L18="as"),K16,IF(OR(L18="b",L18="bs"),K20,)))</f>
        <v>OKOS TENISZ SE</v>
      </c>
      <c r="N18" s="170"/>
      <c r="O18" s="162"/>
      <c r="P18" s="164"/>
      <c r="Q18" s="143"/>
      <c r="R18" s="144"/>
      <c r="S18" s="145"/>
      <c r="Y18" s="375"/>
      <c r="Z18" s="375"/>
      <c r="AA18" s="390" t="s">
        <v>67</v>
      </c>
      <c r="AB18" s="391">
        <v>90</v>
      </c>
      <c r="AC18" s="391">
        <v>60</v>
      </c>
      <c r="AD18" s="391">
        <v>40</v>
      </c>
      <c r="AE18" s="391">
        <v>25</v>
      </c>
      <c r="AF18" s="391">
        <v>15</v>
      </c>
      <c r="AG18" s="391">
        <v>8</v>
      </c>
      <c r="AH18" s="391">
        <v>4</v>
      </c>
      <c r="AI18" s="374"/>
      <c r="AJ18" s="374"/>
      <c r="AK18" s="374"/>
    </row>
    <row r="19" spans="1:41" s="34" customFormat="1" ht="12.9" customHeight="1" x14ac:dyDescent="0.25">
      <c r="A19" s="147">
        <v>7</v>
      </c>
      <c r="B19" s="243">
        <f>IF($E19="","",VLOOKUP($E19,'F14 csapat ELO'!$A$7:$O$22,14))</f>
        <v>0</v>
      </c>
      <c r="C19" s="272">
        <f>IF($E19="","",VLOOKUP($E19,'F14 csapat ELO'!$A$7:$O$22,15))</f>
        <v>101</v>
      </c>
      <c r="D19" s="272">
        <f>IF($E19="","",VLOOKUP($E19,'F14 csapat ELO'!$A$7:$O$22,5))</f>
        <v>0</v>
      </c>
      <c r="E19" s="136">
        <v>6</v>
      </c>
      <c r="F19" s="155" t="s">
        <v>137</v>
      </c>
      <c r="G19" s="155">
        <f>IF($E19="","",VLOOKUP($E19,'F14 csapat ELO'!$A$7:$O$22,3))</f>
        <v>0</v>
      </c>
      <c r="H19" s="155"/>
      <c r="I19" s="155">
        <f>IF($E19="","",VLOOKUP($E19,'F14 csapat ELO'!$A$7:$O$22,4))</f>
        <v>0</v>
      </c>
      <c r="J19" s="139"/>
      <c r="K19" s="138"/>
      <c r="L19" s="163"/>
      <c r="M19" s="439" t="s">
        <v>133</v>
      </c>
      <c r="N19" s="162"/>
      <c r="O19" s="162"/>
      <c r="P19" s="164"/>
      <c r="Q19" s="143"/>
      <c r="R19" s="144"/>
      <c r="S19" s="145"/>
      <c r="Y19" s="375"/>
      <c r="Z19" s="375"/>
      <c r="AA19" s="390" t="s">
        <v>68</v>
      </c>
      <c r="AB19" s="391">
        <v>60</v>
      </c>
      <c r="AC19" s="391">
        <v>40</v>
      </c>
      <c r="AD19" s="391">
        <v>25</v>
      </c>
      <c r="AE19" s="391">
        <v>15</v>
      </c>
      <c r="AF19" s="391">
        <v>8</v>
      </c>
      <c r="AG19" s="391">
        <v>4</v>
      </c>
      <c r="AH19" s="391">
        <v>2</v>
      </c>
      <c r="AI19" s="374"/>
      <c r="AJ19" s="374"/>
      <c r="AK19" s="374"/>
    </row>
    <row r="20" spans="1:41" s="34" customFormat="1" ht="12.9" customHeight="1" x14ac:dyDescent="0.25">
      <c r="A20" s="147"/>
      <c r="B20" s="285"/>
      <c r="C20" s="281"/>
      <c r="D20" s="281"/>
      <c r="E20" s="148"/>
      <c r="F20" s="149"/>
      <c r="G20" s="149"/>
      <c r="H20" s="150"/>
      <c r="I20" s="413" t="s">
        <v>0</v>
      </c>
      <c r="J20" s="152" t="s">
        <v>130</v>
      </c>
      <c r="K20" s="153" t="str">
        <f>UPPER(IF(OR(J20="a",J20="as"),F19,IF(OR(J20="b",J20="bs"),F21,)))</f>
        <v>M.E.S.E. KÉK</v>
      </c>
      <c r="L20" s="165"/>
      <c r="M20" s="138"/>
      <c r="N20" s="162"/>
      <c r="O20" s="162"/>
      <c r="P20" s="164"/>
      <c r="Q20" s="143"/>
      <c r="R20" s="144"/>
      <c r="S20" s="145"/>
      <c r="Y20" s="375"/>
      <c r="Z20" s="375"/>
      <c r="AA20" s="390" t="s">
        <v>69</v>
      </c>
      <c r="AB20" s="391">
        <v>40</v>
      </c>
      <c r="AC20" s="391">
        <v>25</v>
      </c>
      <c r="AD20" s="391">
        <v>15</v>
      </c>
      <c r="AE20" s="391">
        <v>8</v>
      </c>
      <c r="AF20" s="391">
        <v>4</v>
      </c>
      <c r="AG20" s="391">
        <v>2</v>
      </c>
      <c r="AH20" s="391">
        <v>1</v>
      </c>
      <c r="AI20" s="374"/>
      <c r="AJ20" s="374"/>
      <c r="AK20" s="374"/>
    </row>
    <row r="21" spans="1:41" s="34" customFormat="1" ht="12.9" customHeight="1" x14ac:dyDescent="0.25">
      <c r="A21" s="147">
        <v>8</v>
      </c>
      <c r="B21" s="243">
        <f>IF($E21="","",VLOOKUP($E21,'F14 csapat ELO'!$A$7:$O$22,14))</f>
        <v>0</v>
      </c>
      <c r="C21" s="272">
        <f>IF($E21="","",VLOOKUP($E21,'F14 csapat ELO'!$A$7:$O$22,15))</f>
        <v>84</v>
      </c>
      <c r="D21" s="272">
        <f>IF($E21="","",VLOOKUP($E21,'F14 csapat ELO'!$A$7:$O$22,5))</f>
        <v>0</v>
      </c>
      <c r="E21" s="136">
        <v>5</v>
      </c>
      <c r="F21" s="155" t="str">
        <f>UPPER(IF($E21="","",VLOOKUP($E21,'F14 csapat ELO'!$A$7:$O$22,2)))</f>
        <v>M.E.S.E. KÉK</v>
      </c>
      <c r="G21" s="155">
        <f>IF($E21="","",VLOOKUP($E21,'F14 csapat ELO'!$A$7:$O$22,3))</f>
        <v>0</v>
      </c>
      <c r="H21" s="155"/>
      <c r="I21" s="155">
        <f>IF($E21="","",VLOOKUP($E21,'F14 csapat ELO'!$A$7:$O$22,4))</f>
        <v>0</v>
      </c>
      <c r="J21" s="166"/>
      <c r="K21" s="138" t="s">
        <v>140</v>
      </c>
      <c r="L21" s="138"/>
      <c r="M21" s="138"/>
      <c r="N21" s="162"/>
      <c r="O21" s="162"/>
      <c r="P21" s="164"/>
      <c r="Q21" s="143"/>
      <c r="R21" s="144"/>
      <c r="S21" s="145"/>
      <c r="Y21" s="375"/>
      <c r="Z21" s="375"/>
      <c r="AA21" s="390" t="s">
        <v>70</v>
      </c>
      <c r="AB21" s="391">
        <v>25</v>
      </c>
      <c r="AC21" s="391">
        <v>15</v>
      </c>
      <c r="AD21" s="391">
        <v>10</v>
      </c>
      <c r="AE21" s="391">
        <v>6</v>
      </c>
      <c r="AF21" s="391">
        <v>3</v>
      </c>
      <c r="AG21" s="391">
        <v>1</v>
      </c>
      <c r="AH21" s="391">
        <v>0</v>
      </c>
      <c r="AI21" s="374"/>
      <c r="AJ21" s="374"/>
      <c r="AK21" s="374"/>
    </row>
    <row r="22" spans="1:41" s="34" customFormat="1" ht="12.9" customHeight="1" x14ac:dyDescent="0.25">
      <c r="A22" s="147"/>
      <c r="B22" s="285"/>
      <c r="C22" s="281"/>
      <c r="D22" s="281"/>
      <c r="E22" s="148"/>
      <c r="F22" s="167"/>
      <c r="G22" s="167"/>
      <c r="H22" s="171"/>
      <c r="I22" s="167"/>
      <c r="J22" s="159"/>
      <c r="K22" s="138"/>
      <c r="L22" s="138"/>
      <c r="M22" s="138"/>
      <c r="N22" s="162"/>
      <c r="O22" s="151" t="s">
        <v>0</v>
      </c>
      <c r="P22" s="160" t="s">
        <v>145</v>
      </c>
      <c r="Q22" s="153" t="str">
        <f>UPPER(IF(OR(P22="a",P22="as"),O14,IF(OR(P22="b",P22="bs"),O30,)))</f>
        <v>PASARÉT TK 1</v>
      </c>
      <c r="R22" s="161"/>
      <c r="S22" s="145"/>
      <c r="Y22" s="375"/>
      <c r="Z22" s="375"/>
      <c r="AA22" s="390" t="s">
        <v>71</v>
      </c>
      <c r="AB22" s="391">
        <v>15</v>
      </c>
      <c r="AC22" s="391">
        <v>10</v>
      </c>
      <c r="AD22" s="391">
        <v>6</v>
      </c>
      <c r="AE22" s="391">
        <v>3</v>
      </c>
      <c r="AF22" s="391">
        <v>1</v>
      </c>
      <c r="AG22" s="391">
        <v>0</v>
      </c>
      <c r="AH22" s="391">
        <v>0</v>
      </c>
      <c r="AI22" s="374"/>
      <c r="AJ22" s="374"/>
      <c r="AK22" s="374"/>
    </row>
    <row r="23" spans="1:41" s="34" customFormat="1" ht="12.9" customHeight="1" x14ac:dyDescent="0.25">
      <c r="A23" s="147">
        <v>9</v>
      </c>
      <c r="B23" s="243">
        <f>IF($E23="","",VLOOKUP($E23,'F14 csapat ELO'!$A$7:$O$22,14))</f>
        <v>0</v>
      </c>
      <c r="C23" s="272">
        <f>IF($E23="","",VLOOKUP($E23,'F14 csapat ELO'!$A$7:$O$22,15))</f>
        <v>291</v>
      </c>
      <c r="D23" s="272">
        <f>IF($E23="","",VLOOKUP($E23,'F14 csapat ELO'!$A$7:$O$22,5))</f>
        <v>0</v>
      </c>
      <c r="E23" s="136">
        <v>11</v>
      </c>
      <c r="F23" s="155" t="str">
        <f>UPPER(IF($E23="","",VLOOKUP($E23,'F14 csapat ELO'!$A$7:$O$22,2)))</f>
        <v xml:space="preserve">MTK </v>
      </c>
      <c r="G23" s="155">
        <f>IF($E23="","",VLOOKUP($E23,'F14 csapat ELO'!$A$7:$O$22,3))</f>
        <v>0</v>
      </c>
      <c r="H23" s="155"/>
      <c r="I23" s="155">
        <f>IF($E23="","",VLOOKUP($E23,'F14 csapat ELO'!$A$7:$O$22,4))</f>
        <v>0</v>
      </c>
      <c r="J23" s="139"/>
      <c r="K23" s="138"/>
      <c r="L23" s="138"/>
      <c r="M23" s="138"/>
      <c r="N23" s="162"/>
      <c r="O23" s="138"/>
      <c r="P23" s="164"/>
      <c r="Q23" s="439" t="s">
        <v>146</v>
      </c>
      <c r="R23" s="162"/>
      <c r="S23" s="145"/>
      <c r="Y23" s="375"/>
      <c r="Z23" s="375"/>
      <c r="AA23" s="390" t="s">
        <v>72</v>
      </c>
      <c r="AB23" s="391">
        <v>10</v>
      </c>
      <c r="AC23" s="391">
        <v>6</v>
      </c>
      <c r="AD23" s="391">
        <v>3</v>
      </c>
      <c r="AE23" s="391">
        <v>1</v>
      </c>
      <c r="AF23" s="391">
        <v>0</v>
      </c>
      <c r="AG23" s="391">
        <v>0</v>
      </c>
      <c r="AH23" s="391">
        <v>0</v>
      </c>
      <c r="AI23" s="374"/>
      <c r="AJ23" s="374"/>
      <c r="AK23" s="374"/>
    </row>
    <row r="24" spans="1:41" s="34" customFormat="1" ht="12.9" customHeight="1" x14ac:dyDescent="0.25">
      <c r="A24" s="147"/>
      <c r="B24" s="285"/>
      <c r="C24" s="281"/>
      <c r="D24" s="281"/>
      <c r="E24" s="148"/>
      <c r="F24" s="149"/>
      <c r="G24" s="149"/>
      <c r="H24" s="150"/>
      <c r="I24" s="413" t="s">
        <v>0</v>
      </c>
      <c r="J24" s="152" t="s">
        <v>130</v>
      </c>
      <c r="K24" s="153" t="str">
        <f>UPPER(IF(OR(J24="a",J24="as"),F23,IF(OR(J24="b",J24="bs"),F25,)))</f>
        <v>GOLDEN ACE</v>
      </c>
      <c r="L24" s="153"/>
      <c r="M24" s="138"/>
      <c r="N24" s="162"/>
      <c r="O24" s="162"/>
      <c r="P24" s="164"/>
      <c r="Q24" s="143"/>
      <c r="R24" s="144"/>
      <c r="S24" s="145"/>
      <c r="Y24" s="375"/>
      <c r="Z24" s="375"/>
      <c r="AA24" s="390" t="s">
        <v>73</v>
      </c>
      <c r="AB24" s="391">
        <v>6</v>
      </c>
      <c r="AC24" s="391">
        <v>3</v>
      </c>
      <c r="AD24" s="391">
        <v>1</v>
      </c>
      <c r="AE24" s="391">
        <v>0</v>
      </c>
      <c r="AF24" s="391">
        <v>0</v>
      </c>
      <c r="AG24" s="391">
        <v>0</v>
      </c>
      <c r="AH24" s="391">
        <v>0</v>
      </c>
      <c r="AI24" s="374"/>
      <c r="AJ24" s="374"/>
      <c r="AK24" s="374"/>
    </row>
    <row r="25" spans="1:41" s="34" customFormat="1" ht="12.9" customHeight="1" x14ac:dyDescent="0.25">
      <c r="A25" s="147">
        <v>10</v>
      </c>
      <c r="B25" s="243">
        <f>IF($E25="","",VLOOKUP($E25,'F14 csapat ELO'!$A$7:$O$22,14))</f>
        <v>0</v>
      </c>
      <c r="C25" s="272">
        <f>IF($E25="","",VLOOKUP($E25,'F14 csapat ELO'!$A$7:$O$22,15))</f>
        <v>272</v>
      </c>
      <c r="D25" s="272">
        <f>IF($E25="","",VLOOKUP($E25,'F14 csapat ELO'!$A$7:$O$22,5))</f>
        <v>0</v>
      </c>
      <c r="E25" s="136">
        <v>9</v>
      </c>
      <c r="F25" s="155" t="str">
        <f>UPPER(IF($E25="","",VLOOKUP($E25,'F14 csapat ELO'!$A$7:$O$22,2)))</f>
        <v>GOLDEN ACE</v>
      </c>
      <c r="G25" s="155">
        <f>IF($E25="","",VLOOKUP($E25,'F14 csapat ELO'!$A$7:$O$22,3))</f>
        <v>0</v>
      </c>
      <c r="H25" s="155"/>
      <c r="I25" s="155">
        <f>IF($E25="","",VLOOKUP($E25,'F14 csapat ELO'!$A$7:$O$22,4))</f>
        <v>0</v>
      </c>
      <c r="J25" s="156"/>
      <c r="K25" s="162" t="s">
        <v>133</v>
      </c>
      <c r="L25" s="157"/>
      <c r="M25" s="138"/>
      <c r="N25" s="162"/>
      <c r="O25" s="162"/>
      <c r="P25" s="164"/>
      <c r="Q25" s="143"/>
      <c r="R25" s="144"/>
      <c r="S25" s="145"/>
      <c r="Y25" s="375"/>
      <c r="Z25" s="375"/>
      <c r="AA25" s="390" t="s">
        <v>78</v>
      </c>
      <c r="AB25" s="391">
        <v>3</v>
      </c>
      <c r="AC25" s="391">
        <v>2</v>
      </c>
      <c r="AD25" s="391">
        <v>1</v>
      </c>
      <c r="AE25" s="391">
        <v>0</v>
      </c>
      <c r="AF25" s="391">
        <v>0</v>
      </c>
      <c r="AG25" s="391">
        <v>0</v>
      </c>
      <c r="AH25" s="391">
        <v>0</v>
      </c>
      <c r="AI25" s="374"/>
      <c r="AJ25" s="374"/>
      <c r="AK25" s="374"/>
    </row>
    <row r="26" spans="1:41" s="34" customFormat="1" ht="12.9" customHeight="1" x14ac:dyDescent="0.25">
      <c r="A26" s="147"/>
      <c r="B26" s="285"/>
      <c r="C26" s="281"/>
      <c r="D26" s="281"/>
      <c r="E26" s="158"/>
      <c r="F26" s="149"/>
      <c r="G26" s="149"/>
      <c r="H26" s="150"/>
      <c r="I26" s="138"/>
      <c r="J26" s="159"/>
      <c r="K26" s="151" t="s">
        <v>0</v>
      </c>
      <c r="L26" s="160" t="s">
        <v>128</v>
      </c>
      <c r="M26" s="153" t="str">
        <f>UPPER(IF(OR(L26="a",L26="as"),K24,IF(OR(L26="b",L26="bs"),K28,)))</f>
        <v>VASAS SC</v>
      </c>
      <c r="N26" s="161"/>
      <c r="O26" s="162"/>
      <c r="P26" s="164"/>
      <c r="Q26" s="143"/>
      <c r="R26" s="144"/>
      <c r="S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86"/>
      <c r="AM26" s="386"/>
      <c r="AN26" s="386"/>
      <c r="AO26" s="386"/>
    </row>
    <row r="27" spans="1:41" s="34" customFormat="1" ht="12.9" customHeight="1" x14ac:dyDescent="0.25">
      <c r="A27" s="147">
        <v>11</v>
      </c>
      <c r="B27" s="243" t="str">
        <f>IF($E27="","",VLOOKUP($E27,'F14 csapat ELO'!$A$7:$O$22,14))</f>
        <v/>
      </c>
      <c r="C27" s="272" t="str">
        <f>IF($E27="","",VLOOKUP($E27,'F14 csapat ELO'!$A$7:$O$22,15))</f>
        <v/>
      </c>
      <c r="D27" s="272" t="str">
        <f>IF($E27="","",VLOOKUP($E27,'F14 csapat ELO'!$A$7:$O$22,5))</f>
        <v/>
      </c>
      <c r="E27" s="136"/>
      <c r="F27" s="155" t="str">
        <f>UPPER(IF($E27="","",VLOOKUP($E27,'F14 csapat ELO'!$A$7:$O$22,2)))</f>
        <v/>
      </c>
      <c r="G27" s="155" t="str">
        <f>IF($E27="","",VLOOKUP($E27,'F14 csapat ELO'!$A$7:$O$22,3))</f>
        <v/>
      </c>
      <c r="H27" s="155"/>
      <c r="I27" s="155" t="str">
        <f>IF($E27="","",VLOOKUP($E27,'F14 csapat ELO'!$A$7:$O$22,4))</f>
        <v/>
      </c>
      <c r="J27" s="139"/>
      <c r="K27" s="138"/>
      <c r="L27" s="163"/>
      <c r="M27" s="439" t="s">
        <v>133</v>
      </c>
      <c r="N27" s="164"/>
      <c r="O27" s="162"/>
      <c r="P27" s="164"/>
      <c r="Q27" s="143"/>
      <c r="R27" s="144"/>
      <c r="S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86"/>
      <c r="AM27" s="386"/>
      <c r="AN27" s="386"/>
      <c r="AO27" s="386"/>
    </row>
    <row r="28" spans="1:41" s="34" customFormat="1" ht="12.9" customHeight="1" x14ac:dyDescent="0.25">
      <c r="A28" s="172"/>
      <c r="B28" s="285"/>
      <c r="C28" s="281"/>
      <c r="D28" s="281"/>
      <c r="E28" s="158"/>
      <c r="F28" s="149"/>
      <c r="G28" s="149"/>
      <c r="H28" s="150"/>
      <c r="I28" s="413" t="s">
        <v>0</v>
      </c>
      <c r="J28" s="152" t="s">
        <v>128</v>
      </c>
      <c r="K28" s="153" t="str">
        <f>UPPER(IF(OR(J28="a",J28="as"),F27,IF(OR(J28="b",J28="bs"),F29,)))</f>
        <v>VASAS SC</v>
      </c>
      <c r="L28" s="165"/>
      <c r="M28" s="138"/>
      <c r="N28" s="164"/>
      <c r="O28" s="162"/>
      <c r="P28" s="164"/>
      <c r="Q28" s="143"/>
      <c r="R28" s="144"/>
      <c r="S28" s="145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</row>
    <row r="29" spans="1:41" s="34" customFormat="1" ht="12.9" customHeight="1" x14ac:dyDescent="0.25">
      <c r="A29" s="135">
        <v>12</v>
      </c>
      <c r="B29" s="243">
        <f>IF($E29="","",VLOOKUP($E29,'F14 csapat ELO'!$A$7:$O$22,14))</f>
        <v>0</v>
      </c>
      <c r="C29" s="272">
        <f>IF($E29="","",VLOOKUP($E29,'F14 csapat ELO'!$A$7:$O$22,15))</f>
        <v>81</v>
      </c>
      <c r="D29" s="272">
        <f>IF($E29="","",VLOOKUP($E29,'F14 csapat ELO'!$A$7:$O$22,5))</f>
        <v>0</v>
      </c>
      <c r="E29" s="136">
        <v>4</v>
      </c>
      <c r="F29" s="137" t="str">
        <f>UPPER(IF($E29="","",VLOOKUP($E29,'F14 csapat ELO'!$A$7:$O$22,2)))</f>
        <v>VASAS SC</v>
      </c>
      <c r="G29" s="137">
        <f>IF($E29="","",VLOOKUP($E29,'F14 csapat ELO'!$A$7:$O$22,3))</f>
        <v>0</v>
      </c>
      <c r="H29" s="137"/>
      <c r="I29" s="137">
        <f>IF($E29="","",VLOOKUP($E29,'F14 csapat ELO'!$A$7:$O$22,4))</f>
        <v>0</v>
      </c>
      <c r="J29" s="166"/>
      <c r="K29" s="138"/>
      <c r="L29" s="138"/>
      <c r="M29" s="138"/>
      <c r="N29" s="164"/>
      <c r="O29" s="162"/>
      <c r="P29" s="164"/>
      <c r="Q29" s="143"/>
      <c r="R29" s="144"/>
      <c r="S29" s="145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</row>
    <row r="30" spans="1:41" s="34" customFormat="1" ht="12.9" customHeight="1" x14ac:dyDescent="0.25">
      <c r="A30" s="147"/>
      <c r="B30" s="285"/>
      <c r="C30" s="281"/>
      <c r="D30" s="281"/>
      <c r="E30" s="158"/>
      <c r="F30" s="138"/>
      <c r="G30" s="138"/>
      <c r="H30" s="66"/>
      <c r="I30" s="167"/>
      <c r="J30" s="159"/>
      <c r="K30" s="138"/>
      <c r="L30" s="138"/>
      <c r="M30" s="151" t="s">
        <v>0</v>
      </c>
      <c r="N30" s="160" t="s">
        <v>143</v>
      </c>
      <c r="O30" s="153" t="str">
        <f>UPPER(IF(OR(N30="a",N30="as"),M26,IF(OR(N30="b",N30="bs"),M34,)))</f>
        <v>TENISZ MÚHELY 2</v>
      </c>
      <c r="P30" s="170"/>
      <c r="Q30" s="143"/>
      <c r="R30" s="144"/>
      <c r="S30" s="145"/>
      <c r="AI30" s="386"/>
      <c r="AJ30" s="386"/>
      <c r="AK30" s="386"/>
    </row>
    <row r="31" spans="1:41" s="34" customFormat="1" ht="12.9" customHeight="1" x14ac:dyDescent="0.25">
      <c r="A31" s="147">
        <v>13</v>
      </c>
      <c r="B31" s="243" t="str">
        <f>IF($E31="","",VLOOKUP($E31,'F14 csapat ELO'!$A$7:$O$22,14))</f>
        <v/>
      </c>
      <c r="C31" s="272" t="str">
        <f>IF($E31="","",VLOOKUP($E31,'F14 csapat ELO'!$A$7:$O$22,15))</f>
        <v/>
      </c>
      <c r="D31" s="272" t="str">
        <f>IF($E31="","",VLOOKUP($E31,'F14 csapat ELO'!$A$7:$O$22,5))</f>
        <v/>
      </c>
      <c r="E31" s="136"/>
      <c r="F31" s="155" t="s">
        <v>144</v>
      </c>
      <c r="G31" s="155" t="str">
        <f>IF($E31="","",VLOOKUP($E31,'F14 csapat ELO'!$A$7:$O$22,3))</f>
        <v/>
      </c>
      <c r="H31" s="155"/>
      <c r="I31" s="155" t="str">
        <f>IF($E31="","",VLOOKUP($E31,'F14 csapat ELO'!$A$7:$O$22,4))</f>
        <v/>
      </c>
      <c r="J31" s="168"/>
      <c r="K31" s="138"/>
      <c r="L31" s="138"/>
      <c r="M31" s="138"/>
      <c r="N31" s="164"/>
      <c r="O31" s="167" t="s">
        <v>134</v>
      </c>
      <c r="P31" s="162"/>
      <c r="Q31" s="143"/>
      <c r="R31" s="144"/>
      <c r="S31" s="145"/>
      <c r="AI31" s="386"/>
      <c r="AJ31" s="386"/>
      <c r="AK31" s="386"/>
    </row>
    <row r="32" spans="1:41" s="34" customFormat="1" ht="12.9" customHeight="1" x14ac:dyDescent="0.25">
      <c r="A32" s="147"/>
      <c r="B32" s="285"/>
      <c r="C32" s="281"/>
      <c r="D32" s="281"/>
      <c r="E32" s="158"/>
      <c r="F32" s="149"/>
      <c r="G32" s="149"/>
      <c r="H32" s="150"/>
      <c r="I32" s="151" t="s">
        <v>0</v>
      </c>
      <c r="J32" s="152" t="s">
        <v>130</v>
      </c>
      <c r="K32" s="153" t="str">
        <f>UPPER(IF(OR(J32="a",J32="as"),F31,IF(OR(J32="b",J32="bs"),F33,)))</f>
        <v>BEBTO T.</v>
      </c>
      <c r="L32" s="153"/>
      <c r="M32" s="138"/>
      <c r="N32" s="164"/>
      <c r="O32" s="162"/>
      <c r="P32" s="162"/>
      <c r="Q32" s="143"/>
      <c r="R32" s="144"/>
      <c r="S32" s="145"/>
      <c r="AI32" s="386"/>
      <c r="AJ32" s="386"/>
      <c r="AK32" s="386"/>
    </row>
    <row r="33" spans="1:37" s="34" customFormat="1" ht="12.9" customHeight="1" x14ac:dyDescent="0.25">
      <c r="A33" s="147">
        <v>14</v>
      </c>
      <c r="B33" s="243">
        <f>IF($E33="","",VLOOKUP($E33,'F14 csapat ELO'!$A$7:$O$22,14))</f>
        <v>0</v>
      </c>
      <c r="C33" s="272">
        <f>IF($E33="","",VLOOKUP($E33,'F14 csapat ELO'!$A$7:$O$22,15))</f>
        <v>277</v>
      </c>
      <c r="D33" s="272">
        <f>IF($E33="","",VLOOKUP($E33,'F14 csapat ELO'!$A$7:$O$22,5))</f>
        <v>0</v>
      </c>
      <c r="E33" s="136">
        <v>10</v>
      </c>
      <c r="F33" s="155" t="str">
        <f>UPPER(IF($E33="","",VLOOKUP($E33,'F14 csapat ELO'!$A$7:$O$22,2)))</f>
        <v>BEBTO T.</v>
      </c>
      <c r="G33" s="155">
        <f>IF($E33="","",VLOOKUP($E33,'F14 csapat ELO'!$A$7:$O$22,3))</f>
        <v>0</v>
      </c>
      <c r="H33" s="155"/>
      <c r="I33" s="155">
        <f>IF($E33="","",VLOOKUP($E33,'F14 csapat ELO'!$A$7:$O$22,4))</f>
        <v>0</v>
      </c>
      <c r="J33" s="156"/>
      <c r="K33" s="138"/>
      <c r="L33" s="157"/>
      <c r="M33" s="138"/>
      <c r="N33" s="164"/>
      <c r="O33" s="162"/>
      <c r="P33" s="162"/>
      <c r="Q33" s="143"/>
      <c r="R33" s="144"/>
      <c r="S33" s="145"/>
      <c r="AI33" s="386"/>
      <c r="AJ33" s="386"/>
      <c r="AK33" s="386"/>
    </row>
    <row r="34" spans="1:37" s="34" customFormat="1" ht="12.9" customHeight="1" x14ac:dyDescent="0.25">
      <c r="A34" s="147"/>
      <c r="B34" s="285"/>
      <c r="C34" s="281"/>
      <c r="D34" s="281"/>
      <c r="E34" s="158"/>
      <c r="F34" s="149"/>
      <c r="G34" s="149"/>
      <c r="H34" s="150"/>
      <c r="I34" s="138"/>
      <c r="J34" s="159"/>
      <c r="K34" s="151" t="s">
        <v>0</v>
      </c>
      <c r="L34" s="160" t="s">
        <v>128</v>
      </c>
      <c r="M34" s="153" t="str">
        <f>UPPER(IF(OR(L34="a",L34="as"),K32,IF(OR(L34="b",L34="bs"),K36,)))</f>
        <v>TENISZ MÚHELY 2</v>
      </c>
      <c r="N34" s="170"/>
      <c r="O34" s="162"/>
      <c r="P34" s="162"/>
      <c r="Q34" s="143"/>
      <c r="R34" s="144"/>
      <c r="S34" s="145"/>
      <c r="AI34" s="386"/>
      <c r="AJ34" s="386"/>
      <c r="AK34" s="386"/>
    </row>
    <row r="35" spans="1:37" s="34" customFormat="1" ht="12.9" customHeight="1" x14ac:dyDescent="0.25">
      <c r="A35" s="147">
        <v>15</v>
      </c>
      <c r="B35" s="243" t="str">
        <f>IF($E35="","",VLOOKUP($E35,'F14 csapat ELO'!$A$7:$O$22,14))</f>
        <v/>
      </c>
      <c r="C35" s="272" t="str">
        <f>IF($E35="","",VLOOKUP($E35,'F14 csapat ELO'!$A$7:$O$22,15))</f>
        <v/>
      </c>
      <c r="D35" s="272" t="str">
        <f>IF($E35="","",VLOOKUP($E35,'F14 csapat ELO'!$A$7:$O$22,5))</f>
        <v/>
      </c>
      <c r="E35" s="136"/>
      <c r="F35" s="155" t="s">
        <v>144</v>
      </c>
      <c r="G35" s="155" t="str">
        <f>IF($E35="","",VLOOKUP($E35,'F14 csapat ELO'!$A$7:$O$22,3))</f>
        <v/>
      </c>
      <c r="H35" s="155"/>
      <c r="I35" s="155" t="str">
        <f>IF($E35="","",VLOOKUP($E35,'F14 csapat ELO'!$A$7:$O$22,4))</f>
        <v/>
      </c>
      <c r="J35" s="139"/>
      <c r="K35" s="138"/>
      <c r="L35" s="163"/>
      <c r="M35" s="167" t="s">
        <v>140</v>
      </c>
      <c r="N35" s="162"/>
      <c r="O35" s="162"/>
      <c r="P35" s="162"/>
      <c r="Q35" s="143"/>
      <c r="R35" s="144"/>
      <c r="S35" s="145"/>
      <c r="AI35" s="386"/>
      <c r="AJ35" s="386"/>
      <c r="AK35" s="386"/>
    </row>
    <row r="36" spans="1:37" s="34" customFormat="1" ht="12.9" customHeight="1" x14ac:dyDescent="0.25">
      <c r="A36" s="147"/>
      <c r="B36" s="285"/>
      <c r="C36" s="281"/>
      <c r="D36" s="281"/>
      <c r="E36" s="148"/>
      <c r="F36" s="149"/>
      <c r="G36" s="149"/>
      <c r="H36" s="150"/>
      <c r="I36" s="151" t="s">
        <v>0</v>
      </c>
      <c r="J36" s="152" t="s">
        <v>128</v>
      </c>
      <c r="K36" s="153" t="str">
        <f>UPPER(IF(OR(J36="a",J36="as"),F35,IF(OR(J36="b",J36="bs"),F37,)))</f>
        <v>TENISZ MÚHELY 2</v>
      </c>
      <c r="L36" s="165"/>
      <c r="M36" s="138"/>
      <c r="N36" s="162"/>
      <c r="O36" s="162"/>
      <c r="P36" s="162"/>
      <c r="Q36" s="143"/>
      <c r="R36" s="144"/>
      <c r="S36" s="145"/>
      <c r="AI36" s="386"/>
      <c r="AJ36" s="386"/>
      <c r="AK36" s="386"/>
    </row>
    <row r="37" spans="1:37" s="34" customFormat="1" ht="12.9" customHeight="1" x14ac:dyDescent="0.25">
      <c r="A37" s="135">
        <v>16</v>
      </c>
      <c r="B37" s="243">
        <f>IF($E37="","",VLOOKUP($E37,'F14 csapat ELO'!$A$7:$O$22,14))</f>
        <v>0</v>
      </c>
      <c r="C37" s="272">
        <f>IF($E37="","",VLOOKUP($E37,'F14 csapat ELO'!$A$7:$O$22,15))</f>
        <v>50</v>
      </c>
      <c r="D37" s="272">
        <f>IF($E37="","",VLOOKUP($E37,'F14 csapat ELO'!$A$7:$O$22,5))</f>
        <v>0</v>
      </c>
      <c r="E37" s="136">
        <v>2</v>
      </c>
      <c r="F37" s="137" t="str">
        <f>UPPER(IF($E37="","",VLOOKUP($E37,'F14 csapat ELO'!$A$7:$O$22,2)))</f>
        <v>TENISZ MÚHELY 2</v>
      </c>
      <c r="G37" s="137">
        <f>IF($E37="","",VLOOKUP($E37,'F14 csapat ELO'!$A$7:$O$22,3))</f>
        <v>0</v>
      </c>
      <c r="H37" s="155"/>
      <c r="I37" s="137">
        <f>IF($E37="","",VLOOKUP($E37,'F14 csapat ELO'!$A$7:$O$22,4))</f>
        <v>0</v>
      </c>
      <c r="J37" s="166"/>
      <c r="K37" s="138"/>
      <c r="L37" s="138"/>
      <c r="M37" s="138"/>
      <c r="N37" s="162"/>
      <c r="O37" s="162"/>
      <c r="P37" s="162"/>
      <c r="Q37" s="143"/>
      <c r="R37" s="144"/>
      <c r="S37" s="145"/>
      <c r="AI37" s="386"/>
      <c r="AJ37" s="386"/>
      <c r="AK37" s="386"/>
    </row>
    <row r="38" spans="1:37" s="34" customFormat="1" ht="9.6" customHeight="1" x14ac:dyDescent="0.25">
      <c r="A38" s="173"/>
      <c r="B38" s="148"/>
      <c r="C38" s="148"/>
      <c r="D38" s="148"/>
      <c r="E38" s="148"/>
      <c r="F38" s="167"/>
      <c r="G38" s="167"/>
      <c r="H38" s="171"/>
      <c r="I38" s="138"/>
      <c r="J38" s="159"/>
      <c r="K38" s="138"/>
      <c r="L38" s="138"/>
      <c r="M38" s="138"/>
      <c r="N38" s="162"/>
      <c r="O38" s="162"/>
      <c r="P38" s="162"/>
      <c r="Q38" s="143"/>
      <c r="R38" s="144"/>
      <c r="S38" s="145"/>
      <c r="AI38" s="386"/>
      <c r="AJ38" s="386"/>
      <c r="AK38" s="386"/>
    </row>
    <row r="39" spans="1:37" s="34" customFormat="1" ht="9.6" customHeight="1" x14ac:dyDescent="0.25">
      <c r="A39" s="174"/>
      <c r="B39" s="140"/>
      <c r="C39" s="140"/>
      <c r="D39" s="140"/>
      <c r="E39" s="148"/>
      <c r="F39" s="140"/>
      <c r="G39" s="140"/>
      <c r="H39" s="140"/>
      <c r="I39" s="140"/>
      <c r="J39" s="148"/>
      <c r="K39" s="140"/>
      <c r="L39" s="140"/>
      <c r="M39" s="140"/>
      <c r="N39" s="175"/>
      <c r="O39" s="175"/>
      <c r="P39" s="175"/>
      <c r="Q39" s="143"/>
      <c r="R39" s="144"/>
      <c r="S39" s="145"/>
      <c r="AI39" s="386"/>
      <c r="AJ39" s="386"/>
      <c r="AK39" s="386"/>
    </row>
    <row r="40" spans="1:37" s="34" customFormat="1" ht="9.6" customHeight="1" x14ac:dyDescent="0.25">
      <c r="A40" s="173"/>
      <c r="B40" s="148"/>
      <c r="C40" s="148"/>
      <c r="D40" s="148"/>
      <c r="E40" s="148"/>
      <c r="F40" s="140"/>
      <c r="G40" s="140"/>
      <c r="I40" s="140"/>
      <c r="J40" s="148"/>
      <c r="K40" s="140"/>
      <c r="L40" s="140"/>
      <c r="M40" s="176"/>
      <c r="N40" s="148"/>
      <c r="O40" s="140"/>
      <c r="P40" s="175"/>
      <c r="Q40" s="143"/>
      <c r="R40" s="144"/>
      <c r="S40" s="145"/>
      <c r="AI40" s="386"/>
      <c r="AJ40" s="386"/>
      <c r="AK40" s="386"/>
    </row>
    <row r="41" spans="1:37" s="34" customFormat="1" ht="9.6" customHeight="1" x14ac:dyDescent="0.25">
      <c r="A41" s="173"/>
      <c r="B41" s="140"/>
      <c r="C41" s="140"/>
      <c r="D41" s="140"/>
      <c r="E41" s="148"/>
      <c r="F41" s="140"/>
      <c r="G41" s="140"/>
      <c r="H41" s="140"/>
      <c r="I41" s="140"/>
      <c r="J41" s="148"/>
      <c r="K41" s="140"/>
      <c r="L41" s="140"/>
      <c r="M41" s="140"/>
      <c r="N41" s="175"/>
      <c r="O41" s="140"/>
      <c r="P41" s="175"/>
      <c r="Q41" s="143"/>
      <c r="R41" s="144"/>
      <c r="S41" s="145"/>
      <c r="AI41" s="386"/>
      <c r="AJ41" s="386"/>
      <c r="AK41" s="386"/>
    </row>
    <row r="42" spans="1:37" s="34" customFormat="1" ht="9.6" customHeight="1" x14ac:dyDescent="0.25">
      <c r="A42" s="173"/>
      <c r="B42" s="148"/>
      <c r="C42" s="148"/>
      <c r="D42" s="148"/>
      <c r="E42" s="148"/>
      <c r="F42" s="140"/>
      <c r="G42" s="140"/>
      <c r="I42" s="176"/>
      <c r="J42" s="148"/>
      <c r="K42" s="140"/>
      <c r="L42" s="140"/>
      <c r="M42" s="140"/>
      <c r="N42" s="175"/>
      <c r="O42" s="175"/>
      <c r="P42" s="175"/>
      <c r="Q42" s="143"/>
      <c r="R42" s="144"/>
      <c r="S42" s="145"/>
      <c r="AI42" s="386"/>
      <c r="AJ42" s="386"/>
      <c r="AK42" s="386"/>
    </row>
    <row r="43" spans="1:37" s="34" customFormat="1" ht="9.6" customHeight="1" x14ac:dyDescent="0.25">
      <c r="A43" s="173"/>
      <c r="B43" s="140"/>
      <c r="C43" s="140"/>
      <c r="D43" s="140"/>
      <c r="E43" s="148"/>
      <c r="F43" s="140"/>
      <c r="G43" s="140"/>
      <c r="H43" s="140"/>
      <c r="I43" s="140"/>
      <c r="J43" s="148"/>
      <c r="K43" s="140"/>
      <c r="L43" s="177"/>
      <c r="M43" s="140"/>
      <c r="N43" s="175"/>
      <c r="O43" s="175"/>
      <c r="P43" s="175"/>
      <c r="Q43" s="143"/>
      <c r="R43" s="144"/>
      <c r="S43" s="145"/>
      <c r="AI43" s="386"/>
      <c r="AJ43" s="386"/>
      <c r="AK43" s="386"/>
    </row>
    <row r="44" spans="1:37" s="34" customFormat="1" ht="9.6" customHeight="1" x14ac:dyDescent="0.25">
      <c r="A44" s="173"/>
      <c r="B44" s="148"/>
      <c r="C44" s="148"/>
      <c r="D44" s="148"/>
      <c r="E44" s="148"/>
      <c r="F44" s="140"/>
      <c r="G44" s="140"/>
      <c r="I44" s="140"/>
      <c r="J44" s="148"/>
      <c r="K44" s="176"/>
      <c r="L44" s="148"/>
      <c r="M44" s="140"/>
      <c r="N44" s="175"/>
      <c r="O44" s="175"/>
      <c r="P44" s="175"/>
      <c r="Q44" s="143"/>
      <c r="R44" s="144"/>
      <c r="S44" s="145"/>
      <c r="AI44" s="386"/>
      <c r="AJ44" s="386"/>
      <c r="AK44" s="386"/>
    </row>
    <row r="45" spans="1:37" s="34" customFormat="1" ht="9.6" customHeight="1" x14ac:dyDescent="0.25">
      <c r="A45" s="173"/>
      <c r="B45" s="140"/>
      <c r="C45" s="140"/>
      <c r="D45" s="140"/>
      <c r="E45" s="148"/>
      <c r="F45" s="140"/>
      <c r="G45" s="140"/>
      <c r="H45" s="140"/>
      <c r="I45" s="140"/>
      <c r="J45" s="148"/>
      <c r="K45" s="140"/>
      <c r="L45" s="140"/>
      <c r="M45" s="140"/>
      <c r="N45" s="175"/>
      <c r="O45" s="175"/>
      <c r="P45" s="175"/>
      <c r="Q45" s="143"/>
      <c r="R45" s="144"/>
      <c r="S45" s="145"/>
      <c r="AI45" s="386"/>
      <c r="AJ45" s="386"/>
      <c r="AK45" s="386"/>
    </row>
    <row r="46" spans="1:37" s="34" customFormat="1" ht="9.6" customHeight="1" x14ac:dyDescent="0.25">
      <c r="A46" s="173"/>
      <c r="B46" s="148"/>
      <c r="C46" s="148"/>
      <c r="D46" s="148"/>
      <c r="E46" s="148"/>
      <c r="F46" s="140"/>
      <c r="G46" s="140"/>
      <c r="I46" s="176"/>
      <c r="J46" s="148"/>
      <c r="K46" s="140"/>
      <c r="L46" s="140"/>
      <c r="M46" s="140"/>
      <c r="N46" s="175"/>
      <c r="O46" s="175"/>
      <c r="P46" s="175"/>
      <c r="Q46" s="143"/>
      <c r="R46" s="144"/>
      <c r="S46" s="145"/>
      <c r="AI46" s="386"/>
      <c r="AJ46" s="386"/>
      <c r="AK46" s="386"/>
    </row>
    <row r="47" spans="1:37" s="34" customFormat="1" ht="9.6" customHeight="1" x14ac:dyDescent="0.25">
      <c r="A47" s="174"/>
      <c r="B47" s="140"/>
      <c r="C47" s="140"/>
      <c r="D47" s="140"/>
      <c r="E47" s="148"/>
      <c r="F47" s="140"/>
      <c r="G47" s="140"/>
      <c r="H47" s="140"/>
      <c r="I47" s="140"/>
      <c r="J47" s="148"/>
      <c r="K47" s="140"/>
      <c r="L47" s="140"/>
      <c r="M47" s="140"/>
      <c r="N47" s="140"/>
      <c r="O47" s="141"/>
      <c r="P47" s="141"/>
      <c r="Q47" s="143"/>
      <c r="R47" s="144"/>
      <c r="S47" s="145"/>
      <c r="AI47" s="386"/>
      <c r="AJ47" s="386"/>
      <c r="AK47" s="386"/>
    </row>
    <row r="48" spans="1:37" s="2" customFormat="1" ht="6.75" customHeight="1" x14ac:dyDescent="0.25">
      <c r="A48" s="179"/>
      <c r="B48" s="179"/>
      <c r="C48" s="179"/>
      <c r="D48" s="179"/>
      <c r="E48" s="179"/>
      <c r="F48" s="180"/>
      <c r="G48" s="180"/>
      <c r="H48" s="180"/>
      <c r="I48" s="180"/>
      <c r="J48" s="181"/>
      <c r="K48" s="182"/>
      <c r="L48" s="183"/>
      <c r="M48" s="182"/>
      <c r="N48" s="183"/>
      <c r="O48" s="182"/>
      <c r="P48" s="183"/>
      <c r="Q48" s="182"/>
      <c r="R48" s="183"/>
      <c r="S48" s="184"/>
      <c r="AI48" s="387"/>
      <c r="AJ48" s="387"/>
      <c r="AK48" s="387"/>
    </row>
    <row r="49" spans="1:37" s="18" customFormat="1" ht="10.5" customHeight="1" x14ac:dyDescent="0.25">
      <c r="A49" s="185" t="s">
        <v>44</v>
      </c>
      <c r="B49" s="186"/>
      <c r="C49" s="186"/>
      <c r="D49" s="276"/>
      <c r="E49" s="187" t="s">
        <v>5</v>
      </c>
      <c r="F49" s="188" t="s">
        <v>46</v>
      </c>
      <c r="G49" s="187"/>
      <c r="H49" s="189"/>
      <c r="I49" s="190"/>
      <c r="J49" s="187" t="s">
        <v>5</v>
      </c>
      <c r="K49" s="188" t="s">
        <v>54</v>
      </c>
      <c r="L49" s="191"/>
      <c r="M49" s="188" t="s">
        <v>55</v>
      </c>
      <c r="N49" s="192"/>
      <c r="O49" s="193" t="s">
        <v>56</v>
      </c>
      <c r="P49" s="193"/>
      <c r="Q49" s="194"/>
      <c r="R49" s="195"/>
      <c r="AI49" s="388"/>
      <c r="AJ49" s="388"/>
      <c r="AK49" s="388"/>
    </row>
    <row r="50" spans="1:37" s="18" customFormat="1" ht="9" customHeight="1" x14ac:dyDescent="0.25">
      <c r="A50" s="277" t="s">
        <v>45</v>
      </c>
      <c r="B50" s="278"/>
      <c r="C50" s="279"/>
      <c r="D50" s="280"/>
      <c r="E50" s="197">
        <v>1</v>
      </c>
      <c r="F50" s="87" t="str">
        <f>IF(E50&gt;$R$57,,UPPER(VLOOKUP(E50,'F14 csapat ELO'!$A$7:$Q$134,2)))</f>
        <v>PASARÉT TK 1</v>
      </c>
      <c r="G50" s="198"/>
      <c r="H50" s="87"/>
      <c r="I50" s="86"/>
      <c r="J50" s="199" t="s">
        <v>6</v>
      </c>
      <c r="K50" s="196"/>
      <c r="L50" s="200"/>
      <c r="M50" s="196"/>
      <c r="N50" s="201"/>
      <c r="O50" s="202" t="s">
        <v>47</v>
      </c>
      <c r="P50" s="203"/>
      <c r="Q50" s="203"/>
      <c r="R50" s="204"/>
      <c r="AI50" s="388"/>
      <c r="AJ50" s="388"/>
      <c r="AK50" s="388"/>
    </row>
    <row r="51" spans="1:37" s="18" customFormat="1" ht="9" customHeight="1" x14ac:dyDescent="0.25">
      <c r="A51" s="209" t="s">
        <v>53</v>
      </c>
      <c r="B51" s="207"/>
      <c r="C51" s="273"/>
      <c r="D51" s="210"/>
      <c r="E51" s="197">
        <v>2</v>
      </c>
      <c r="F51" s="87" t="str">
        <f>IF(E51&gt;$R$57,,UPPER(VLOOKUP(E51,'F14 csapat ELO'!$A$7:$Q$134,2)))</f>
        <v>TENISZ MÚHELY 2</v>
      </c>
      <c r="G51" s="198"/>
      <c r="H51" s="87"/>
      <c r="I51" s="86"/>
      <c r="J51" s="199" t="s">
        <v>7</v>
      </c>
      <c r="K51" s="196"/>
      <c r="L51" s="200"/>
      <c r="M51" s="196"/>
      <c r="N51" s="201"/>
      <c r="O51" s="205"/>
      <c r="P51" s="206"/>
      <c r="Q51" s="207"/>
      <c r="R51" s="208"/>
      <c r="AI51" s="388"/>
      <c r="AJ51" s="388"/>
      <c r="AK51" s="388"/>
    </row>
    <row r="52" spans="1:37" s="18" customFormat="1" ht="9" customHeight="1" x14ac:dyDescent="0.25">
      <c r="A52" s="236"/>
      <c r="B52" s="237"/>
      <c r="C52" s="274"/>
      <c r="D52" s="238"/>
      <c r="E52" s="197">
        <v>3</v>
      </c>
      <c r="F52" s="87" t="str">
        <f>IF(E52&gt;$R$57,,UPPER(VLOOKUP(E52,'F14 csapat ELO'!$A$7:$Q$134,2)))</f>
        <v>OKOS TENISZ SE</v>
      </c>
      <c r="G52" s="198"/>
      <c r="H52" s="87"/>
      <c r="I52" s="86"/>
      <c r="J52" s="199" t="s">
        <v>8</v>
      </c>
      <c r="K52" s="196"/>
      <c r="L52" s="200"/>
      <c r="M52" s="196"/>
      <c r="N52" s="201"/>
      <c r="O52" s="202" t="s">
        <v>48</v>
      </c>
      <c r="P52" s="203"/>
      <c r="Q52" s="203"/>
      <c r="R52" s="204"/>
      <c r="AI52" s="388"/>
      <c r="AJ52" s="388"/>
      <c r="AK52" s="388"/>
    </row>
    <row r="53" spans="1:37" s="18" customFormat="1" ht="9" customHeight="1" x14ac:dyDescent="0.25">
      <c r="A53" s="211"/>
      <c r="B53" s="269"/>
      <c r="C53" s="269"/>
      <c r="D53" s="212"/>
      <c r="E53" s="197">
        <v>4</v>
      </c>
      <c r="F53" s="87" t="str">
        <f>IF(E53&gt;$R$57,,UPPER(VLOOKUP(E53,'F14 csapat ELO'!$A$7:$Q$134,2)))</f>
        <v>VASAS SC</v>
      </c>
      <c r="G53" s="198"/>
      <c r="H53" s="87"/>
      <c r="I53" s="86"/>
      <c r="J53" s="199" t="s">
        <v>9</v>
      </c>
      <c r="K53" s="196"/>
      <c r="L53" s="200"/>
      <c r="M53" s="196"/>
      <c r="N53" s="201"/>
      <c r="O53" s="196"/>
      <c r="P53" s="200"/>
      <c r="Q53" s="196"/>
      <c r="R53" s="201"/>
      <c r="AI53" s="388"/>
      <c r="AJ53" s="388"/>
      <c r="AK53" s="388"/>
    </row>
    <row r="54" spans="1:37" s="18" customFormat="1" ht="9" customHeight="1" x14ac:dyDescent="0.25">
      <c r="A54" s="224"/>
      <c r="B54" s="239"/>
      <c r="C54" s="239"/>
      <c r="D54" s="275"/>
      <c r="E54" s="197"/>
      <c r="F54" s="87"/>
      <c r="G54" s="198"/>
      <c r="H54" s="87"/>
      <c r="I54" s="86"/>
      <c r="J54" s="199" t="s">
        <v>10</v>
      </c>
      <c r="K54" s="196"/>
      <c r="L54" s="200"/>
      <c r="M54" s="196"/>
      <c r="N54" s="201"/>
      <c r="O54" s="207"/>
      <c r="P54" s="206"/>
      <c r="Q54" s="207"/>
      <c r="R54" s="208"/>
      <c r="AI54" s="388"/>
      <c r="AJ54" s="388"/>
      <c r="AK54" s="388"/>
    </row>
    <row r="55" spans="1:37" s="18" customFormat="1" ht="9" customHeight="1" x14ac:dyDescent="0.25">
      <c r="A55" s="225"/>
      <c r="B55" s="242"/>
      <c r="C55" s="269"/>
      <c r="D55" s="212"/>
      <c r="E55" s="197"/>
      <c r="F55" s="87"/>
      <c r="G55" s="198"/>
      <c r="H55" s="87"/>
      <c r="I55" s="86"/>
      <c r="J55" s="199" t="s">
        <v>11</v>
      </c>
      <c r="K55" s="196"/>
      <c r="L55" s="200"/>
      <c r="M55" s="196"/>
      <c r="N55" s="201"/>
      <c r="O55" s="202" t="s">
        <v>34</v>
      </c>
      <c r="P55" s="203"/>
      <c r="Q55" s="203"/>
      <c r="R55" s="204"/>
      <c r="AI55" s="388"/>
      <c r="AJ55" s="388"/>
      <c r="AK55" s="388"/>
    </row>
    <row r="56" spans="1:37" s="18" customFormat="1" ht="9" customHeight="1" x14ac:dyDescent="0.25">
      <c r="A56" s="225"/>
      <c r="B56" s="242"/>
      <c r="C56" s="270"/>
      <c r="D56" s="234"/>
      <c r="E56" s="197"/>
      <c r="F56" s="87"/>
      <c r="G56" s="198"/>
      <c r="H56" s="87"/>
      <c r="I56" s="86"/>
      <c r="J56" s="199" t="s">
        <v>12</v>
      </c>
      <c r="K56" s="196"/>
      <c r="L56" s="200"/>
      <c r="M56" s="196"/>
      <c r="N56" s="201"/>
      <c r="O56" s="196"/>
      <c r="P56" s="200"/>
      <c r="Q56" s="196"/>
      <c r="R56" s="201"/>
      <c r="AI56" s="388"/>
      <c r="AJ56" s="388"/>
      <c r="AK56" s="388"/>
    </row>
    <row r="57" spans="1:37" s="18" customFormat="1" ht="9" customHeight="1" x14ac:dyDescent="0.25">
      <c r="A57" s="226"/>
      <c r="B57" s="223"/>
      <c r="C57" s="271"/>
      <c r="D57" s="235"/>
      <c r="E57" s="213"/>
      <c r="F57" s="214"/>
      <c r="G57" s="215"/>
      <c r="H57" s="214"/>
      <c r="I57" s="216"/>
      <c r="J57" s="217" t="s">
        <v>13</v>
      </c>
      <c r="K57" s="207"/>
      <c r="L57" s="206"/>
      <c r="M57" s="207"/>
      <c r="N57" s="208"/>
      <c r="O57" s="207" t="str">
        <f>R4</f>
        <v>Rákóczi Andrea</v>
      </c>
      <c r="P57" s="206"/>
      <c r="Q57" s="207"/>
      <c r="R57" s="218">
        <f>MIN(4,'F14 csapat ELO'!Q5)</f>
        <v>4</v>
      </c>
      <c r="AI57" s="388"/>
      <c r="AJ57" s="388"/>
      <c r="AK57" s="388"/>
    </row>
  </sheetData>
  <mergeCells count="1">
    <mergeCell ref="A4:C4"/>
  </mergeCells>
  <conditionalFormatting sqref="G45:I45 G39:I39 H23 H25 H27 H29 H31 H33 H35 H37 G47:I47 G41:I41 G43:I43 H7 H9 H11 H13 H15 H17 H19 H21">
    <cfRule type="expression" dxfId="104" priority="14" stopIfTrue="1">
      <formula>AND($E7&lt;9,$C7&gt;0)</formula>
    </cfRule>
  </conditionalFormatting>
  <conditionalFormatting sqref="I32 I46 I36 K44 I42 K10 M14 K18 K26 K34 M30 M40 O22 I8 I12 I16 I20 I24 I28">
    <cfRule type="expression" dxfId="103" priority="11" stopIfTrue="1">
      <formula>AND($O$1="CU",I8="Umpire")</formula>
    </cfRule>
    <cfRule type="expression" dxfId="102" priority="12" stopIfTrue="1">
      <formula>AND($O$1="CU",I8&lt;&gt;"Umpire",J8&lt;&gt;"")</formula>
    </cfRule>
    <cfRule type="expression" dxfId="101" priority="13" stopIfTrue="1">
      <formula>AND($O$1="CU",I8&lt;&gt;"Umpire")</formula>
    </cfRule>
  </conditionalFormatting>
  <conditionalFormatting sqref="E39 E47 E45 E43 E41">
    <cfRule type="expression" dxfId="100" priority="10" stopIfTrue="1">
      <formula>AND($E39&lt;9,$C39&gt;0)</formula>
    </cfRule>
  </conditionalFormatting>
  <conditionalFormatting sqref="F41 F43 F45 F47 F39">
    <cfRule type="cellIs" dxfId="99" priority="8" stopIfTrue="1" operator="equal">
      <formula>"Bye"</formula>
    </cfRule>
    <cfRule type="expression" dxfId="98" priority="9" stopIfTrue="1">
      <formula>AND($E39&lt;9,$C39&gt;0)</formula>
    </cfRule>
  </conditionalFormatting>
  <conditionalFormatting sqref="M10 M18 M26 M34 O30 O40 M44 O14 Q22 K8 K12 K16 K20 K24 K28 K32 K36 K42 K46">
    <cfRule type="expression" dxfId="97" priority="6" stopIfTrue="1">
      <formula>J8="as"</formula>
    </cfRule>
    <cfRule type="expression" dxfId="96" priority="7" stopIfTrue="1">
      <formula>J8="bs"</formula>
    </cfRule>
  </conditionalFormatting>
  <conditionalFormatting sqref="B41 B43 B45 B47 B39">
    <cfRule type="cellIs" dxfId="95" priority="4" stopIfTrue="1" operator="equal">
      <formula>"QA"</formula>
    </cfRule>
    <cfRule type="cellIs" dxfId="94" priority="5" stopIfTrue="1" operator="equal">
      <formula>"DA"</formula>
    </cfRule>
  </conditionalFormatting>
  <conditionalFormatting sqref="R57 J8 J12 J16 J20 J24 J28 J32 J36 N30 N14 L10 L34 L18 L26 P22">
    <cfRule type="expression" dxfId="93" priority="3" stopIfTrue="1">
      <formula>$O$1="CU"</formula>
    </cfRule>
  </conditionalFormatting>
  <conditionalFormatting sqref="E9 E7 E11 E13 E15 E17 E19 E21 E23 E25 E27 E29 E31 E33 E35 E37">
    <cfRule type="expression" dxfId="92" priority="2" stopIfTrue="1">
      <formula>$E7&lt;5</formula>
    </cfRule>
  </conditionalFormatting>
  <conditionalFormatting sqref="F35 F37 F25 F33 F31 F29 F27 F23 F19 F21 F9 F17 F15 F13 F11 F7">
    <cfRule type="cellIs" dxfId="91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 xr:uid="{21D1DE08-F236-4A7B-B9FF-41A76139DFC2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22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3A82-8897-454D-A199-C9CC62CE32F7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V17" sqref="V17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41" customWidth="1"/>
    <col min="5" max="5" width="12.109375" style="418" customWidth="1"/>
    <col min="6" max="6" width="6.109375" style="94" hidden="1" customWidth="1"/>
    <col min="7" max="7" width="29.88671875" style="94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8" thickBot="1" x14ac:dyDescent="0.3">
      <c r="B2" s="90" t="s">
        <v>51</v>
      </c>
      <c r="C2" s="432" t="str">
        <f>Altalanos!$C$8</f>
        <v>F16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8" thickBot="1" x14ac:dyDescent="0.3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5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8" thickBot="1" x14ac:dyDescent="0.3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3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899999999999999" customHeight="1" x14ac:dyDescent="0.25">
      <c r="A7" s="253">
        <v>1</v>
      </c>
      <c r="B7" s="96" t="s">
        <v>112</v>
      </c>
      <c r="C7" s="96"/>
      <c r="D7" s="97"/>
      <c r="E7" s="268"/>
      <c r="F7" s="399"/>
      <c r="G7" s="400"/>
      <c r="H7" s="97"/>
      <c r="I7" s="97"/>
      <c r="J7" s="250"/>
      <c r="K7" s="248"/>
      <c r="L7" s="252"/>
      <c r="M7" s="248"/>
      <c r="N7" s="241"/>
      <c r="O7" s="429">
        <v>17</v>
      </c>
      <c r="P7" s="116"/>
      <c r="Q7" s="98"/>
    </row>
    <row r="8" spans="1:17" s="11" customFormat="1" ht="18.899999999999999" customHeight="1" x14ac:dyDescent="0.25">
      <c r="A8" s="253">
        <v>2</v>
      </c>
      <c r="B8" s="96" t="s">
        <v>113</v>
      </c>
      <c r="C8" s="96"/>
      <c r="D8" s="97"/>
      <c r="E8" s="268"/>
      <c r="F8" s="401"/>
      <c r="G8" s="402"/>
      <c r="H8" s="97"/>
      <c r="I8" s="97"/>
      <c r="J8" s="250"/>
      <c r="K8" s="248"/>
      <c r="L8" s="252"/>
      <c r="M8" s="248"/>
      <c r="N8" s="241"/>
      <c r="O8" s="97">
        <v>29</v>
      </c>
      <c r="P8" s="116"/>
      <c r="Q8" s="98"/>
    </row>
    <row r="9" spans="1:17" s="11" customFormat="1" ht="18.899999999999999" customHeight="1" x14ac:dyDescent="0.25">
      <c r="A9" s="253">
        <v>3</v>
      </c>
      <c r="B9" s="96" t="s">
        <v>96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30</v>
      </c>
      <c r="P9" s="412"/>
      <c r="Q9" s="283"/>
    </row>
    <row r="10" spans="1:17" s="11" customFormat="1" ht="18.899999999999999" customHeight="1" x14ac:dyDescent="0.25">
      <c r="A10" s="253">
        <v>4</v>
      </c>
      <c r="B10" s="96" t="s">
        <v>115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36</v>
      </c>
      <c r="P10" s="411"/>
      <c r="Q10" s="408"/>
    </row>
    <row r="11" spans="1:17" s="11" customFormat="1" ht="18.899999999999999" customHeight="1" x14ac:dyDescent="0.25">
      <c r="A11" s="253">
        <v>5</v>
      </c>
      <c r="B11" s="96" t="s">
        <v>114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47</v>
      </c>
      <c r="P11" s="411"/>
      <c r="Q11" s="408"/>
    </row>
    <row r="12" spans="1:17" s="11" customFormat="1" ht="18.899999999999999" customHeight="1" x14ac:dyDescent="0.25">
      <c r="A12" s="253">
        <v>6</v>
      </c>
      <c r="B12" s="96" t="s">
        <v>120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60</v>
      </c>
      <c r="P12" s="411"/>
      <c r="Q12" s="408"/>
    </row>
    <row r="13" spans="1:17" s="11" customFormat="1" ht="18.899999999999999" customHeight="1" x14ac:dyDescent="0.25">
      <c r="A13" s="253">
        <v>7</v>
      </c>
      <c r="B13" s="96" t="s">
        <v>97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64</v>
      </c>
      <c r="P13" s="411"/>
      <c r="Q13" s="408"/>
    </row>
    <row r="14" spans="1:17" s="11" customFormat="1" ht="18.899999999999999" customHeight="1" x14ac:dyDescent="0.25">
      <c r="A14" s="253">
        <v>8</v>
      </c>
      <c r="B14" s="96" t="s">
        <v>101</v>
      </c>
      <c r="C14" s="96"/>
      <c r="D14" s="97"/>
      <c r="E14" s="268"/>
      <c r="F14" s="401"/>
      <c r="G14" s="402"/>
      <c r="H14" s="97"/>
      <c r="I14" s="97"/>
      <c r="J14" s="250"/>
      <c r="K14" s="248"/>
      <c r="L14" s="252"/>
      <c r="M14" s="248"/>
      <c r="N14" s="241"/>
      <c r="O14" s="97">
        <v>159</v>
      </c>
      <c r="P14" s="411"/>
      <c r="Q14" s="408"/>
    </row>
    <row r="15" spans="1:17" s="11" customFormat="1" ht="18.899999999999999" customHeight="1" x14ac:dyDescent="0.25">
      <c r="A15" s="253">
        <v>9</v>
      </c>
      <c r="B15" s="96" t="s">
        <v>121</v>
      </c>
      <c r="C15" s="96"/>
      <c r="D15" s="97"/>
      <c r="E15" s="268"/>
      <c r="F15" s="401"/>
      <c r="G15" s="402"/>
      <c r="H15" s="97"/>
      <c r="I15" s="97"/>
      <c r="J15" s="250"/>
      <c r="K15" s="248"/>
      <c r="L15" s="252"/>
      <c r="M15" s="248"/>
      <c r="N15" s="241"/>
      <c r="O15" s="97">
        <v>190</v>
      </c>
      <c r="P15" s="98"/>
      <c r="Q15" s="98"/>
    </row>
    <row r="16" spans="1:17" s="11" customFormat="1" ht="18.899999999999999" customHeight="1" x14ac:dyDescent="0.25">
      <c r="A16" s="253">
        <v>10</v>
      </c>
      <c r="B16" s="96" t="s">
        <v>117</v>
      </c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>
        <v>305</v>
      </c>
      <c r="P16" s="116"/>
      <c r="Q16" s="98"/>
    </row>
    <row r="17" spans="1:17" s="11" customFormat="1" ht="18.899999999999999" customHeight="1" x14ac:dyDescent="0.25">
      <c r="A17" s="253">
        <v>11</v>
      </c>
      <c r="B17" s="96"/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/>
      <c r="P17" s="116"/>
      <c r="Q17" s="98"/>
    </row>
    <row r="18" spans="1:17" s="11" customFormat="1" ht="18.899999999999999" customHeight="1" x14ac:dyDescent="0.25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899999999999999" customHeight="1" x14ac:dyDescent="0.25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899999999999999" customHeight="1" x14ac:dyDescent="0.25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899999999999999" customHeight="1" x14ac:dyDescent="0.25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899999999999999" customHeight="1" x14ac:dyDescent="0.25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899999999999999" customHeight="1" x14ac:dyDescent="0.25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899999999999999" customHeight="1" x14ac:dyDescent="0.25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899999999999999" customHeight="1" x14ac:dyDescent="0.25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899999999999999" customHeight="1" x14ac:dyDescent="0.25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899999999999999" customHeight="1" x14ac:dyDescent="0.25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899999999999999" customHeight="1" x14ac:dyDescent="0.25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899999999999999" customHeight="1" x14ac:dyDescent="0.25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899999999999999" customHeight="1" x14ac:dyDescent="0.25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899999999999999" customHeight="1" x14ac:dyDescent="0.25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899999999999999" customHeight="1" x14ac:dyDescent="0.25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899999999999999" customHeight="1" x14ac:dyDescent="0.25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899999999999999" customHeight="1" x14ac:dyDescent="0.25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899999999999999" customHeight="1" x14ac:dyDescent="0.25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899999999999999" customHeight="1" x14ac:dyDescent="0.25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899999999999999" customHeight="1" x14ac:dyDescent="0.25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899999999999999" customHeight="1" x14ac:dyDescent="0.25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899999999999999" customHeight="1" x14ac:dyDescent="0.25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899999999999999" customHeight="1" x14ac:dyDescent="0.25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103" si="0">IF(Q40="",999,Q40)</f>
        <v>999</v>
      </c>
      <c r="M40" s="288">
        <f t="shared" ref="M40:M103" si="1">IF(P40=999,999,1)</f>
        <v>999</v>
      </c>
      <c r="N40" s="283"/>
      <c r="O40" s="245"/>
      <c r="P40" s="116">
        <f t="shared" ref="P40:P103" si="2">IF(N40="DA",1,IF(N40="WC",2,IF(N40="SE",3,IF(N40="Q",4,IF(N40="LL",5,999)))))</f>
        <v>999</v>
      </c>
      <c r="Q40" s="98"/>
    </row>
    <row r="41" spans="1:17" s="11" customFormat="1" ht="18.899999999999999" customHeight="1" x14ac:dyDescent="0.25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899999999999999" customHeight="1" x14ac:dyDescent="0.25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899999999999999" customHeight="1" x14ac:dyDescent="0.25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899999999999999" customHeight="1" x14ac:dyDescent="0.25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899999999999999" customHeight="1" x14ac:dyDescent="0.25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899999999999999" customHeight="1" x14ac:dyDescent="0.25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899999999999999" customHeight="1" x14ac:dyDescent="0.25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899999999999999" customHeight="1" x14ac:dyDescent="0.25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899999999999999" customHeight="1" x14ac:dyDescent="0.25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899999999999999" customHeight="1" x14ac:dyDescent="0.25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899999999999999" customHeight="1" x14ac:dyDescent="0.25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899999999999999" customHeight="1" x14ac:dyDescent="0.25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899999999999999" customHeight="1" x14ac:dyDescent="0.25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899999999999999" customHeight="1" x14ac:dyDescent="0.25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899999999999999" customHeight="1" x14ac:dyDescent="0.25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899999999999999" customHeight="1" x14ac:dyDescent="0.25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899999999999999" customHeight="1" x14ac:dyDescent="0.25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899999999999999" customHeight="1" x14ac:dyDescent="0.25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899999999999999" customHeight="1" x14ac:dyDescent="0.25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899999999999999" customHeight="1" x14ac:dyDescent="0.25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899999999999999" customHeight="1" x14ac:dyDescent="0.25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899999999999999" customHeight="1" x14ac:dyDescent="0.25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899999999999999" customHeight="1" x14ac:dyDescent="0.25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899999999999999" customHeight="1" x14ac:dyDescent="0.25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899999999999999" customHeight="1" x14ac:dyDescent="0.25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899999999999999" customHeight="1" x14ac:dyDescent="0.25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899999999999999" customHeight="1" x14ac:dyDescent="0.25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899999999999999" customHeight="1" x14ac:dyDescent="0.25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899999999999999" customHeight="1" x14ac:dyDescent="0.25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899999999999999" customHeight="1" x14ac:dyDescent="0.25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899999999999999" customHeight="1" x14ac:dyDescent="0.25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899999999999999" customHeight="1" x14ac:dyDescent="0.25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si="0"/>
        <v>999</v>
      </c>
      <c r="M72" s="288">
        <f t="shared" si="1"/>
        <v>999</v>
      </c>
      <c r="N72" s="283"/>
      <c r="O72" s="245"/>
      <c r="P72" s="116">
        <f t="shared" si="2"/>
        <v>999</v>
      </c>
      <c r="Q72" s="98"/>
    </row>
    <row r="73" spans="1:17" s="11" customFormat="1" ht="18.899999999999999" customHeight="1" x14ac:dyDescent="0.25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0"/>
        <v>999</v>
      </c>
      <c r="M73" s="288">
        <f t="shared" si="1"/>
        <v>999</v>
      </c>
      <c r="N73" s="283"/>
      <c r="O73" s="245"/>
      <c r="P73" s="116">
        <f t="shared" si="2"/>
        <v>999</v>
      </c>
      <c r="Q73" s="98"/>
    </row>
    <row r="74" spans="1:17" s="11" customFormat="1" ht="18.899999999999999" customHeight="1" x14ac:dyDescent="0.25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0"/>
        <v>999</v>
      </c>
      <c r="M74" s="288">
        <f t="shared" si="1"/>
        <v>999</v>
      </c>
      <c r="N74" s="283"/>
      <c r="O74" s="245"/>
      <c r="P74" s="116">
        <f t="shared" si="2"/>
        <v>999</v>
      </c>
      <c r="Q74" s="98"/>
    </row>
    <row r="75" spans="1:17" s="11" customFormat="1" ht="18.899999999999999" customHeight="1" x14ac:dyDescent="0.25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0"/>
        <v>999</v>
      </c>
      <c r="M75" s="288">
        <f t="shared" si="1"/>
        <v>999</v>
      </c>
      <c r="N75" s="283"/>
      <c r="O75" s="245"/>
      <c r="P75" s="116">
        <f t="shared" si="2"/>
        <v>999</v>
      </c>
      <c r="Q75" s="98"/>
    </row>
    <row r="76" spans="1:17" s="11" customFormat="1" ht="18.899999999999999" customHeight="1" x14ac:dyDescent="0.25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0"/>
        <v>999</v>
      </c>
      <c r="M76" s="288">
        <f t="shared" si="1"/>
        <v>999</v>
      </c>
      <c r="N76" s="283"/>
      <c r="O76" s="245"/>
      <c r="P76" s="116">
        <f t="shared" si="2"/>
        <v>999</v>
      </c>
      <c r="Q76" s="98"/>
    </row>
    <row r="77" spans="1:17" s="11" customFormat="1" ht="18.899999999999999" customHeight="1" x14ac:dyDescent="0.25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0"/>
        <v>999</v>
      </c>
      <c r="M77" s="288">
        <f t="shared" si="1"/>
        <v>999</v>
      </c>
      <c r="N77" s="283"/>
      <c r="O77" s="245"/>
      <c r="P77" s="116">
        <f t="shared" si="2"/>
        <v>999</v>
      </c>
      <c r="Q77" s="98"/>
    </row>
    <row r="78" spans="1:17" s="11" customFormat="1" ht="18.899999999999999" customHeight="1" x14ac:dyDescent="0.25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0"/>
        <v>999</v>
      </c>
      <c r="M78" s="288">
        <f t="shared" si="1"/>
        <v>999</v>
      </c>
      <c r="N78" s="283"/>
      <c r="O78" s="245"/>
      <c r="P78" s="116">
        <f t="shared" si="2"/>
        <v>999</v>
      </c>
      <c r="Q78" s="98"/>
    </row>
    <row r="79" spans="1:17" s="11" customFormat="1" ht="18.899999999999999" customHeight="1" x14ac:dyDescent="0.25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0"/>
        <v>999</v>
      </c>
      <c r="M79" s="288">
        <f t="shared" si="1"/>
        <v>999</v>
      </c>
      <c r="N79" s="283"/>
      <c r="O79" s="245"/>
      <c r="P79" s="116">
        <f t="shared" si="2"/>
        <v>999</v>
      </c>
      <c r="Q79" s="98"/>
    </row>
    <row r="80" spans="1:17" s="11" customFormat="1" ht="18.899999999999999" customHeight="1" x14ac:dyDescent="0.25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0"/>
        <v>999</v>
      </c>
      <c r="M80" s="288">
        <f t="shared" si="1"/>
        <v>999</v>
      </c>
      <c r="N80" s="283"/>
      <c r="O80" s="245"/>
      <c r="P80" s="116">
        <f t="shared" si="2"/>
        <v>999</v>
      </c>
      <c r="Q80" s="98"/>
    </row>
    <row r="81" spans="1:17" s="11" customFormat="1" ht="18.899999999999999" customHeight="1" x14ac:dyDescent="0.25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0"/>
        <v>999</v>
      </c>
      <c r="M81" s="288">
        <f t="shared" si="1"/>
        <v>999</v>
      </c>
      <c r="N81" s="283"/>
      <c r="O81" s="245"/>
      <c r="P81" s="116">
        <f t="shared" si="2"/>
        <v>999</v>
      </c>
      <c r="Q81" s="98"/>
    </row>
    <row r="82" spans="1:17" s="11" customFormat="1" ht="18.899999999999999" customHeight="1" x14ac:dyDescent="0.25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0"/>
        <v>999</v>
      </c>
      <c r="M82" s="288">
        <f t="shared" si="1"/>
        <v>999</v>
      </c>
      <c r="N82" s="283"/>
      <c r="O82" s="245"/>
      <c r="P82" s="116">
        <f t="shared" si="2"/>
        <v>999</v>
      </c>
      <c r="Q82" s="98"/>
    </row>
    <row r="83" spans="1:17" s="11" customFormat="1" ht="18.899999999999999" customHeight="1" x14ac:dyDescent="0.25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0"/>
        <v>999</v>
      </c>
      <c r="M83" s="288">
        <f t="shared" si="1"/>
        <v>999</v>
      </c>
      <c r="N83" s="283"/>
      <c r="O83" s="245"/>
      <c r="P83" s="116">
        <f t="shared" si="2"/>
        <v>999</v>
      </c>
      <c r="Q83" s="98"/>
    </row>
    <row r="84" spans="1:17" s="11" customFormat="1" ht="18.899999999999999" customHeight="1" x14ac:dyDescent="0.25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0"/>
        <v>999</v>
      </c>
      <c r="M84" s="288">
        <f t="shared" si="1"/>
        <v>999</v>
      </c>
      <c r="N84" s="283"/>
      <c r="O84" s="245"/>
      <c r="P84" s="116">
        <f t="shared" si="2"/>
        <v>999</v>
      </c>
      <c r="Q84" s="98"/>
    </row>
    <row r="85" spans="1:17" s="11" customFormat="1" ht="18.899999999999999" customHeight="1" x14ac:dyDescent="0.25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0"/>
        <v>999</v>
      </c>
      <c r="M85" s="288">
        <f t="shared" si="1"/>
        <v>999</v>
      </c>
      <c r="N85" s="283"/>
      <c r="O85" s="245"/>
      <c r="P85" s="116">
        <f t="shared" si="2"/>
        <v>999</v>
      </c>
      <c r="Q85" s="98"/>
    </row>
    <row r="86" spans="1:17" s="11" customFormat="1" ht="18.899999999999999" customHeight="1" x14ac:dyDescent="0.25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0"/>
        <v>999</v>
      </c>
      <c r="M86" s="288">
        <f t="shared" si="1"/>
        <v>999</v>
      </c>
      <c r="N86" s="283"/>
      <c r="O86" s="245"/>
      <c r="P86" s="116">
        <f t="shared" si="2"/>
        <v>999</v>
      </c>
      <c r="Q86" s="98"/>
    </row>
    <row r="87" spans="1:17" s="11" customFormat="1" ht="18.899999999999999" customHeight="1" x14ac:dyDescent="0.25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0"/>
        <v>999</v>
      </c>
      <c r="M87" s="288">
        <f t="shared" si="1"/>
        <v>999</v>
      </c>
      <c r="N87" s="283"/>
      <c r="O87" s="245"/>
      <c r="P87" s="116">
        <f t="shared" si="2"/>
        <v>999</v>
      </c>
      <c r="Q87" s="98"/>
    </row>
    <row r="88" spans="1:17" s="11" customFormat="1" ht="18.899999999999999" customHeight="1" x14ac:dyDescent="0.25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0"/>
        <v>999</v>
      </c>
      <c r="M88" s="288">
        <f t="shared" si="1"/>
        <v>999</v>
      </c>
      <c r="N88" s="283"/>
      <c r="O88" s="245"/>
      <c r="P88" s="116">
        <f t="shared" si="2"/>
        <v>999</v>
      </c>
      <c r="Q88" s="98"/>
    </row>
    <row r="89" spans="1:17" s="11" customFormat="1" ht="18.899999999999999" customHeight="1" x14ac:dyDescent="0.25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0"/>
        <v>999</v>
      </c>
      <c r="M89" s="288">
        <f t="shared" si="1"/>
        <v>999</v>
      </c>
      <c r="N89" s="283"/>
      <c r="O89" s="245"/>
      <c r="P89" s="116">
        <f t="shared" si="2"/>
        <v>999</v>
      </c>
      <c r="Q89" s="98"/>
    </row>
    <row r="90" spans="1:17" s="11" customFormat="1" ht="18.899999999999999" customHeight="1" x14ac:dyDescent="0.25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0"/>
        <v>999</v>
      </c>
      <c r="M90" s="288">
        <f t="shared" si="1"/>
        <v>999</v>
      </c>
      <c r="N90" s="283"/>
      <c r="O90" s="245"/>
      <c r="P90" s="116">
        <f t="shared" si="2"/>
        <v>999</v>
      </c>
      <c r="Q90" s="98"/>
    </row>
    <row r="91" spans="1:17" s="11" customFormat="1" ht="18.899999999999999" customHeight="1" x14ac:dyDescent="0.25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0"/>
        <v>999</v>
      </c>
      <c r="M91" s="288">
        <f t="shared" si="1"/>
        <v>999</v>
      </c>
      <c r="N91" s="283"/>
      <c r="O91" s="245"/>
      <c r="P91" s="116">
        <f t="shared" si="2"/>
        <v>999</v>
      </c>
      <c r="Q91" s="98"/>
    </row>
    <row r="92" spans="1:17" s="11" customFormat="1" ht="18.899999999999999" customHeight="1" x14ac:dyDescent="0.25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0"/>
        <v>999</v>
      </c>
      <c r="M92" s="288">
        <f t="shared" si="1"/>
        <v>999</v>
      </c>
      <c r="N92" s="283"/>
      <c r="O92" s="245"/>
      <c r="P92" s="116">
        <f t="shared" si="2"/>
        <v>999</v>
      </c>
      <c r="Q92" s="98"/>
    </row>
    <row r="93" spans="1:17" s="11" customFormat="1" ht="18.899999999999999" customHeight="1" x14ac:dyDescent="0.25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0"/>
        <v>999</v>
      </c>
      <c r="M93" s="288">
        <f t="shared" si="1"/>
        <v>999</v>
      </c>
      <c r="N93" s="283"/>
      <c r="O93" s="245"/>
      <c r="P93" s="116">
        <f t="shared" si="2"/>
        <v>999</v>
      </c>
      <c r="Q93" s="98"/>
    </row>
    <row r="94" spans="1:17" s="11" customFormat="1" ht="18.899999999999999" customHeight="1" x14ac:dyDescent="0.25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0"/>
        <v>999</v>
      </c>
      <c r="M94" s="288">
        <f t="shared" si="1"/>
        <v>999</v>
      </c>
      <c r="N94" s="283"/>
      <c r="O94" s="245"/>
      <c r="P94" s="116">
        <f t="shared" si="2"/>
        <v>999</v>
      </c>
      <c r="Q94" s="98"/>
    </row>
    <row r="95" spans="1:17" s="11" customFormat="1" ht="18.899999999999999" customHeight="1" x14ac:dyDescent="0.25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0"/>
        <v>999</v>
      </c>
      <c r="M95" s="288">
        <f t="shared" si="1"/>
        <v>999</v>
      </c>
      <c r="N95" s="283"/>
      <c r="O95" s="245"/>
      <c r="P95" s="116">
        <f t="shared" si="2"/>
        <v>999</v>
      </c>
      <c r="Q95" s="98"/>
    </row>
    <row r="96" spans="1:17" s="11" customFormat="1" ht="18.899999999999999" customHeight="1" x14ac:dyDescent="0.25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0"/>
        <v>999</v>
      </c>
      <c r="M96" s="288">
        <f t="shared" si="1"/>
        <v>999</v>
      </c>
      <c r="N96" s="283"/>
      <c r="O96" s="245"/>
      <c r="P96" s="116">
        <f t="shared" si="2"/>
        <v>999</v>
      </c>
      <c r="Q96" s="98"/>
    </row>
    <row r="97" spans="1:17" s="11" customFormat="1" ht="18.899999999999999" customHeight="1" x14ac:dyDescent="0.25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0"/>
        <v>999</v>
      </c>
      <c r="M97" s="288">
        <f t="shared" si="1"/>
        <v>999</v>
      </c>
      <c r="N97" s="283"/>
      <c r="O97" s="245"/>
      <c r="P97" s="116">
        <f t="shared" si="2"/>
        <v>999</v>
      </c>
      <c r="Q97" s="98"/>
    </row>
    <row r="98" spans="1:17" s="11" customFormat="1" ht="18.899999999999999" customHeight="1" x14ac:dyDescent="0.25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0"/>
        <v>999</v>
      </c>
      <c r="M98" s="288">
        <f t="shared" si="1"/>
        <v>999</v>
      </c>
      <c r="N98" s="283"/>
      <c r="O98" s="245"/>
      <c r="P98" s="116">
        <f t="shared" si="2"/>
        <v>999</v>
      </c>
      <c r="Q98" s="98"/>
    </row>
    <row r="99" spans="1:17" s="11" customFormat="1" ht="18.899999999999999" customHeight="1" x14ac:dyDescent="0.25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0"/>
        <v>999</v>
      </c>
      <c r="M99" s="288">
        <f t="shared" si="1"/>
        <v>999</v>
      </c>
      <c r="N99" s="283"/>
      <c r="O99" s="245"/>
      <c r="P99" s="116">
        <f t="shared" si="2"/>
        <v>999</v>
      </c>
      <c r="Q99" s="98"/>
    </row>
    <row r="100" spans="1:17" s="11" customFormat="1" ht="18.899999999999999" customHeight="1" x14ac:dyDescent="0.25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0"/>
        <v>999</v>
      </c>
      <c r="M100" s="288">
        <f t="shared" si="1"/>
        <v>999</v>
      </c>
      <c r="N100" s="283"/>
      <c r="O100" s="245"/>
      <c r="P100" s="116">
        <f t="shared" si="2"/>
        <v>999</v>
      </c>
      <c r="Q100" s="98"/>
    </row>
    <row r="101" spans="1:17" s="11" customFormat="1" ht="18.899999999999999" customHeight="1" x14ac:dyDescent="0.25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si="0"/>
        <v>999</v>
      </c>
      <c r="M101" s="288">
        <f t="shared" si="1"/>
        <v>999</v>
      </c>
      <c r="N101" s="283"/>
      <c r="O101" s="245"/>
      <c r="P101" s="116">
        <f t="shared" si="2"/>
        <v>999</v>
      </c>
      <c r="Q101" s="98"/>
    </row>
    <row r="102" spans="1:17" s="11" customFormat="1" ht="18.899999999999999" customHeight="1" x14ac:dyDescent="0.25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0"/>
        <v>999</v>
      </c>
      <c r="M102" s="288">
        <f t="shared" si="1"/>
        <v>999</v>
      </c>
      <c r="N102" s="283"/>
      <c r="O102" s="245"/>
      <c r="P102" s="116">
        <f t="shared" si="2"/>
        <v>999</v>
      </c>
      <c r="Q102" s="98"/>
    </row>
    <row r="103" spans="1:17" s="11" customFormat="1" ht="18.899999999999999" customHeight="1" x14ac:dyDescent="0.25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0"/>
        <v>999</v>
      </c>
      <c r="M103" s="288">
        <f t="shared" si="1"/>
        <v>999</v>
      </c>
      <c r="N103" s="283"/>
      <c r="O103" s="245"/>
      <c r="P103" s="116">
        <f t="shared" si="2"/>
        <v>999</v>
      </c>
      <c r="Q103" s="98"/>
    </row>
    <row r="104" spans="1:17" s="11" customFormat="1" ht="18.899999999999999" customHeight="1" x14ac:dyDescent="0.25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ref="L104:L156" si="3">IF(Q104="",999,Q104)</f>
        <v>999</v>
      </c>
      <c r="M104" s="288">
        <f t="shared" ref="M104:M156" si="4">IF(P104=999,999,1)</f>
        <v>999</v>
      </c>
      <c r="N104" s="283"/>
      <c r="O104" s="245"/>
      <c r="P104" s="116">
        <f t="shared" ref="P104:P156" si="5">IF(N104="DA",1,IF(N104="WC",2,IF(N104="SE",3,IF(N104="Q",4,IF(N104="LL",5,999)))))</f>
        <v>999</v>
      </c>
      <c r="Q104" s="98"/>
    </row>
    <row r="105" spans="1:17" s="11" customFormat="1" ht="18.899999999999999" customHeight="1" x14ac:dyDescent="0.25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3"/>
        <v>999</v>
      </c>
      <c r="M105" s="288">
        <f t="shared" si="4"/>
        <v>999</v>
      </c>
      <c r="N105" s="283"/>
      <c r="O105" s="245"/>
      <c r="P105" s="116">
        <f t="shared" si="5"/>
        <v>999</v>
      </c>
      <c r="Q105" s="98"/>
    </row>
    <row r="106" spans="1:17" s="11" customFormat="1" ht="18.899999999999999" customHeight="1" x14ac:dyDescent="0.25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3"/>
        <v>999</v>
      </c>
      <c r="M106" s="288">
        <f t="shared" si="4"/>
        <v>999</v>
      </c>
      <c r="N106" s="283"/>
      <c r="O106" s="245"/>
      <c r="P106" s="116">
        <f t="shared" si="5"/>
        <v>999</v>
      </c>
      <c r="Q106" s="98"/>
    </row>
    <row r="107" spans="1:17" s="11" customFormat="1" ht="18.899999999999999" customHeight="1" x14ac:dyDescent="0.25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3"/>
        <v>999</v>
      </c>
      <c r="M107" s="288">
        <f t="shared" si="4"/>
        <v>999</v>
      </c>
      <c r="N107" s="283"/>
      <c r="O107" s="245"/>
      <c r="P107" s="116">
        <f t="shared" si="5"/>
        <v>999</v>
      </c>
      <c r="Q107" s="98"/>
    </row>
    <row r="108" spans="1:17" s="11" customFormat="1" ht="18.899999999999999" customHeight="1" x14ac:dyDescent="0.25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3"/>
        <v>999</v>
      </c>
      <c r="M108" s="288">
        <f t="shared" si="4"/>
        <v>999</v>
      </c>
      <c r="N108" s="283"/>
      <c r="O108" s="245"/>
      <c r="P108" s="116">
        <f t="shared" si="5"/>
        <v>999</v>
      </c>
      <c r="Q108" s="98"/>
    </row>
    <row r="109" spans="1:17" s="11" customFormat="1" ht="18.899999999999999" customHeight="1" x14ac:dyDescent="0.25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3"/>
        <v>999</v>
      </c>
      <c r="M109" s="288">
        <f t="shared" si="4"/>
        <v>999</v>
      </c>
      <c r="N109" s="283"/>
      <c r="O109" s="245"/>
      <c r="P109" s="116">
        <f t="shared" si="5"/>
        <v>999</v>
      </c>
      <c r="Q109" s="98"/>
    </row>
    <row r="110" spans="1:17" s="11" customFormat="1" ht="18.899999999999999" customHeight="1" x14ac:dyDescent="0.25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3"/>
        <v>999</v>
      </c>
      <c r="M110" s="288">
        <f t="shared" si="4"/>
        <v>999</v>
      </c>
      <c r="N110" s="283"/>
      <c r="O110" s="245"/>
      <c r="P110" s="116">
        <f t="shared" si="5"/>
        <v>999</v>
      </c>
      <c r="Q110" s="98"/>
    </row>
    <row r="111" spans="1:17" s="11" customFormat="1" ht="18.899999999999999" customHeight="1" x14ac:dyDescent="0.25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3"/>
        <v>999</v>
      </c>
      <c r="M111" s="288">
        <f t="shared" si="4"/>
        <v>999</v>
      </c>
      <c r="N111" s="283"/>
      <c r="O111" s="245"/>
      <c r="P111" s="116">
        <f t="shared" si="5"/>
        <v>999</v>
      </c>
      <c r="Q111" s="98"/>
    </row>
    <row r="112" spans="1:17" s="11" customFormat="1" ht="18.899999999999999" customHeight="1" x14ac:dyDescent="0.25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3"/>
        <v>999</v>
      </c>
      <c r="M112" s="288">
        <f t="shared" si="4"/>
        <v>999</v>
      </c>
      <c r="N112" s="283"/>
      <c r="O112" s="245"/>
      <c r="P112" s="116">
        <f t="shared" si="5"/>
        <v>999</v>
      </c>
      <c r="Q112" s="98"/>
    </row>
    <row r="113" spans="1:17" s="11" customFormat="1" ht="18.899999999999999" customHeight="1" x14ac:dyDescent="0.25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3"/>
        <v>999</v>
      </c>
      <c r="M113" s="288">
        <f t="shared" si="4"/>
        <v>999</v>
      </c>
      <c r="N113" s="283"/>
      <c r="O113" s="245"/>
      <c r="P113" s="116">
        <f t="shared" si="5"/>
        <v>999</v>
      </c>
      <c r="Q113" s="98"/>
    </row>
    <row r="114" spans="1:17" s="11" customFormat="1" ht="18.899999999999999" customHeight="1" x14ac:dyDescent="0.25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3"/>
        <v>999</v>
      </c>
      <c r="M114" s="288">
        <f t="shared" si="4"/>
        <v>999</v>
      </c>
      <c r="N114" s="283"/>
      <c r="O114" s="245"/>
      <c r="P114" s="116">
        <f t="shared" si="5"/>
        <v>999</v>
      </c>
      <c r="Q114" s="98"/>
    </row>
    <row r="115" spans="1:17" s="11" customFormat="1" ht="18.899999999999999" customHeight="1" x14ac:dyDescent="0.25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3"/>
        <v>999</v>
      </c>
      <c r="M115" s="288">
        <f t="shared" si="4"/>
        <v>999</v>
      </c>
      <c r="N115" s="283"/>
      <c r="O115" s="245"/>
      <c r="P115" s="116">
        <f t="shared" si="5"/>
        <v>999</v>
      </c>
      <c r="Q115" s="98"/>
    </row>
    <row r="116" spans="1:17" s="11" customFormat="1" ht="18.899999999999999" customHeight="1" x14ac:dyDescent="0.25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3"/>
        <v>999</v>
      </c>
      <c r="M116" s="288">
        <f t="shared" si="4"/>
        <v>999</v>
      </c>
      <c r="N116" s="283"/>
      <c r="O116" s="245"/>
      <c r="P116" s="116">
        <f t="shared" si="5"/>
        <v>999</v>
      </c>
      <c r="Q116" s="98"/>
    </row>
    <row r="117" spans="1:17" s="11" customFormat="1" ht="18.899999999999999" customHeight="1" x14ac:dyDescent="0.25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3"/>
        <v>999</v>
      </c>
      <c r="M117" s="288">
        <f t="shared" si="4"/>
        <v>999</v>
      </c>
      <c r="N117" s="283"/>
      <c r="O117" s="245"/>
      <c r="P117" s="116">
        <f t="shared" si="5"/>
        <v>999</v>
      </c>
      <c r="Q117" s="98"/>
    </row>
    <row r="118" spans="1:17" s="11" customFormat="1" ht="18.899999999999999" customHeight="1" x14ac:dyDescent="0.25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3"/>
        <v>999</v>
      </c>
      <c r="M118" s="288">
        <f t="shared" si="4"/>
        <v>999</v>
      </c>
      <c r="N118" s="283"/>
      <c r="O118" s="245"/>
      <c r="P118" s="116">
        <f t="shared" si="5"/>
        <v>999</v>
      </c>
      <c r="Q118" s="98"/>
    </row>
    <row r="119" spans="1:17" s="11" customFormat="1" ht="18.899999999999999" customHeight="1" x14ac:dyDescent="0.25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3"/>
        <v>999</v>
      </c>
      <c r="M119" s="288">
        <f t="shared" si="4"/>
        <v>999</v>
      </c>
      <c r="N119" s="283"/>
      <c r="O119" s="245"/>
      <c r="P119" s="116">
        <f t="shared" si="5"/>
        <v>999</v>
      </c>
      <c r="Q119" s="98"/>
    </row>
    <row r="120" spans="1:17" s="11" customFormat="1" ht="18.899999999999999" customHeight="1" x14ac:dyDescent="0.25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3"/>
        <v>999</v>
      </c>
      <c r="M120" s="288">
        <f t="shared" si="4"/>
        <v>999</v>
      </c>
      <c r="N120" s="283"/>
      <c r="O120" s="245"/>
      <c r="P120" s="116">
        <f t="shared" si="5"/>
        <v>999</v>
      </c>
      <c r="Q120" s="98"/>
    </row>
    <row r="121" spans="1:17" s="11" customFormat="1" ht="18.899999999999999" customHeight="1" x14ac:dyDescent="0.25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3"/>
        <v>999</v>
      </c>
      <c r="M121" s="288">
        <f t="shared" si="4"/>
        <v>999</v>
      </c>
      <c r="N121" s="283"/>
      <c r="O121" s="245"/>
      <c r="P121" s="116">
        <f t="shared" si="5"/>
        <v>999</v>
      </c>
      <c r="Q121" s="98"/>
    </row>
    <row r="122" spans="1:17" s="11" customFormat="1" ht="18.899999999999999" customHeight="1" x14ac:dyDescent="0.25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3"/>
        <v>999</v>
      </c>
      <c r="M122" s="288">
        <f t="shared" si="4"/>
        <v>999</v>
      </c>
      <c r="N122" s="283"/>
      <c r="O122" s="245"/>
      <c r="P122" s="116">
        <f t="shared" si="5"/>
        <v>999</v>
      </c>
      <c r="Q122" s="98"/>
    </row>
    <row r="123" spans="1:17" s="11" customFormat="1" ht="18.899999999999999" customHeight="1" x14ac:dyDescent="0.25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3"/>
        <v>999</v>
      </c>
      <c r="M123" s="288">
        <f t="shared" si="4"/>
        <v>999</v>
      </c>
      <c r="N123" s="283"/>
      <c r="O123" s="245"/>
      <c r="P123" s="116">
        <f t="shared" si="5"/>
        <v>999</v>
      </c>
      <c r="Q123" s="98"/>
    </row>
    <row r="124" spans="1:17" s="11" customFormat="1" ht="18.899999999999999" customHeight="1" x14ac:dyDescent="0.25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3"/>
        <v>999</v>
      </c>
      <c r="M124" s="288">
        <f t="shared" si="4"/>
        <v>999</v>
      </c>
      <c r="N124" s="283"/>
      <c r="O124" s="245"/>
      <c r="P124" s="116">
        <f t="shared" si="5"/>
        <v>999</v>
      </c>
      <c r="Q124" s="98"/>
    </row>
    <row r="125" spans="1:17" s="11" customFormat="1" ht="18.899999999999999" customHeight="1" x14ac:dyDescent="0.25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3"/>
        <v>999</v>
      </c>
      <c r="M125" s="288">
        <f t="shared" si="4"/>
        <v>999</v>
      </c>
      <c r="N125" s="283"/>
      <c r="O125" s="245"/>
      <c r="P125" s="116">
        <f t="shared" si="5"/>
        <v>999</v>
      </c>
      <c r="Q125" s="98"/>
    </row>
    <row r="126" spans="1:17" s="11" customFormat="1" ht="18.899999999999999" customHeight="1" x14ac:dyDescent="0.25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3"/>
        <v>999</v>
      </c>
      <c r="M126" s="288">
        <f t="shared" si="4"/>
        <v>999</v>
      </c>
      <c r="N126" s="283"/>
      <c r="O126" s="245"/>
      <c r="P126" s="116">
        <f t="shared" si="5"/>
        <v>999</v>
      </c>
      <c r="Q126" s="98"/>
    </row>
    <row r="127" spans="1:17" s="11" customFormat="1" ht="18.899999999999999" customHeight="1" x14ac:dyDescent="0.25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3"/>
        <v>999</v>
      </c>
      <c r="M127" s="288">
        <f t="shared" si="4"/>
        <v>999</v>
      </c>
      <c r="N127" s="283"/>
      <c r="O127" s="245"/>
      <c r="P127" s="116">
        <f t="shared" si="5"/>
        <v>999</v>
      </c>
      <c r="Q127" s="98"/>
    </row>
    <row r="128" spans="1:17" s="11" customFormat="1" ht="18.899999999999999" customHeight="1" x14ac:dyDescent="0.25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3"/>
        <v>999</v>
      </c>
      <c r="M128" s="288">
        <f t="shared" si="4"/>
        <v>999</v>
      </c>
      <c r="N128" s="283"/>
      <c r="O128" s="245"/>
      <c r="P128" s="116">
        <f t="shared" si="5"/>
        <v>999</v>
      </c>
      <c r="Q128" s="98"/>
    </row>
    <row r="129" spans="1:17" s="11" customFormat="1" ht="18.899999999999999" customHeight="1" x14ac:dyDescent="0.25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3"/>
        <v>999</v>
      </c>
      <c r="M129" s="288">
        <f t="shared" si="4"/>
        <v>999</v>
      </c>
      <c r="N129" s="283"/>
      <c r="O129" s="245"/>
      <c r="P129" s="116">
        <f t="shared" si="5"/>
        <v>999</v>
      </c>
      <c r="Q129" s="98"/>
    </row>
    <row r="130" spans="1:17" s="11" customFormat="1" ht="18.899999999999999" customHeight="1" x14ac:dyDescent="0.25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3"/>
        <v>999</v>
      </c>
      <c r="M130" s="288">
        <f t="shared" si="4"/>
        <v>999</v>
      </c>
      <c r="N130" s="283"/>
      <c r="O130" s="245"/>
      <c r="P130" s="116">
        <f t="shared" si="5"/>
        <v>999</v>
      </c>
      <c r="Q130" s="98"/>
    </row>
    <row r="131" spans="1:17" s="11" customFormat="1" ht="18.899999999999999" customHeight="1" x14ac:dyDescent="0.25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3"/>
        <v>999</v>
      </c>
      <c r="M131" s="288">
        <f t="shared" si="4"/>
        <v>999</v>
      </c>
      <c r="N131" s="283"/>
      <c r="O131" s="245"/>
      <c r="P131" s="116">
        <f t="shared" si="5"/>
        <v>999</v>
      </c>
      <c r="Q131" s="98"/>
    </row>
    <row r="132" spans="1:17" s="11" customFormat="1" ht="18.899999999999999" customHeight="1" x14ac:dyDescent="0.25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3"/>
        <v>999</v>
      </c>
      <c r="M132" s="288">
        <f t="shared" si="4"/>
        <v>999</v>
      </c>
      <c r="N132" s="283"/>
      <c r="O132" s="245"/>
      <c r="P132" s="116">
        <f t="shared" si="5"/>
        <v>999</v>
      </c>
      <c r="Q132" s="98"/>
    </row>
    <row r="133" spans="1:17" s="11" customFormat="1" ht="18.899999999999999" customHeight="1" x14ac:dyDescent="0.25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3"/>
        <v>999</v>
      </c>
      <c r="M133" s="288">
        <f t="shared" si="4"/>
        <v>999</v>
      </c>
      <c r="N133" s="283"/>
      <c r="O133" s="245"/>
      <c r="P133" s="116">
        <f t="shared" si="5"/>
        <v>999</v>
      </c>
      <c r="Q133" s="98"/>
    </row>
    <row r="134" spans="1:17" s="11" customFormat="1" ht="18.899999999999999" customHeight="1" x14ac:dyDescent="0.25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3"/>
        <v>999</v>
      </c>
      <c r="M134" s="288">
        <f t="shared" si="4"/>
        <v>999</v>
      </c>
      <c r="N134" s="283"/>
      <c r="O134" s="289"/>
      <c r="P134" s="290">
        <f t="shared" si="5"/>
        <v>999</v>
      </c>
      <c r="Q134" s="291"/>
    </row>
    <row r="135" spans="1:17" x14ac:dyDescent="0.25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si="3"/>
        <v>999</v>
      </c>
      <c r="M135" s="288">
        <f t="shared" si="4"/>
        <v>999</v>
      </c>
      <c r="N135" s="283"/>
      <c r="O135" s="245"/>
      <c r="P135" s="116">
        <f t="shared" si="5"/>
        <v>999</v>
      </c>
      <c r="Q135" s="98"/>
    </row>
    <row r="136" spans="1:17" x14ac:dyDescent="0.25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3"/>
        <v>999</v>
      </c>
      <c r="M136" s="288">
        <f t="shared" si="4"/>
        <v>999</v>
      </c>
      <c r="N136" s="283"/>
      <c r="O136" s="245"/>
      <c r="P136" s="116">
        <f t="shared" si="5"/>
        <v>999</v>
      </c>
      <c r="Q136" s="98"/>
    </row>
    <row r="137" spans="1:17" x14ac:dyDescent="0.25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3"/>
        <v>999</v>
      </c>
      <c r="M137" s="288">
        <f t="shared" si="4"/>
        <v>999</v>
      </c>
      <c r="N137" s="283"/>
      <c r="O137" s="245"/>
      <c r="P137" s="116">
        <f t="shared" si="5"/>
        <v>999</v>
      </c>
      <c r="Q137" s="98"/>
    </row>
    <row r="138" spans="1:17" x14ac:dyDescent="0.25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3"/>
        <v>999</v>
      </c>
      <c r="M138" s="288">
        <f t="shared" si="4"/>
        <v>999</v>
      </c>
      <c r="N138" s="283"/>
      <c r="O138" s="245"/>
      <c r="P138" s="116">
        <f t="shared" si="5"/>
        <v>999</v>
      </c>
      <c r="Q138" s="98"/>
    </row>
    <row r="139" spans="1:17" x14ac:dyDescent="0.25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3"/>
        <v>999</v>
      </c>
      <c r="M139" s="288">
        <f t="shared" si="4"/>
        <v>999</v>
      </c>
      <c r="N139" s="283"/>
      <c r="O139" s="245"/>
      <c r="P139" s="116">
        <f t="shared" si="5"/>
        <v>999</v>
      </c>
      <c r="Q139" s="98"/>
    </row>
    <row r="140" spans="1:17" x14ac:dyDescent="0.25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3"/>
        <v>999</v>
      </c>
      <c r="M140" s="288">
        <f t="shared" si="4"/>
        <v>999</v>
      </c>
      <c r="N140" s="283"/>
      <c r="O140" s="245"/>
      <c r="P140" s="116">
        <f t="shared" si="5"/>
        <v>999</v>
      </c>
      <c r="Q140" s="98"/>
    </row>
    <row r="141" spans="1:17" x14ac:dyDescent="0.25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3"/>
        <v>999</v>
      </c>
      <c r="M141" s="288">
        <f t="shared" si="4"/>
        <v>999</v>
      </c>
      <c r="N141" s="283"/>
      <c r="O141" s="289"/>
      <c r="P141" s="290">
        <f t="shared" si="5"/>
        <v>999</v>
      </c>
      <c r="Q141" s="291"/>
    </row>
    <row r="142" spans="1:17" x14ac:dyDescent="0.25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3"/>
        <v>999</v>
      </c>
      <c r="M142" s="288">
        <f t="shared" si="4"/>
        <v>999</v>
      </c>
      <c r="N142" s="283"/>
      <c r="O142" s="245"/>
      <c r="P142" s="116">
        <f t="shared" si="5"/>
        <v>999</v>
      </c>
      <c r="Q142" s="98"/>
    </row>
    <row r="143" spans="1:17" x14ac:dyDescent="0.25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3"/>
        <v>999</v>
      </c>
      <c r="M143" s="288">
        <f t="shared" si="4"/>
        <v>999</v>
      </c>
      <c r="N143" s="283"/>
      <c r="O143" s="245"/>
      <c r="P143" s="116">
        <f t="shared" si="5"/>
        <v>999</v>
      </c>
      <c r="Q143" s="98"/>
    </row>
    <row r="144" spans="1:17" x14ac:dyDescent="0.25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3"/>
        <v>999</v>
      </c>
      <c r="M144" s="288">
        <f t="shared" si="4"/>
        <v>999</v>
      </c>
      <c r="N144" s="283"/>
      <c r="O144" s="245"/>
      <c r="P144" s="116">
        <f t="shared" si="5"/>
        <v>999</v>
      </c>
      <c r="Q144" s="98"/>
    </row>
    <row r="145" spans="1:17" x14ac:dyDescent="0.25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3"/>
        <v>999</v>
      </c>
      <c r="M145" s="288">
        <f t="shared" si="4"/>
        <v>999</v>
      </c>
      <c r="N145" s="283"/>
      <c r="O145" s="245"/>
      <c r="P145" s="116">
        <f t="shared" si="5"/>
        <v>999</v>
      </c>
      <c r="Q145" s="98"/>
    </row>
    <row r="146" spans="1:17" x14ac:dyDescent="0.25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3"/>
        <v>999</v>
      </c>
      <c r="M146" s="288">
        <f t="shared" si="4"/>
        <v>999</v>
      </c>
      <c r="N146" s="283"/>
      <c r="O146" s="245"/>
      <c r="P146" s="116">
        <f t="shared" si="5"/>
        <v>999</v>
      </c>
      <c r="Q146" s="98"/>
    </row>
    <row r="147" spans="1:17" x14ac:dyDescent="0.25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3"/>
        <v>999</v>
      </c>
      <c r="M147" s="288">
        <f t="shared" si="4"/>
        <v>999</v>
      </c>
      <c r="N147" s="283"/>
      <c r="O147" s="245"/>
      <c r="P147" s="116">
        <f t="shared" si="5"/>
        <v>999</v>
      </c>
      <c r="Q147" s="98"/>
    </row>
    <row r="148" spans="1:17" x14ac:dyDescent="0.25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3"/>
        <v>999</v>
      </c>
      <c r="M148" s="288">
        <f t="shared" si="4"/>
        <v>999</v>
      </c>
      <c r="N148" s="283"/>
      <c r="O148" s="289"/>
      <c r="P148" s="290">
        <f t="shared" si="5"/>
        <v>999</v>
      </c>
      <c r="Q148" s="291"/>
    </row>
    <row r="149" spans="1:17" x14ac:dyDescent="0.25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3"/>
        <v>999</v>
      </c>
      <c r="M149" s="288">
        <f t="shared" si="4"/>
        <v>999</v>
      </c>
      <c r="N149" s="283"/>
      <c r="O149" s="245"/>
      <c r="P149" s="116">
        <f t="shared" si="5"/>
        <v>999</v>
      </c>
      <c r="Q149" s="98"/>
    </row>
    <row r="150" spans="1:17" x14ac:dyDescent="0.25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3"/>
        <v>999</v>
      </c>
      <c r="M150" s="288">
        <f t="shared" si="4"/>
        <v>999</v>
      </c>
      <c r="N150" s="283"/>
      <c r="O150" s="245"/>
      <c r="P150" s="116">
        <f t="shared" si="5"/>
        <v>999</v>
      </c>
      <c r="Q150" s="98"/>
    </row>
    <row r="151" spans="1:17" x14ac:dyDescent="0.25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3"/>
        <v>999</v>
      </c>
      <c r="M151" s="288">
        <f t="shared" si="4"/>
        <v>999</v>
      </c>
      <c r="N151" s="283"/>
      <c r="O151" s="245"/>
      <c r="P151" s="116">
        <f t="shared" si="5"/>
        <v>999</v>
      </c>
      <c r="Q151" s="98"/>
    </row>
    <row r="152" spans="1:17" x14ac:dyDescent="0.25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3"/>
        <v>999</v>
      </c>
      <c r="M152" s="288">
        <f t="shared" si="4"/>
        <v>999</v>
      </c>
      <c r="N152" s="283"/>
      <c r="O152" s="245"/>
      <c r="P152" s="116">
        <f t="shared" si="5"/>
        <v>999</v>
      </c>
      <c r="Q152" s="98"/>
    </row>
    <row r="153" spans="1:17" x14ac:dyDescent="0.25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3"/>
        <v>999</v>
      </c>
      <c r="M153" s="288">
        <f t="shared" si="4"/>
        <v>999</v>
      </c>
      <c r="N153" s="283"/>
      <c r="O153" s="245"/>
      <c r="P153" s="116">
        <f t="shared" si="5"/>
        <v>999</v>
      </c>
      <c r="Q153" s="98"/>
    </row>
    <row r="154" spans="1:17" x14ac:dyDescent="0.25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3"/>
        <v>999</v>
      </c>
      <c r="M154" s="288">
        <f t="shared" si="4"/>
        <v>999</v>
      </c>
      <c r="N154" s="283"/>
      <c r="O154" s="245"/>
      <c r="P154" s="116">
        <f t="shared" si="5"/>
        <v>999</v>
      </c>
      <c r="Q154" s="98"/>
    </row>
    <row r="155" spans="1:17" x14ac:dyDescent="0.25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3"/>
        <v>999</v>
      </c>
      <c r="M155" s="288">
        <f t="shared" si="4"/>
        <v>999</v>
      </c>
      <c r="N155" s="283"/>
      <c r="O155" s="245"/>
      <c r="P155" s="116">
        <f t="shared" si="5"/>
        <v>999</v>
      </c>
      <c r="Q155" s="98"/>
    </row>
    <row r="156" spans="1:17" x14ac:dyDescent="0.25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3"/>
        <v>999</v>
      </c>
      <c r="M156" s="288">
        <f t="shared" si="4"/>
        <v>999</v>
      </c>
      <c r="N156" s="283"/>
      <c r="O156" s="245"/>
      <c r="P156" s="116">
        <f t="shared" si="5"/>
        <v>999</v>
      </c>
      <c r="Q156" s="98"/>
    </row>
  </sheetData>
  <conditionalFormatting sqref="E7:E10 E12:E15 E17:E156">
    <cfRule type="expression" dxfId="90" priority="52" stopIfTrue="1">
      <formula>AND(ROUNDDOWN(($A$4-E7)/365.25,0)&lt;=13,G7&lt;&gt;"OK")</formula>
    </cfRule>
    <cfRule type="expression" dxfId="89" priority="53" stopIfTrue="1">
      <formula>AND(ROUNDDOWN(($A$4-E7)/365.25,0)&lt;=14,G7&lt;&gt;"OK")</formula>
    </cfRule>
    <cfRule type="expression" dxfId="88" priority="54" stopIfTrue="1">
      <formula>AND(ROUNDDOWN(($A$4-E7)/365.25,0)&lt;=17,G7&lt;&gt;"OK")</formula>
    </cfRule>
  </conditionalFormatting>
  <conditionalFormatting sqref="J7:J10 J12:J15 J17:J156">
    <cfRule type="cellIs" dxfId="87" priority="51" stopIfTrue="1" operator="equal">
      <formula>"Z"</formula>
    </cfRule>
  </conditionalFormatting>
  <conditionalFormatting sqref="A7:D10 A11 A12:D15 A17:D156 A16">
    <cfRule type="expression" dxfId="86" priority="50" stopIfTrue="1">
      <formula>$Q7&gt;=1</formula>
    </cfRule>
  </conditionalFormatting>
  <conditionalFormatting sqref="E7:E10 E12:E15">
    <cfRule type="expression" dxfId="85" priority="47" stopIfTrue="1">
      <formula>AND(ROUNDDOWN(($A$4-E7)/365.25,0)&lt;=13,G7&lt;&gt;"OK")</formula>
    </cfRule>
    <cfRule type="expression" dxfId="84" priority="48" stopIfTrue="1">
      <formula>AND(ROUNDDOWN(($A$4-E7)/365.25,0)&lt;=14,G7&lt;&gt;"OK")</formula>
    </cfRule>
    <cfRule type="expression" dxfId="83" priority="49" stopIfTrue="1">
      <formula>AND(ROUNDDOWN(($A$4-E7)/365.25,0)&lt;=17,G7&lt;&gt;"OK")</formula>
    </cfRule>
  </conditionalFormatting>
  <conditionalFormatting sqref="J7:J10 J12:J15">
    <cfRule type="cellIs" dxfId="82" priority="46" stopIfTrue="1" operator="equal">
      <formula>"Z"</formula>
    </cfRule>
  </conditionalFormatting>
  <conditionalFormatting sqref="B7:D10 B12:D15">
    <cfRule type="expression" dxfId="81" priority="45" stopIfTrue="1">
      <formula>$Q7&gt;=1</formula>
    </cfRule>
  </conditionalFormatting>
  <conditionalFormatting sqref="E7:E10 E12:E15">
    <cfRule type="expression" dxfId="80" priority="42" stopIfTrue="1">
      <formula>AND(ROUNDDOWN(($A$4-E7)/365.25,0)&lt;=13,G7&lt;&gt;"OK")</formula>
    </cfRule>
    <cfRule type="expression" dxfId="79" priority="43" stopIfTrue="1">
      <formula>AND(ROUNDDOWN(($A$4-E7)/365.25,0)&lt;=14,G7&lt;&gt;"OK")</formula>
    </cfRule>
    <cfRule type="expression" dxfId="78" priority="44" stopIfTrue="1">
      <formula>AND(ROUNDDOWN(($A$4-E7)/365.25,0)&lt;=17,G7&lt;&gt;"OK")</formula>
    </cfRule>
  </conditionalFormatting>
  <conditionalFormatting sqref="B7:D10 B12:D15">
    <cfRule type="expression" dxfId="77" priority="41" stopIfTrue="1">
      <formula>$Q7&gt;=1</formula>
    </cfRule>
  </conditionalFormatting>
  <conditionalFormatting sqref="E7:E10 E29:E37 E12:E15 E17:E27">
    <cfRule type="expression" dxfId="76" priority="38" stopIfTrue="1">
      <formula>AND(ROUNDDOWN(($A$4-E7)/365.25,0)&lt;=13,G7&lt;&gt;"OK")</formula>
    </cfRule>
    <cfRule type="expression" dxfId="75" priority="39" stopIfTrue="1">
      <formula>AND(ROUNDDOWN(($A$4-E7)/365.25,0)&lt;=14,G7&lt;&gt;"OK")</formula>
    </cfRule>
    <cfRule type="expression" dxfId="74" priority="40" stopIfTrue="1">
      <formula>AND(ROUNDDOWN(($A$4-E7)/365.25,0)&lt;=17,G7&lt;&gt;"OK")</formula>
    </cfRule>
  </conditionalFormatting>
  <conditionalFormatting sqref="B7:D10 B12:D15 B17:D37">
    <cfRule type="expression" dxfId="73" priority="37" stopIfTrue="1">
      <formula>$Q7&gt;=1</formula>
    </cfRule>
  </conditionalFormatting>
  <conditionalFormatting sqref="E11">
    <cfRule type="expression" dxfId="72" priority="34" stopIfTrue="1">
      <formula>AND(ROUNDDOWN(($A$4-E11)/365.25,0)&lt;=13,G11&lt;&gt;"OK")</formula>
    </cfRule>
    <cfRule type="expression" dxfId="71" priority="35" stopIfTrue="1">
      <formula>AND(ROUNDDOWN(($A$4-E11)/365.25,0)&lt;=14,G11&lt;&gt;"OK")</formula>
    </cfRule>
    <cfRule type="expression" dxfId="70" priority="36" stopIfTrue="1">
      <formula>AND(ROUNDDOWN(($A$4-E11)/365.25,0)&lt;=17,G11&lt;&gt;"OK")</formula>
    </cfRule>
  </conditionalFormatting>
  <conditionalFormatting sqref="J11">
    <cfRule type="cellIs" dxfId="69" priority="33" stopIfTrue="1" operator="equal">
      <formula>"Z"</formula>
    </cfRule>
  </conditionalFormatting>
  <conditionalFormatting sqref="B11:D11">
    <cfRule type="expression" dxfId="68" priority="32" stopIfTrue="1">
      <formula>$Q11&gt;=1</formula>
    </cfRule>
  </conditionalFormatting>
  <conditionalFormatting sqref="E11">
    <cfRule type="expression" dxfId="67" priority="29" stopIfTrue="1">
      <formula>AND(ROUNDDOWN(($A$4-E11)/365.25,0)&lt;=13,G11&lt;&gt;"OK")</formula>
    </cfRule>
    <cfRule type="expression" dxfId="66" priority="30" stopIfTrue="1">
      <formula>AND(ROUNDDOWN(($A$4-E11)/365.25,0)&lt;=14,G11&lt;&gt;"OK")</formula>
    </cfRule>
    <cfRule type="expression" dxfId="65" priority="31" stopIfTrue="1">
      <formula>AND(ROUNDDOWN(($A$4-E11)/365.25,0)&lt;=17,G11&lt;&gt;"OK")</formula>
    </cfRule>
  </conditionalFormatting>
  <conditionalFormatting sqref="J11">
    <cfRule type="cellIs" dxfId="64" priority="28" stopIfTrue="1" operator="equal">
      <formula>"Z"</formula>
    </cfRule>
  </conditionalFormatting>
  <conditionalFormatting sqref="B11:D11">
    <cfRule type="expression" dxfId="63" priority="27" stopIfTrue="1">
      <formula>$Q11&gt;=1</formula>
    </cfRule>
  </conditionalFormatting>
  <conditionalFormatting sqref="E11">
    <cfRule type="expression" dxfId="62" priority="24" stopIfTrue="1">
      <formula>AND(ROUNDDOWN(($A$4-E11)/365.25,0)&lt;=13,G11&lt;&gt;"OK")</formula>
    </cfRule>
    <cfRule type="expression" dxfId="61" priority="25" stopIfTrue="1">
      <formula>AND(ROUNDDOWN(($A$4-E11)/365.25,0)&lt;=14,G11&lt;&gt;"OK")</formula>
    </cfRule>
    <cfRule type="expression" dxfId="60" priority="26" stopIfTrue="1">
      <formula>AND(ROUNDDOWN(($A$4-E11)/365.25,0)&lt;=17,G11&lt;&gt;"OK")</formula>
    </cfRule>
  </conditionalFormatting>
  <conditionalFormatting sqref="B11:D11">
    <cfRule type="expression" dxfId="59" priority="23" stopIfTrue="1">
      <formula>$Q11&gt;=1</formula>
    </cfRule>
  </conditionalFormatting>
  <conditionalFormatting sqref="E11">
    <cfRule type="expression" dxfId="58" priority="20" stopIfTrue="1">
      <formula>AND(ROUNDDOWN(($A$4-E11)/365.25,0)&lt;=13,G11&lt;&gt;"OK")</formula>
    </cfRule>
    <cfRule type="expression" dxfId="57" priority="21" stopIfTrue="1">
      <formula>AND(ROUNDDOWN(($A$4-E11)/365.25,0)&lt;=14,G11&lt;&gt;"OK")</formula>
    </cfRule>
    <cfRule type="expression" dxfId="56" priority="22" stopIfTrue="1">
      <formula>AND(ROUNDDOWN(($A$4-E11)/365.25,0)&lt;=17,G11&lt;&gt;"OK")</formula>
    </cfRule>
  </conditionalFormatting>
  <conditionalFormatting sqref="B11:D11">
    <cfRule type="expression" dxfId="55" priority="19" stopIfTrue="1">
      <formula>$Q11&gt;=1</formula>
    </cfRule>
  </conditionalFormatting>
  <conditionalFormatting sqref="E16">
    <cfRule type="expression" dxfId="54" priority="7" stopIfTrue="1">
      <formula>AND(ROUNDDOWN(($A$4-E16)/365.25,0)&lt;=13,G16&lt;&gt;"OK")</formula>
    </cfRule>
    <cfRule type="expression" dxfId="53" priority="8" stopIfTrue="1">
      <formula>AND(ROUNDDOWN(($A$4-E16)/365.25,0)&lt;=14,G16&lt;&gt;"OK")</formula>
    </cfRule>
    <cfRule type="expression" dxfId="52" priority="9" stopIfTrue="1">
      <formula>AND(ROUNDDOWN(($A$4-E16)/365.25,0)&lt;=17,G16&lt;&gt;"OK")</formula>
    </cfRule>
  </conditionalFormatting>
  <conditionalFormatting sqref="J16">
    <cfRule type="cellIs" dxfId="51" priority="6" stopIfTrue="1" operator="equal">
      <formula>"Z"</formula>
    </cfRule>
  </conditionalFormatting>
  <conditionalFormatting sqref="B16:D16">
    <cfRule type="expression" dxfId="50" priority="5" stopIfTrue="1">
      <formula>$Q16&gt;=1</formula>
    </cfRule>
  </conditionalFormatting>
  <conditionalFormatting sqref="E16">
    <cfRule type="expression" dxfId="49" priority="2" stopIfTrue="1">
      <formula>AND(ROUNDDOWN(($A$4-E16)/365.25,0)&lt;=13,G16&lt;&gt;"OK")</formula>
    </cfRule>
    <cfRule type="expression" dxfId="48" priority="3" stopIfTrue="1">
      <formula>AND(ROUNDDOWN(($A$4-E16)/365.25,0)&lt;=14,G16&lt;&gt;"OK")</formula>
    </cfRule>
    <cfRule type="expression" dxfId="47" priority="4" stopIfTrue="1">
      <formula>AND(ROUNDDOWN(($A$4-E16)/365.25,0)&lt;=17,G16&lt;&gt;"OK")</formula>
    </cfRule>
  </conditionalFormatting>
  <conditionalFormatting sqref="B16:D16">
    <cfRule type="expression" dxfId="46" priority="1" stopIfTrue="1">
      <formula>$Q16&gt;=1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43BE4-24E2-482E-80AE-5690F4783DD9}">
  <sheetPr codeName="Sheet144">
    <tabColor indexed="11"/>
    <pageSetUpPr fitToPage="1"/>
  </sheetPr>
  <dimension ref="A1:AO57"/>
  <sheetViews>
    <sheetView showGridLines="0" showZeros="0" workbookViewId="0">
      <selection activeCell="W1" sqref="W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7" customWidth="1"/>
    <col min="11" max="11" width="10.6640625" customWidth="1"/>
    <col min="12" max="12" width="1.6640625" style="117" customWidth="1"/>
    <col min="13" max="13" width="10.6640625" customWidth="1"/>
    <col min="14" max="14" width="1.6640625" style="118" customWidth="1"/>
    <col min="15" max="15" width="10.6640625" customWidth="1"/>
    <col min="16" max="16" width="1.6640625" style="117" customWidth="1"/>
    <col min="17" max="17" width="10.6640625" customWidth="1"/>
    <col min="18" max="18" width="1.6640625" style="118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style="374" customWidth="1"/>
  </cols>
  <sheetData>
    <row r="1" spans="1:37" s="119" customFormat="1" ht="21.75" customHeight="1" x14ac:dyDescent="0.25">
      <c r="A1" s="88" t="str">
        <f>Altalanos!$A$6</f>
        <v>Budapest Bajnokság</v>
      </c>
      <c r="B1" s="88"/>
      <c r="C1" s="120"/>
      <c r="D1" s="120"/>
      <c r="E1" s="120"/>
      <c r="F1" s="120"/>
      <c r="G1" s="120"/>
      <c r="H1" s="88"/>
      <c r="I1" s="233"/>
      <c r="J1" s="121"/>
      <c r="K1" s="265" t="s">
        <v>52</v>
      </c>
      <c r="L1" s="107"/>
      <c r="M1" s="89"/>
      <c r="N1" s="121"/>
      <c r="O1" s="121" t="s">
        <v>3</v>
      </c>
      <c r="P1" s="121"/>
      <c r="Q1" s="120"/>
      <c r="R1" s="121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89"/>
      <c r="AJ1" s="389"/>
      <c r="AK1" s="389"/>
    </row>
    <row r="2" spans="1:37" s="99" customFormat="1" x14ac:dyDescent="0.25">
      <c r="A2" s="293" t="s">
        <v>51</v>
      </c>
      <c r="B2" s="90"/>
      <c r="C2" s="90"/>
      <c r="D2" s="90"/>
      <c r="E2" s="287" t="str">
        <f>Altalanos!$C$8</f>
        <v>F16 csapat</v>
      </c>
      <c r="F2" s="90"/>
      <c r="G2" s="122"/>
      <c r="H2" s="100"/>
      <c r="I2" s="100"/>
      <c r="J2" s="123"/>
      <c r="K2" s="107"/>
      <c r="L2" s="107"/>
      <c r="M2" s="107"/>
      <c r="N2" s="123"/>
      <c r="O2" s="100"/>
      <c r="P2" s="123"/>
      <c r="Q2" s="100"/>
      <c r="R2" s="123"/>
      <c r="Y2" s="376"/>
      <c r="Z2" s="375"/>
      <c r="AA2" s="390" t="s">
        <v>64</v>
      </c>
      <c r="AB2" s="391">
        <v>300</v>
      </c>
      <c r="AC2" s="391">
        <v>250</v>
      </c>
      <c r="AD2" s="391">
        <v>200</v>
      </c>
      <c r="AE2" s="391">
        <v>150</v>
      </c>
      <c r="AF2" s="391">
        <v>120</v>
      </c>
      <c r="AG2" s="391">
        <v>90</v>
      </c>
      <c r="AH2" s="391">
        <v>40</v>
      </c>
      <c r="AI2" s="374"/>
      <c r="AJ2" s="374"/>
      <c r="AK2" s="374"/>
    </row>
    <row r="3" spans="1:37" s="19" customFormat="1" ht="11.25" customHeight="1" x14ac:dyDescent="0.25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Y3" s="375" t="str">
        <f>IF(K4="OB","A",IF(K4="IX","W",IF(K4="","",K4)))</f>
        <v/>
      </c>
      <c r="Z3" s="375"/>
      <c r="AA3" s="390" t="s">
        <v>65</v>
      </c>
      <c r="AB3" s="391">
        <v>280</v>
      </c>
      <c r="AC3" s="391">
        <v>230</v>
      </c>
      <c r="AD3" s="391">
        <v>180</v>
      </c>
      <c r="AE3" s="391">
        <v>140</v>
      </c>
      <c r="AF3" s="391">
        <v>80</v>
      </c>
      <c r="AG3" s="391">
        <v>0</v>
      </c>
      <c r="AH3" s="391">
        <v>0</v>
      </c>
      <c r="AI3" s="374"/>
      <c r="AJ3" s="374"/>
      <c r="AK3" s="374"/>
    </row>
    <row r="4" spans="1:37" s="28" customFormat="1" ht="11.25" customHeight="1" thickBot="1" x14ac:dyDescent="0.3">
      <c r="A4" s="442" t="str">
        <f>Altalanos!$A$10</f>
        <v>2025.06.19-29.</v>
      </c>
      <c r="B4" s="442"/>
      <c r="C4" s="442"/>
      <c r="D4" s="259"/>
      <c r="E4" s="125"/>
      <c r="F4" s="125"/>
      <c r="G4" s="125" t="str">
        <f>Altalanos!$C$10</f>
        <v>Budapest</v>
      </c>
      <c r="H4" s="93"/>
      <c r="I4" s="125"/>
      <c r="J4" s="126"/>
      <c r="K4" s="127"/>
      <c r="L4" s="126"/>
      <c r="M4" s="128"/>
      <c r="N4" s="126"/>
      <c r="O4" s="125"/>
      <c r="P4" s="126"/>
      <c r="Q4" s="125"/>
      <c r="R4" s="84" t="str">
        <f>Altalanos!$E$10</f>
        <v>Rákóczi Andrea</v>
      </c>
      <c r="Y4" s="375"/>
      <c r="Z4" s="375"/>
      <c r="AA4" s="390" t="s">
        <v>66</v>
      </c>
      <c r="AB4" s="391">
        <v>250</v>
      </c>
      <c r="AC4" s="391">
        <v>200</v>
      </c>
      <c r="AD4" s="391">
        <v>150</v>
      </c>
      <c r="AE4" s="391">
        <v>120</v>
      </c>
      <c r="AF4" s="391">
        <v>90</v>
      </c>
      <c r="AG4" s="391">
        <v>60</v>
      </c>
      <c r="AH4" s="391">
        <v>25</v>
      </c>
      <c r="AI4" s="374"/>
      <c r="AJ4" s="374"/>
      <c r="AK4" s="374"/>
    </row>
    <row r="5" spans="1:37" s="19" customFormat="1" x14ac:dyDescent="0.25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59</v>
      </c>
      <c r="N5" s="132"/>
      <c r="O5" s="130" t="s">
        <v>58</v>
      </c>
      <c r="P5" s="132"/>
      <c r="Q5" s="130" t="s">
        <v>57</v>
      </c>
      <c r="R5" s="133"/>
      <c r="Y5" s="375">
        <f>IF(OR(Altalanos!$A$8="F1",Altalanos!$A$8="F2",Altalanos!$A$8="N1",Altalanos!$A$8="N2"),1,2)</f>
        <v>2</v>
      </c>
      <c r="Z5" s="375"/>
      <c r="AA5" s="390" t="s">
        <v>67</v>
      </c>
      <c r="AB5" s="391">
        <v>200</v>
      </c>
      <c r="AC5" s="391">
        <v>150</v>
      </c>
      <c r="AD5" s="391">
        <v>120</v>
      </c>
      <c r="AE5" s="391">
        <v>90</v>
      </c>
      <c r="AF5" s="391">
        <v>60</v>
      </c>
      <c r="AG5" s="391">
        <v>40</v>
      </c>
      <c r="AH5" s="391">
        <v>15</v>
      </c>
      <c r="AI5" s="374"/>
      <c r="AJ5" s="374"/>
      <c r="AK5" s="374"/>
    </row>
    <row r="6" spans="1:37" s="19" customFormat="1" ht="11.1" customHeight="1" thickBot="1" x14ac:dyDescent="0.3">
      <c r="A6" s="134"/>
      <c r="B6" s="379"/>
      <c r="C6" s="379"/>
      <c r="D6" s="379"/>
      <c r="E6" s="379"/>
      <c r="F6" s="378" t="str">
        <f>IF(Y3="","",CONCATENATE(AH1," / ",VLOOKUP(Y3,AB1:AH1,5)," pont"))</f>
        <v/>
      </c>
      <c r="G6" s="380"/>
      <c r="H6" s="381"/>
      <c r="I6" s="380"/>
      <c r="J6" s="382"/>
      <c r="K6" s="379" t="str">
        <f>IF(Y3="","",CONCATENATE(VLOOKUP(Y3,AB1:AH1,4)," pont"))</f>
        <v/>
      </c>
      <c r="L6" s="382"/>
      <c r="M6" s="379" t="str">
        <f>IF(Y3="","",CONCATENATE(VLOOKUP(Y3,AB1:AH1,3)," pont"))</f>
        <v/>
      </c>
      <c r="N6" s="382"/>
      <c r="O6" s="379" t="str">
        <f>IF(Y3="","",CONCATENATE(VLOOKUP(Y3,AB1:AH1,2)," pont"))</f>
        <v/>
      </c>
      <c r="P6" s="382"/>
      <c r="Q6" s="379" t="str">
        <f>IF(Y3="","",CONCATENATE(VLOOKUP(Y3,AB1:AH1,1)," pont"))</f>
        <v/>
      </c>
      <c r="R6" s="383"/>
      <c r="Y6" s="375"/>
      <c r="Z6" s="375"/>
      <c r="AA6" s="390" t="s">
        <v>68</v>
      </c>
      <c r="AB6" s="391">
        <v>150</v>
      </c>
      <c r="AC6" s="391">
        <v>120</v>
      </c>
      <c r="AD6" s="391">
        <v>90</v>
      </c>
      <c r="AE6" s="391">
        <v>60</v>
      </c>
      <c r="AF6" s="391">
        <v>40</v>
      </c>
      <c r="AG6" s="391">
        <v>25</v>
      </c>
      <c r="AH6" s="391">
        <v>10</v>
      </c>
      <c r="AI6" s="374"/>
      <c r="AJ6" s="374"/>
      <c r="AK6" s="374"/>
    </row>
    <row r="7" spans="1:37" s="34" customFormat="1" ht="12.9" customHeight="1" x14ac:dyDescent="0.25">
      <c r="A7" s="135">
        <v>1</v>
      </c>
      <c r="B7" s="243">
        <f>IF($E7="","",VLOOKUP($E7,'F16 csapat ELO'!$A$7:$O$22,14))</f>
        <v>0</v>
      </c>
      <c r="C7" s="272">
        <f>IF($E7="","",VLOOKUP($E7,'F16 csapat ELO'!$A$7:$O$22,15))</f>
        <v>17</v>
      </c>
      <c r="D7" s="272">
        <f>IF($E7="","",VLOOKUP($E7,'F16 csapat ELO'!$A$7:$O$22,5))</f>
        <v>0</v>
      </c>
      <c r="E7" s="136">
        <v>1</v>
      </c>
      <c r="F7" s="137" t="str">
        <f>UPPER(IF($E7="","",VLOOKUP($E7,'F16 csapat ELO'!$A$7:$O$22,2)))</f>
        <v>SUPER EXTRA TENNIS</v>
      </c>
      <c r="G7" s="137">
        <f>IF($E7="","",VLOOKUP($E7,'F16 csapat ELO'!$A$7:$O$22,3))</f>
        <v>0</v>
      </c>
      <c r="H7" s="137"/>
      <c r="I7" s="137">
        <f>IF($E7="","",VLOOKUP($E7,'F16 csapat ELO'!$A$7:$O$22,4))</f>
        <v>0</v>
      </c>
      <c r="J7" s="139"/>
      <c r="K7" s="138"/>
      <c r="L7" s="138"/>
      <c r="M7" s="138"/>
      <c r="N7" s="138"/>
      <c r="O7" s="141"/>
      <c r="P7" s="142"/>
      <c r="Q7" s="143"/>
      <c r="R7" s="144"/>
      <c r="S7" s="145"/>
      <c r="U7" s="146" t="str">
        <f>Birók!P21</f>
        <v>Bíró</v>
      </c>
      <c r="Y7" s="375"/>
      <c r="Z7" s="375"/>
      <c r="AA7" s="390" t="s">
        <v>69</v>
      </c>
      <c r="AB7" s="391">
        <v>120</v>
      </c>
      <c r="AC7" s="391">
        <v>90</v>
      </c>
      <c r="AD7" s="391">
        <v>60</v>
      </c>
      <c r="AE7" s="391">
        <v>40</v>
      </c>
      <c r="AF7" s="391">
        <v>25</v>
      </c>
      <c r="AG7" s="391">
        <v>10</v>
      </c>
      <c r="AH7" s="391">
        <v>5</v>
      </c>
      <c r="AI7" s="374"/>
      <c r="AJ7" s="374"/>
      <c r="AK7" s="374"/>
    </row>
    <row r="8" spans="1:37" s="34" customFormat="1" ht="12.9" customHeight="1" x14ac:dyDescent="0.25">
      <c r="A8" s="147"/>
      <c r="B8" s="285"/>
      <c r="C8" s="281"/>
      <c r="D8" s="281"/>
      <c r="E8" s="148"/>
      <c r="F8" s="149"/>
      <c r="G8" s="149"/>
      <c r="H8" s="150"/>
      <c r="I8" s="413" t="s">
        <v>0</v>
      </c>
      <c r="J8" s="152" t="s">
        <v>127</v>
      </c>
      <c r="K8" s="153" t="str">
        <f>UPPER(IF(OR(J8="a",J8="as"),F7,IF(OR(J8="b",J8="bs"),F9,)))</f>
        <v>SUPER EXTRA TENNIS</v>
      </c>
      <c r="L8" s="153"/>
      <c r="M8" s="138"/>
      <c r="N8" s="138"/>
      <c r="O8" s="141"/>
      <c r="P8" s="142"/>
      <c r="Q8" s="143"/>
      <c r="R8" s="144"/>
      <c r="S8" s="145"/>
      <c r="U8" s="154" t="str">
        <f>Birók!P22</f>
        <v xml:space="preserve"> </v>
      </c>
      <c r="Y8" s="375"/>
      <c r="Z8" s="375"/>
      <c r="AA8" s="390" t="s">
        <v>70</v>
      </c>
      <c r="AB8" s="391">
        <v>90</v>
      </c>
      <c r="AC8" s="391">
        <v>60</v>
      </c>
      <c r="AD8" s="391">
        <v>40</v>
      </c>
      <c r="AE8" s="391">
        <v>25</v>
      </c>
      <c r="AF8" s="391">
        <v>10</v>
      </c>
      <c r="AG8" s="391">
        <v>5</v>
      </c>
      <c r="AH8" s="391">
        <v>2</v>
      </c>
      <c r="AI8" s="374"/>
      <c r="AJ8" s="374"/>
      <c r="AK8" s="374"/>
    </row>
    <row r="9" spans="1:37" s="34" customFormat="1" ht="12.9" customHeight="1" x14ac:dyDescent="0.25">
      <c r="A9" s="147">
        <v>2</v>
      </c>
      <c r="B9" s="243" t="str">
        <f>IF($E9="","",VLOOKUP($E9,'F16 csapat ELO'!$A$7:$O$22,14))</f>
        <v/>
      </c>
      <c r="C9" s="272" t="str">
        <f>IF($E9="","",VLOOKUP($E9,'F16 csapat ELO'!$A$7:$O$22,15))</f>
        <v/>
      </c>
      <c r="D9" s="272" t="str">
        <f>IF($E9="","",VLOOKUP($E9,'F16 csapat ELO'!$A$7:$O$22,5))</f>
        <v/>
      </c>
      <c r="E9" s="136"/>
      <c r="F9" s="155" t="str">
        <f>UPPER(IF($E9="","",VLOOKUP($E9,'F16 csapat ELO'!$A$7:$O$22,2)))</f>
        <v/>
      </c>
      <c r="G9" s="155" t="str">
        <f>IF($E9="","",VLOOKUP($E9,'F16 csapat ELO'!$A$7:$O$22,3))</f>
        <v/>
      </c>
      <c r="H9" s="155"/>
      <c r="I9" s="137" t="str">
        <f>IF($E9="","",VLOOKUP($E9,'F16 csapat ELO'!$A$7:$O$22,4))</f>
        <v/>
      </c>
      <c r="J9" s="156"/>
      <c r="K9" s="138"/>
      <c r="L9" s="157"/>
      <c r="M9" s="138"/>
      <c r="N9" s="138"/>
      <c r="O9" s="141"/>
      <c r="P9" s="142"/>
      <c r="Q9" s="143"/>
      <c r="R9" s="144"/>
      <c r="S9" s="145"/>
      <c r="U9" s="154" t="str">
        <f>Birók!P23</f>
        <v xml:space="preserve"> </v>
      </c>
      <c r="Y9" s="375"/>
      <c r="Z9" s="375"/>
      <c r="AA9" s="390" t="s">
        <v>71</v>
      </c>
      <c r="AB9" s="391">
        <v>60</v>
      </c>
      <c r="AC9" s="391">
        <v>40</v>
      </c>
      <c r="AD9" s="391">
        <v>25</v>
      </c>
      <c r="AE9" s="391">
        <v>10</v>
      </c>
      <c r="AF9" s="391">
        <v>5</v>
      </c>
      <c r="AG9" s="391">
        <v>2</v>
      </c>
      <c r="AH9" s="391">
        <v>1</v>
      </c>
      <c r="AI9" s="374"/>
      <c r="AJ9" s="374"/>
      <c r="AK9" s="374"/>
    </row>
    <row r="10" spans="1:37" s="34" customFormat="1" ht="12.9" customHeight="1" x14ac:dyDescent="0.25">
      <c r="A10" s="147"/>
      <c r="B10" s="285"/>
      <c r="C10" s="281"/>
      <c r="D10" s="281"/>
      <c r="E10" s="158"/>
      <c r="F10" s="149"/>
      <c r="G10" s="149"/>
      <c r="H10" s="150"/>
      <c r="I10" s="138"/>
      <c r="J10" s="159"/>
      <c r="K10" s="151" t="s">
        <v>0</v>
      </c>
      <c r="L10" s="160" t="s">
        <v>145</v>
      </c>
      <c r="M10" s="153" t="str">
        <f>UPPER(IF(OR(L10="a",L10="as"),K8,IF(OR(L10="b",L10="bs"),K12,)))</f>
        <v>SUPER EXTRA TENNIS</v>
      </c>
      <c r="N10" s="161"/>
      <c r="O10" s="162"/>
      <c r="P10" s="162"/>
      <c r="Q10" s="143"/>
      <c r="R10" s="144"/>
      <c r="S10" s="145"/>
      <c r="U10" s="154" t="str">
        <f>Birók!P24</f>
        <v xml:space="preserve"> </v>
      </c>
      <c r="Y10" s="375"/>
      <c r="Z10" s="375"/>
      <c r="AA10" s="390" t="s">
        <v>72</v>
      </c>
      <c r="AB10" s="391">
        <v>40</v>
      </c>
      <c r="AC10" s="391">
        <v>25</v>
      </c>
      <c r="AD10" s="391">
        <v>15</v>
      </c>
      <c r="AE10" s="391">
        <v>7</v>
      </c>
      <c r="AF10" s="391">
        <v>4</v>
      </c>
      <c r="AG10" s="391">
        <v>1</v>
      </c>
      <c r="AH10" s="391">
        <v>0</v>
      </c>
      <c r="AI10" s="374"/>
      <c r="AJ10" s="374"/>
      <c r="AK10" s="374"/>
    </row>
    <row r="11" spans="1:37" s="34" customFormat="1" ht="12.9" customHeight="1" x14ac:dyDescent="0.25">
      <c r="A11" s="147">
        <v>3</v>
      </c>
      <c r="B11" s="243">
        <f>IF($E11="","",VLOOKUP($E11,'F16 csapat ELO'!$A$7:$O$22,14))</f>
        <v>0</v>
      </c>
      <c r="C11" s="272">
        <f>IF($E11="","",VLOOKUP($E11,'F16 csapat ELO'!$A$7:$O$22,15))</f>
        <v>60</v>
      </c>
      <c r="D11" s="272">
        <f>IF($E11="","",VLOOKUP($E11,'F16 csapat ELO'!$A$7:$O$22,5))</f>
        <v>0</v>
      </c>
      <c r="E11" s="136">
        <v>6</v>
      </c>
      <c r="F11" s="155" t="str">
        <f>UPPER(IF($E11="","",VLOOKUP($E11,'F16 csapat ELO'!$A$7:$O$22,2)))</f>
        <v>ALFA TI</v>
      </c>
      <c r="G11" s="155">
        <f>IF($E11="","",VLOOKUP($E11,'F16 csapat ELO'!$A$7:$O$22,3))</f>
        <v>0</v>
      </c>
      <c r="H11" s="155"/>
      <c r="I11" s="155">
        <f>IF($E11="","",VLOOKUP($E11,'F16 csapat ELO'!$A$7:$O$22,4))</f>
        <v>0</v>
      </c>
      <c r="J11" s="139"/>
      <c r="K11" s="138"/>
      <c r="L11" s="163"/>
      <c r="M11" s="167" t="s">
        <v>142</v>
      </c>
      <c r="N11" s="164"/>
      <c r="O11" s="162"/>
      <c r="P11" s="162"/>
      <c r="Q11" s="143"/>
      <c r="R11" s="144"/>
      <c r="S11" s="145"/>
      <c r="U11" s="154" t="str">
        <f>Birók!P25</f>
        <v xml:space="preserve"> </v>
      </c>
      <c r="Y11" s="375"/>
      <c r="Z11" s="375"/>
      <c r="AA11" s="390" t="s">
        <v>73</v>
      </c>
      <c r="AB11" s="391">
        <v>25</v>
      </c>
      <c r="AC11" s="391">
        <v>15</v>
      </c>
      <c r="AD11" s="391">
        <v>10</v>
      </c>
      <c r="AE11" s="391">
        <v>6</v>
      </c>
      <c r="AF11" s="391">
        <v>3</v>
      </c>
      <c r="AG11" s="391">
        <v>1</v>
      </c>
      <c r="AH11" s="391">
        <v>0</v>
      </c>
      <c r="AI11" s="374"/>
      <c r="AJ11" s="374"/>
      <c r="AK11" s="374"/>
    </row>
    <row r="12" spans="1:37" s="34" customFormat="1" ht="12.9" customHeight="1" x14ac:dyDescent="0.25">
      <c r="A12" s="147"/>
      <c r="B12" s="285"/>
      <c r="C12" s="281"/>
      <c r="D12" s="281"/>
      <c r="E12" s="158"/>
      <c r="F12" s="149"/>
      <c r="G12" s="149"/>
      <c r="H12" s="150"/>
      <c r="I12" s="413" t="s">
        <v>0</v>
      </c>
      <c r="J12" s="152" t="s">
        <v>129</v>
      </c>
      <c r="K12" s="153" t="str">
        <f>UPPER(IF(OR(J12="a",J12="as"),F11,IF(OR(J12="b",J12="bs"),F13,)))</f>
        <v>ALFA TI</v>
      </c>
      <c r="L12" s="165"/>
      <c r="M12" s="138"/>
      <c r="N12" s="164"/>
      <c r="O12" s="162"/>
      <c r="P12" s="162"/>
      <c r="Q12" s="143"/>
      <c r="R12" s="144"/>
      <c r="S12" s="145"/>
      <c r="U12" s="154" t="str">
        <f>Birók!P26</f>
        <v xml:space="preserve"> </v>
      </c>
      <c r="Y12" s="375"/>
      <c r="Z12" s="375"/>
      <c r="AA12" s="390" t="s">
        <v>78</v>
      </c>
      <c r="AB12" s="391">
        <v>15</v>
      </c>
      <c r="AC12" s="391">
        <v>10</v>
      </c>
      <c r="AD12" s="391">
        <v>6</v>
      </c>
      <c r="AE12" s="391">
        <v>3</v>
      </c>
      <c r="AF12" s="391">
        <v>1</v>
      </c>
      <c r="AG12" s="391">
        <v>0</v>
      </c>
      <c r="AH12" s="391">
        <v>0</v>
      </c>
      <c r="AI12" s="374"/>
      <c r="AJ12" s="374"/>
      <c r="AK12" s="374"/>
    </row>
    <row r="13" spans="1:37" s="34" customFormat="1" ht="12.9" customHeight="1" x14ac:dyDescent="0.25">
      <c r="A13" s="147">
        <v>4</v>
      </c>
      <c r="B13" s="243" t="str">
        <f>IF($E13="","",VLOOKUP($E13,'F16 csapat ELO'!$A$7:$O$22,14))</f>
        <v/>
      </c>
      <c r="C13" s="272" t="str">
        <f>IF($E13="","",VLOOKUP($E13,'F16 csapat ELO'!$A$7:$O$22,15))</f>
        <v/>
      </c>
      <c r="D13" s="272" t="str">
        <f>IF($E13="","",VLOOKUP($E13,'F16 csapat ELO'!$A$7:$O$22,5))</f>
        <v/>
      </c>
      <c r="E13" s="136"/>
      <c r="F13" s="155" t="str">
        <f>UPPER(IF($E13="","",VLOOKUP($E13,'F16 csapat ELO'!$A$7:$O$22,2)))</f>
        <v/>
      </c>
      <c r="G13" s="155" t="str">
        <f>IF($E13="","",VLOOKUP($E13,'F16 csapat ELO'!$A$7:$O$22,3))</f>
        <v/>
      </c>
      <c r="H13" s="155"/>
      <c r="I13" s="155" t="str">
        <f>IF($E13="","",VLOOKUP($E13,'F16 csapat ELO'!$A$7:$O$22,4))</f>
        <v/>
      </c>
      <c r="J13" s="166"/>
      <c r="K13" s="138"/>
      <c r="L13" s="138"/>
      <c r="M13" s="138"/>
      <c r="N13" s="164"/>
      <c r="O13" s="162"/>
      <c r="P13" s="162"/>
      <c r="Q13" s="143"/>
      <c r="R13" s="144"/>
      <c r="S13" s="145"/>
      <c r="U13" s="154" t="str">
        <f>Birók!P27</f>
        <v xml:space="preserve"> </v>
      </c>
      <c r="Y13" s="375"/>
      <c r="Z13" s="375"/>
      <c r="AA13" s="390" t="s">
        <v>74</v>
      </c>
      <c r="AB13" s="391">
        <v>10</v>
      </c>
      <c r="AC13" s="391">
        <v>6</v>
      </c>
      <c r="AD13" s="391">
        <v>3</v>
      </c>
      <c r="AE13" s="391">
        <v>1</v>
      </c>
      <c r="AF13" s="391">
        <v>0</v>
      </c>
      <c r="AG13" s="391">
        <v>0</v>
      </c>
      <c r="AH13" s="391">
        <v>0</v>
      </c>
      <c r="AI13" s="374"/>
      <c r="AJ13" s="374"/>
      <c r="AK13" s="374"/>
    </row>
    <row r="14" spans="1:37" s="34" customFormat="1" ht="12.9" customHeight="1" x14ac:dyDescent="0.25">
      <c r="A14" s="147"/>
      <c r="B14" s="285"/>
      <c r="C14" s="281"/>
      <c r="D14" s="281"/>
      <c r="E14" s="158"/>
      <c r="F14" s="138"/>
      <c r="G14" s="138"/>
      <c r="H14" s="66"/>
      <c r="I14" s="167"/>
      <c r="J14" s="159"/>
      <c r="K14" s="138"/>
      <c r="L14" s="138"/>
      <c r="M14" s="151" t="s">
        <v>0</v>
      </c>
      <c r="N14" s="160" t="s">
        <v>130</v>
      </c>
      <c r="O14" s="153" t="str">
        <f>UPPER(IF(OR(N14="a",N14="as"),M10,IF(OR(N14="b",N14="bs"),M18,)))</f>
        <v>TENISZ MŰHELY</v>
      </c>
      <c r="P14" s="161"/>
      <c r="Q14" s="143"/>
      <c r="R14" s="144"/>
      <c r="S14" s="145"/>
      <c r="U14" s="154" t="str">
        <f>Birók!P28</f>
        <v xml:space="preserve"> </v>
      </c>
      <c r="Y14" s="375"/>
      <c r="Z14" s="375"/>
      <c r="AA14" s="390" t="s">
        <v>75</v>
      </c>
      <c r="AB14" s="391">
        <v>3</v>
      </c>
      <c r="AC14" s="391">
        <v>2</v>
      </c>
      <c r="AD14" s="391">
        <v>1</v>
      </c>
      <c r="AE14" s="391">
        <v>0</v>
      </c>
      <c r="AF14" s="391">
        <v>0</v>
      </c>
      <c r="AG14" s="391">
        <v>0</v>
      </c>
      <c r="AH14" s="391">
        <v>0</v>
      </c>
      <c r="AI14" s="374"/>
      <c r="AJ14" s="374"/>
      <c r="AK14" s="374"/>
    </row>
    <row r="15" spans="1:37" s="34" customFormat="1" ht="12.9" customHeight="1" x14ac:dyDescent="0.25">
      <c r="A15" s="135">
        <v>5</v>
      </c>
      <c r="B15" s="243" t="str">
        <f>IF($E15="","",VLOOKUP($E15,'F16 csapat ELO'!$A$7:$O$22,14))</f>
        <v/>
      </c>
      <c r="C15" s="272" t="str">
        <f>IF($E15="","",VLOOKUP($E15,'F16 csapat ELO'!$A$7:$O$22,15))</f>
        <v/>
      </c>
      <c r="D15" s="272" t="str">
        <f>IF($E15="","",VLOOKUP($E15,'F16 csapat ELO'!$A$7:$O$22,5))</f>
        <v/>
      </c>
      <c r="E15" s="136"/>
      <c r="F15" s="137" t="str">
        <f>UPPER(IF($E15="","",VLOOKUP($E15,'F16 csapat ELO'!$A$7:$O$22,2)))</f>
        <v/>
      </c>
      <c r="G15" s="137" t="str">
        <f>IF($E15="","",VLOOKUP($E15,'F16 csapat ELO'!$A$7:$O$22,3))</f>
        <v/>
      </c>
      <c r="H15" s="137"/>
      <c r="I15" s="137" t="str">
        <f>IF($E15="","",VLOOKUP($E15,'F16 csapat ELO'!$A$7:$O$22,4))</f>
        <v/>
      </c>
      <c r="J15" s="168"/>
      <c r="K15" s="138"/>
      <c r="L15" s="138"/>
      <c r="M15" s="138"/>
      <c r="N15" s="164"/>
      <c r="O15" s="162" t="s">
        <v>141</v>
      </c>
      <c r="P15" s="164"/>
      <c r="Q15" s="143"/>
      <c r="R15" s="144"/>
      <c r="S15" s="145"/>
      <c r="U15" s="154" t="str">
        <f>Birók!P29</f>
        <v xml:space="preserve"> </v>
      </c>
      <c r="Y15" s="375"/>
      <c r="Z15" s="375"/>
      <c r="AA15" s="390"/>
      <c r="AB15" s="390"/>
      <c r="AC15" s="390"/>
      <c r="AD15" s="390"/>
      <c r="AE15" s="390"/>
      <c r="AF15" s="390"/>
      <c r="AG15" s="390"/>
      <c r="AH15" s="390"/>
      <c r="AI15" s="374"/>
      <c r="AJ15" s="374"/>
      <c r="AK15" s="374"/>
    </row>
    <row r="16" spans="1:37" s="34" customFormat="1" ht="12.9" customHeight="1" thickBot="1" x14ac:dyDescent="0.3">
      <c r="A16" s="147"/>
      <c r="B16" s="285"/>
      <c r="C16" s="281"/>
      <c r="D16" s="281"/>
      <c r="E16" s="158"/>
      <c r="F16" s="149"/>
      <c r="G16" s="149"/>
      <c r="H16" s="150"/>
      <c r="I16" s="413" t="s">
        <v>0</v>
      </c>
      <c r="J16" s="152" t="s">
        <v>130</v>
      </c>
      <c r="K16" s="153" t="str">
        <f>UPPER(IF(OR(J16="a",J16="as"),F15,IF(OR(J16="b",J16="bs"),F17,)))</f>
        <v>TENISZ MŰHELY</v>
      </c>
      <c r="L16" s="153"/>
      <c r="M16" s="138"/>
      <c r="N16" s="164"/>
      <c r="O16" s="162"/>
      <c r="P16" s="164"/>
      <c r="Q16" s="143"/>
      <c r="R16" s="144"/>
      <c r="S16" s="145"/>
      <c r="U16" s="169" t="str">
        <f>Birók!P30</f>
        <v>Egyik sem</v>
      </c>
      <c r="Y16" s="375"/>
      <c r="Z16" s="375"/>
      <c r="AA16" s="390" t="s">
        <v>64</v>
      </c>
      <c r="AB16" s="391">
        <v>150</v>
      </c>
      <c r="AC16" s="391">
        <v>120</v>
      </c>
      <c r="AD16" s="391">
        <v>90</v>
      </c>
      <c r="AE16" s="391">
        <v>60</v>
      </c>
      <c r="AF16" s="391">
        <v>40</v>
      </c>
      <c r="AG16" s="391">
        <v>25</v>
      </c>
      <c r="AH16" s="391">
        <v>15</v>
      </c>
      <c r="AI16" s="374"/>
      <c r="AJ16" s="374"/>
      <c r="AK16" s="374"/>
    </row>
    <row r="17" spans="1:41" s="34" customFormat="1" ht="12.9" customHeight="1" x14ac:dyDescent="0.25">
      <c r="A17" s="147">
        <v>6</v>
      </c>
      <c r="B17" s="243">
        <f>IF($E17="","",VLOOKUP($E17,'F16 csapat ELO'!$A$7:$O$22,14))</f>
        <v>0</v>
      </c>
      <c r="C17" s="272">
        <f>IF($E17="","",VLOOKUP($E17,'F16 csapat ELO'!$A$7:$O$22,15))</f>
        <v>36</v>
      </c>
      <c r="D17" s="272">
        <f>IF($E17="","",VLOOKUP($E17,'F16 csapat ELO'!$A$7:$O$22,5))</f>
        <v>0</v>
      </c>
      <c r="E17" s="136">
        <v>4</v>
      </c>
      <c r="F17" s="155" t="str">
        <f>UPPER(IF($E17="","",VLOOKUP($E17,'F16 csapat ELO'!$A$7:$O$22,2)))</f>
        <v>TENISZ MŰHELY</v>
      </c>
      <c r="G17" s="155">
        <f>IF($E17="","",VLOOKUP($E17,'F16 csapat ELO'!$A$7:$O$22,3))</f>
        <v>0</v>
      </c>
      <c r="H17" s="155"/>
      <c r="I17" s="155">
        <f>IF($E17="","",VLOOKUP($E17,'F16 csapat ELO'!$A$7:$O$22,4))</f>
        <v>0</v>
      </c>
      <c r="J17" s="156"/>
      <c r="K17" s="138"/>
      <c r="L17" s="157"/>
      <c r="M17" s="138"/>
      <c r="N17" s="164"/>
      <c r="O17" s="162"/>
      <c r="P17" s="164"/>
      <c r="Q17" s="143"/>
      <c r="R17" s="144"/>
      <c r="S17" s="145"/>
      <c r="Y17" s="375"/>
      <c r="Z17" s="375"/>
      <c r="AA17" s="390" t="s">
        <v>66</v>
      </c>
      <c r="AB17" s="391">
        <v>120</v>
      </c>
      <c r="AC17" s="391">
        <v>90</v>
      </c>
      <c r="AD17" s="391">
        <v>60</v>
      </c>
      <c r="AE17" s="391">
        <v>40</v>
      </c>
      <c r="AF17" s="391">
        <v>25</v>
      </c>
      <c r="AG17" s="391">
        <v>15</v>
      </c>
      <c r="AH17" s="391">
        <v>8</v>
      </c>
      <c r="AI17" s="374"/>
      <c r="AJ17" s="374"/>
      <c r="AK17" s="374"/>
    </row>
    <row r="18" spans="1:41" s="34" customFormat="1" ht="12.9" customHeight="1" x14ac:dyDescent="0.25">
      <c r="A18" s="147"/>
      <c r="B18" s="285"/>
      <c r="C18" s="281"/>
      <c r="D18" s="281"/>
      <c r="E18" s="158"/>
      <c r="F18" s="149"/>
      <c r="G18" s="149"/>
      <c r="H18" s="150"/>
      <c r="I18" s="138"/>
      <c r="J18" s="159"/>
      <c r="K18" s="151" t="s">
        <v>0</v>
      </c>
      <c r="L18" s="160" t="s">
        <v>129</v>
      </c>
      <c r="M18" s="153" t="str">
        <f>UPPER(IF(OR(L18="a",L18="as"),K16,IF(OR(L18="b",L18="bs"),K20,)))</f>
        <v>TENISZ MŰHELY</v>
      </c>
      <c r="N18" s="170"/>
      <c r="O18" s="162"/>
      <c r="P18" s="164"/>
      <c r="Q18" s="143"/>
      <c r="R18" s="144"/>
      <c r="S18" s="145"/>
      <c r="Y18" s="375"/>
      <c r="Z18" s="375"/>
      <c r="AA18" s="390" t="s">
        <v>67</v>
      </c>
      <c r="AB18" s="391">
        <v>90</v>
      </c>
      <c r="AC18" s="391">
        <v>60</v>
      </c>
      <c r="AD18" s="391">
        <v>40</v>
      </c>
      <c r="AE18" s="391">
        <v>25</v>
      </c>
      <c r="AF18" s="391">
        <v>15</v>
      </c>
      <c r="AG18" s="391">
        <v>8</v>
      </c>
      <c r="AH18" s="391">
        <v>4</v>
      </c>
      <c r="AI18" s="374"/>
      <c r="AJ18" s="374"/>
      <c r="AK18" s="374"/>
    </row>
    <row r="19" spans="1:41" s="34" customFormat="1" ht="12.9" customHeight="1" x14ac:dyDescent="0.25">
      <c r="A19" s="147">
        <v>7</v>
      </c>
      <c r="B19" s="243">
        <f>IF($E19="","",VLOOKUP($E19,'F16 csapat ELO'!$A$7:$O$22,14))</f>
        <v>0</v>
      </c>
      <c r="C19" s="272">
        <f>IF($E19="","",VLOOKUP($E19,'F16 csapat ELO'!$A$7:$O$22,15))</f>
        <v>64</v>
      </c>
      <c r="D19" s="272">
        <f>IF($E19="","",VLOOKUP($E19,'F16 csapat ELO'!$A$7:$O$22,5))</f>
        <v>0</v>
      </c>
      <c r="E19" s="136">
        <v>7</v>
      </c>
      <c r="F19" s="155" t="str">
        <f>UPPER(IF($E19="","",VLOOKUP($E19,'F16 csapat ELO'!$A$7:$O$22,2)))</f>
        <v>PASARÉT TK 2</v>
      </c>
      <c r="G19" s="155">
        <f>IF($E19="","",VLOOKUP($E19,'F16 csapat ELO'!$A$7:$O$22,3))</f>
        <v>0</v>
      </c>
      <c r="H19" s="155"/>
      <c r="I19" s="155">
        <f>IF($E19="","",VLOOKUP($E19,'F16 csapat ELO'!$A$7:$O$22,4))</f>
        <v>0</v>
      </c>
      <c r="J19" s="139"/>
      <c r="K19" s="138"/>
      <c r="L19" s="163"/>
      <c r="M19" s="138" t="s">
        <v>140</v>
      </c>
      <c r="N19" s="162"/>
      <c r="O19" s="162"/>
      <c r="P19" s="164"/>
      <c r="Q19" s="143"/>
      <c r="R19" s="144"/>
      <c r="S19" s="145"/>
      <c r="Y19" s="375"/>
      <c r="Z19" s="375"/>
      <c r="AA19" s="390" t="s">
        <v>68</v>
      </c>
      <c r="AB19" s="391">
        <v>60</v>
      </c>
      <c r="AC19" s="391">
        <v>40</v>
      </c>
      <c r="AD19" s="391">
        <v>25</v>
      </c>
      <c r="AE19" s="391">
        <v>15</v>
      </c>
      <c r="AF19" s="391">
        <v>8</v>
      </c>
      <c r="AG19" s="391">
        <v>4</v>
      </c>
      <c r="AH19" s="391">
        <v>2</v>
      </c>
      <c r="AI19" s="374"/>
      <c r="AJ19" s="374"/>
      <c r="AK19" s="374"/>
    </row>
    <row r="20" spans="1:41" s="34" customFormat="1" ht="12.9" customHeight="1" x14ac:dyDescent="0.25">
      <c r="A20" s="147"/>
      <c r="B20" s="285"/>
      <c r="C20" s="281"/>
      <c r="D20" s="281"/>
      <c r="E20" s="148"/>
      <c r="F20" s="149"/>
      <c r="G20" s="149"/>
      <c r="H20" s="150"/>
      <c r="I20" s="413" t="s">
        <v>0</v>
      </c>
      <c r="J20" s="152" t="s">
        <v>129</v>
      </c>
      <c r="K20" s="153" t="str">
        <f>UPPER(IF(OR(J20="a",J20="as"),F19,IF(OR(J20="b",J20="bs"),F21,)))</f>
        <v>PASARÉT TK 2</v>
      </c>
      <c r="L20" s="165"/>
      <c r="M20" s="138"/>
      <c r="N20" s="162"/>
      <c r="O20" s="162"/>
      <c r="P20" s="164"/>
      <c r="Q20" s="143"/>
      <c r="R20" s="144"/>
      <c r="S20" s="145"/>
      <c r="Y20" s="375"/>
      <c r="Z20" s="375"/>
      <c r="AA20" s="390" t="s">
        <v>69</v>
      </c>
      <c r="AB20" s="391">
        <v>40</v>
      </c>
      <c r="AC20" s="391">
        <v>25</v>
      </c>
      <c r="AD20" s="391">
        <v>15</v>
      </c>
      <c r="AE20" s="391">
        <v>8</v>
      </c>
      <c r="AF20" s="391">
        <v>4</v>
      </c>
      <c r="AG20" s="391">
        <v>2</v>
      </c>
      <c r="AH20" s="391">
        <v>1</v>
      </c>
      <c r="AI20" s="374"/>
      <c r="AJ20" s="374"/>
      <c r="AK20" s="374"/>
    </row>
    <row r="21" spans="1:41" s="34" customFormat="1" ht="12.9" customHeight="1" x14ac:dyDescent="0.25">
      <c r="A21" s="147">
        <v>8</v>
      </c>
      <c r="B21" s="243">
        <f>IF($E21="","",VLOOKUP($E21,'F16 csapat ELO'!$A$7:$O$22,14))</f>
        <v>0</v>
      </c>
      <c r="C21" s="272">
        <f>IF($E21="","",VLOOKUP($E21,'F16 csapat ELO'!$A$7:$O$22,15))</f>
        <v>159</v>
      </c>
      <c r="D21" s="272">
        <f>IF($E21="","",VLOOKUP($E21,'F16 csapat ELO'!$A$7:$O$22,5))</f>
        <v>0</v>
      </c>
      <c r="E21" s="136">
        <v>8</v>
      </c>
      <c r="F21" s="155" t="str">
        <f>UPPER(IF($E21="","",VLOOKUP($E21,'F16 csapat ELO'!$A$7:$O$22,2)))</f>
        <v>FORTUNA SE</v>
      </c>
      <c r="G21" s="155">
        <f>IF($E21="","",VLOOKUP($E21,'F16 csapat ELO'!$A$7:$O$22,3))</f>
        <v>0</v>
      </c>
      <c r="H21" s="155"/>
      <c r="I21" s="155">
        <f>IF($E21="","",VLOOKUP($E21,'F16 csapat ELO'!$A$7:$O$22,4))</f>
        <v>0</v>
      </c>
      <c r="J21" s="166"/>
      <c r="K21" s="162" t="s">
        <v>141</v>
      </c>
      <c r="L21" s="138"/>
      <c r="M21" s="138"/>
      <c r="N21" s="162"/>
      <c r="O21" s="162"/>
      <c r="P21" s="164"/>
      <c r="Q21" s="143"/>
      <c r="R21" s="144"/>
      <c r="S21" s="145"/>
      <c r="Y21" s="375"/>
      <c r="Z21" s="375"/>
      <c r="AA21" s="390" t="s">
        <v>70</v>
      </c>
      <c r="AB21" s="391">
        <v>25</v>
      </c>
      <c r="AC21" s="391">
        <v>15</v>
      </c>
      <c r="AD21" s="391">
        <v>10</v>
      </c>
      <c r="AE21" s="391">
        <v>6</v>
      </c>
      <c r="AF21" s="391">
        <v>3</v>
      </c>
      <c r="AG21" s="391">
        <v>1</v>
      </c>
      <c r="AH21" s="391">
        <v>0</v>
      </c>
      <c r="AI21" s="374"/>
      <c r="AJ21" s="374"/>
      <c r="AK21" s="374"/>
    </row>
    <row r="22" spans="1:41" s="34" customFormat="1" ht="12.9" customHeight="1" x14ac:dyDescent="0.25">
      <c r="A22" s="147"/>
      <c r="B22" s="285"/>
      <c r="C22" s="281"/>
      <c r="D22" s="281"/>
      <c r="E22" s="148"/>
      <c r="F22" s="167"/>
      <c r="G22" s="167"/>
      <c r="H22" s="171"/>
      <c r="I22" s="167"/>
      <c r="J22" s="159"/>
      <c r="K22" s="138"/>
      <c r="L22" s="138"/>
      <c r="M22" s="138"/>
      <c r="N22" s="162"/>
      <c r="O22" s="151" t="s">
        <v>0</v>
      </c>
      <c r="P22" s="160" t="s">
        <v>128</v>
      </c>
      <c r="Q22" s="153" t="str">
        <f>UPPER(IF(OR(P22="a",P22="as"),O14,IF(OR(P22="b",P22="bs"),O30,)))</f>
        <v>VASAS SC</v>
      </c>
      <c r="R22" s="161"/>
      <c r="S22" s="145"/>
      <c r="Y22" s="375"/>
      <c r="Z22" s="375"/>
      <c r="AA22" s="390" t="s">
        <v>71</v>
      </c>
      <c r="AB22" s="391">
        <v>15</v>
      </c>
      <c r="AC22" s="391">
        <v>10</v>
      </c>
      <c r="AD22" s="391">
        <v>6</v>
      </c>
      <c r="AE22" s="391">
        <v>3</v>
      </c>
      <c r="AF22" s="391">
        <v>1</v>
      </c>
      <c r="AG22" s="391">
        <v>0</v>
      </c>
      <c r="AH22" s="391">
        <v>0</v>
      </c>
      <c r="AI22" s="374"/>
      <c r="AJ22" s="374"/>
      <c r="AK22" s="374"/>
    </row>
    <row r="23" spans="1:41" s="34" customFormat="1" ht="12.9" customHeight="1" x14ac:dyDescent="0.25">
      <c r="A23" s="147">
        <v>9</v>
      </c>
      <c r="B23" s="243">
        <f>IF($E23="","",VLOOKUP($E23,'F16 csapat ELO'!$A$7:$O$22,14))</f>
        <v>0</v>
      </c>
      <c r="C23" s="272">
        <f>IF($E23="","",VLOOKUP($E23,'F16 csapat ELO'!$A$7:$O$22,15))</f>
        <v>47</v>
      </c>
      <c r="D23" s="272">
        <f>IF($E23="","",VLOOKUP($E23,'F16 csapat ELO'!$A$7:$O$22,5))</f>
        <v>0</v>
      </c>
      <c r="E23" s="136">
        <v>5</v>
      </c>
      <c r="F23" s="155" t="str">
        <f>UPPER(IF($E23="","",VLOOKUP($E23,'F16 csapat ELO'!$A$7:$O$22,2)))</f>
        <v>OKOS TENISZ SE</v>
      </c>
      <c r="G23" s="155">
        <f>IF($E23="","",VLOOKUP($E23,'F16 csapat ELO'!$A$7:$O$22,3))</f>
        <v>0</v>
      </c>
      <c r="H23" s="155"/>
      <c r="I23" s="155">
        <f>IF($E23="","",VLOOKUP($E23,'F16 csapat ELO'!$A$7:$O$22,4))</f>
        <v>0</v>
      </c>
      <c r="J23" s="139"/>
      <c r="K23" s="138"/>
      <c r="L23" s="138"/>
      <c r="M23" s="138"/>
      <c r="N23" s="162"/>
      <c r="O23" s="138"/>
      <c r="P23" s="164"/>
      <c r="Q23" s="138" t="s">
        <v>140</v>
      </c>
      <c r="R23" s="162"/>
      <c r="S23" s="145"/>
      <c r="Y23" s="375"/>
      <c r="Z23" s="375"/>
      <c r="AA23" s="390" t="s">
        <v>72</v>
      </c>
      <c r="AB23" s="391">
        <v>10</v>
      </c>
      <c r="AC23" s="391">
        <v>6</v>
      </c>
      <c r="AD23" s="391">
        <v>3</v>
      </c>
      <c r="AE23" s="391">
        <v>1</v>
      </c>
      <c r="AF23" s="391">
        <v>0</v>
      </c>
      <c r="AG23" s="391">
        <v>0</v>
      </c>
      <c r="AH23" s="391">
        <v>0</v>
      </c>
      <c r="AI23" s="374"/>
      <c r="AJ23" s="374"/>
      <c r="AK23" s="374"/>
    </row>
    <row r="24" spans="1:41" s="34" customFormat="1" ht="12.9" customHeight="1" x14ac:dyDescent="0.25">
      <c r="A24" s="147"/>
      <c r="B24" s="285"/>
      <c r="C24" s="281"/>
      <c r="D24" s="281"/>
      <c r="E24" s="148"/>
      <c r="F24" s="149"/>
      <c r="G24" s="149"/>
      <c r="H24" s="150"/>
      <c r="I24" s="413" t="s">
        <v>0</v>
      </c>
      <c r="J24" s="152" t="s">
        <v>129</v>
      </c>
      <c r="K24" s="153" t="str">
        <f>UPPER(IF(OR(J24="a",J24="as"),F23,IF(OR(J24="b",J24="bs"),F25,)))</f>
        <v>OKOS TENISZ SE</v>
      </c>
      <c r="L24" s="153"/>
      <c r="M24" s="138"/>
      <c r="N24" s="162"/>
      <c r="O24" s="162"/>
      <c r="P24" s="164"/>
      <c r="Q24" s="143"/>
      <c r="R24" s="144"/>
      <c r="S24" s="145"/>
      <c r="Y24" s="375"/>
      <c r="Z24" s="375"/>
      <c r="AA24" s="390" t="s">
        <v>73</v>
      </c>
      <c r="AB24" s="391">
        <v>6</v>
      </c>
      <c r="AC24" s="391">
        <v>3</v>
      </c>
      <c r="AD24" s="391">
        <v>1</v>
      </c>
      <c r="AE24" s="391">
        <v>0</v>
      </c>
      <c r="AF24" s="391">
        <v>0</v>
      </c>
      <c r="AG24" s="391">
        <v>0</v>
      </c>
      <c r="AH24" s="391">
        <v>0</v>
      </c>
      <c r="AI24" s="374"/>
      <c r="AJ24" s="374"/>
      <c r="AK24" s="374"/>
    </row>
    <row r="25" spans="1:41" s="34" customFormat="1" ht="12.9" customHeight="1" x14ac:dyDescent="0.25">
      <c r="A25" s="147">
        <v>10</v>
      </c>
      <c r="B25" s="243" t="str">
        <f>IF($E25="","",VLOOKUP($E25,'F16 csapat ELO'!$A$7:$O$22,14))</f>
        <v/>
      </c>
      <c r="C25" s="272" t="str">
        <f>IF($E25="","",VLOOKUP($E25,'F16 csapat ELO'!$A$7:$O$22,15))</f>
        <v/>
      </c>
      <c r="D25" s="272" t="str">
        <f>IF($E25="","",VLOOKUP($E25,'F16 csapat ELO'!$A$7:$O$22,5))</f>
        <v/>
      </c>
      <c r="E25" s="136"/>
      <c r="F25" s="155" t="str">
        <f>UPPER(IF($E25="","",VLOOKUP($E25,'F16 csapat ELO'!$A$7:$O$22,2)))</f>
        <v/>
      </c>
      <c r="G25" s="155" t="str">
        <f>IF($E25="","",VLOOKUP($E25,'F16 csapat ELO'!$A$7:$O$22,3))</f>
        <v/>
      </c>
      <c r="H25" s="155"/>
      <c r="I25" s="155" t="str">
        <f>IF($E25="","",VLOOKUP($E25,'F16 csapat ELO'!$A$7:$O$22,4))</f>
        <v/>
      </c>
      <c r="J25" s="156"/>
      <c r="K25" s="138"/>
      <c r="L25" s="157"/>
      <c r="M25" s="138"/>
      <c r="N25" s="162"/>
      <c r="O25" s="162"/>
      <c r="P25" s="164"/>
      <c r="Q25" s="143"/>
      <c r="R25" s="144"/>
      <c r="S25" s="145"/>
      <c r="Y25" s="375"/>
      <c r="Z25" s="375"/>
      <c r="AA25" s="390" t="s">
        <v>78</v>
      </c>
      <c r="AB25" s="391">
        <v>3</v>
      </c>
      <c r="AC25" s="391">
        <v>2</v>
      </c>
      <c r="AD25" s="391">
        <v>1</v>
      </c>
      <c r="AE25" s="391">
        <v>0</v>
      </c>
      <c r="AF25" s="391">
        <v>0</v>
      </c>
      <c r="AG25" s="391">
        <v>0</v>
      </c>
      <c r="AH25" s="391">
        <v>0</v>
      </c>
      <c r="AI25" s="374"/>
      <c r="AJ25" s="374"/>
      <c r="AK25" s="374"/>
    </row>
    <row r="26" spans="1:41" s="34" customFormat="1" ht="12.9" customHeight="1" x14ac:dyDescent="0.25">
      <c r="A26" s="147"/>
      <c r="B26" s="285"/>
      <c r="C26" s="281"/>
      <c r="D26" s="281"/>
      <c r="E26" s="158"/>
      <c r="F26" s="149"/>
      <c r="G26" s="149"/>
      <c r="H26" s="150"/>
      <c r="I26" s="138"/>
      <c r="J26" s="159"/>
      <c r="K26" s="151" t="s">
        <v>0</v>
      </c>
      <c r="L26" s="160" t="s">
        <v>130</v>
      </c>
      <c r="M26" s="153" t="str">
        <f>UPPER(IF(OR(L26="a",L26="as"),K24,IF(OR(L26="b",L26="bs"),K28,)))</f>
        <v>PASARÉT TK 1</v>
      </c>
      <c r="N26" s="161"/>
      <c r="O26" s="162"/>
      <c r="P26" s="164"/>
      <c r="Q26" s="143"/>
      <c r="R26" s="144"/>
      <c r="S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86"/>
      <c r="AM26" s="386"/>
      <c r="AN26" s="386"/>
      <c r="AO26" s="386"/>
    </row>
    <row r="27" spans="1:41" s="34" customFormat="1" ht="12.9" customHeight="1" x14ac:dyDescent="0.25">
      <c r="A27" s="147">
        <v>11</v>
      </c>
      <c r="B27" s="243">
        <f>IF($E27="","",VLOOKUP($E27,'F16 csapat ELO'!$A$7:$O$22,14))</f>
        <v>0</v>
      </c>
      <c r="C27" s="272">
        <f>IF($E27="","",VLOOKUP($E27,'F16 csapat ELO'!$A$7:$O$22,15))</f>
        <v>30</v>
      </c>
      <c r="D27" s="272">
        <f>IF($E27="","",VLOOKUP($E27,'F16 csapat ELO'!$A$7:$O$22,5))</f>
        <v>0</v>
      </c>
      <c r="E27" s="136">
        <v>3</v>
      </c>
      <c r="F27" s="155" t="str">
        <f>UPPER(IF($E27="","",VLOOKUP($E27,'F16 csapat ELO'!$A$7:$O$22,2)))</f>
        <v>PASARÉT TK 1</v>
      </c>
      <c r="G27" s="155">
        <f>IF($E27="","",VLOOKUP($E27,'F16 csapat ELO'!$A$7:$O$22,3))</f>
        <v>0</v>
      </c>
      <c r="H27" s="155"/>
      <c r="I27" s="155">
        <f>IF($E27="","",VLOOKUP($E27,'F16 csapat ELO'!$A$7:$O$22,4))</f>
        <v>0</v>
      </c>
      <c r="J27" s="139"/>
      <c r="K27" s="138"/>
      <c r="L27" s="163"/>
      <c r="M27" s="138" t="s">
        <v>140</v>
      </c>
      <c r="N27" s="164"/>
      <c r="O27" s="162"/>
      <c r="P27" s="164"/>
      <c r="Q27" s="143"/>
      <c r="R27" s="144"/>
      <c r="S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86"/>
      <c r="AM27" s="386"/>
      <c r="AN27" s="386"/>
      <c r="AO27" s="386"/>
    </row>
    <row r="28" spans="1:41" s="34" customFormat="1" ht="12.9" customHeight="1" x14ac:dyDescent="0.25">
      <c r="A28" s="172"/>
      <c r="B28" s="285"/>
      <c r="C28" s="281"/>
      <c r="D28" s="281"/>
      <c r="E28" s="158"/>
      <c r="F28" s="149"/>
      <c r="G28" s="149"/>
      <c r="H28" s="150"/>
      <c r="I28" s="413" t="s">
        <v>0</v>
      </c>
      <c r="J28" s="152" t="s">
        <v>129</v>
      </c>
      <c r="K28" s="153" t="str">
        <f>UPPER(IF(OR(J28="a",J28="as"),F27,IF(OR(J28="b",J28="bs"),F29,)))</f>
        <v>PASARÉT TK 1</v>
      </c>
      <c r="L28" s="165"/>
      <c r="M28" s="138"/>
      <c r="N28" s="164"/>
      <c r="O28" s="162"/>
      <c r="P28" s="164"/>
      <c r="Q28" s="143"/>
      <c r="R28" s="144"/>
      <c r="S28" s="145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</row>
    <row r="29" spans="1:41" s="34" customFormat="1" ht="12.9" customHeight="1" x14ac:dyDescent="0.25">
      <c r="A29" s="135">
        <v>12</v>
      </c>
      <c r="B29" s="243" t="str">
        <f>IF($E29="","",VLOOKUP($E29,'F16 csapat ELO'!$A$7:$O$22,14))</f>
        <v/>
      </c>
      <c r="C29" s="272" t="str">
        <f>IF($E29="","",VLOOKUP($E29,'F16 csapat ELO'!$A$7:$O$22,15))</f>
        <v/>
      </c>
      <c r="D29" s="272" t="str">
        <f>IF($E29="","",VLOOKUP($E29,'F16 csapat ELO'!$A$7:$O$22,5))</f>
        <v/>
      </c>
      <c r="E29" s="136"/>
      <c r="F29" s="137" t="str">
        <f>UPPER(IF($E29="","",VLOOKUP($E29,'F16 csapat ELO'!$A$7:$O$22,2)))</f>
        <v/>
      </c>
      <c r="G29" s="137" t="str">
        <f>IF($E29="","",VLOOKUP($E29,'F16 csapat ELO'!$A$7:$O$22,3))</f>
        <v/>
      </c>
      <c r="H29" s="137"/>
      <c r="I29" s="137" t="str">
        <f>IF($E29="","",VLOOKUP($E29,'F16 csapat ELO'!$A$7:$O$22,4))</f>
        <v/>
      </c>
      <c r="J29" s="166"/>
      <c r="K29" s="138"/>
      <c r="L29" s="138"/>
      <c r="M29" s="138"/>
      <c r="N29" s="164"/>
      <c r="O29" s="162"/>
      <c r="P29" s="164"/>
      <c r="Q29" s="143"/>
      <c r="R29" s="144"/>
      <c r="S29" s="145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</row>
    <row r="30" spans="1:41" s="34" customFormat="1" ht="12.9" customHeight="1" x14ac:dyDescent="0.25">
      <c r="A30" s="147"/>
      <c r="B30" s="285"/>
      <c r="C30" s="281"/>
      <c r="D30" s="281"/>
      <c r="E30" s="158"/>
      <c r="F30" s="138"/>
      <c r="G30" s="138"/>
      <c r="H30" s="66"/>
      <c r="I30" s="167"/>
      <c r="J30" s="159"/>
      <c r="K30" s="138"/>
      <c r="L30" s="138"/>
      <c r="M30" s="151" t="s">
        <v>0</v>
      </c>
      <c r="N30" s="160" t="s">
        <v>128</v>
      </c>
      <c r="O30" s="153" t="str">
        <f>UPPER(IF(OR(N30="a",N30="as"),M26,IF(OR(N30="b",N30="bs"),M34,)))</f>
        <v>VASAS SC</v>
      </c>
      <c r="P30" s="170"/>
      <c r="Q30" s="143"/>
      <c r="R30" s="144"/>
      <c r="S30" s="145"/>
      <c r="AI30" s="386"/>
      <c r="AJ30" s="386"/>
      <c r="AK30" s="386"/>
    </row>
    <row r="31" spans="1:41" s="34" customFormat="1" ht="12.9" customHeight="1" x14ac:dyDescent="0.25">
      <c r="A31" s="147">
        <v>13</v>
      </c>
      <c r="B31" s="243">
        <f>IF($E31="","",VLOOKUP($E31,'F16 csapat ELO'!$A$7:$O$22,14))</f>
        <v>0</v>
      </c>
      <c r="C31" s="272">
        <f>IF($E31="","",VLOOKUP($E31,'F16 csapat ELO'!$A$7:$O$22,15))</f>
        <v>305</v>
      </c>
      <c r="D31" s="272">
        <f>IF($E31="","",VLOOKUP($E31,'F16 csapat ELO'!$A$7:$O$22,5))</f>
        <v>0</v>
      </c>
      <c r="E31" s="136">
        <v>10</v>
      </c>
      <c r="F31" s="155" t="str">
        <f>UPPER(IF($E31="","",VLOOKUP($E31,'F16 csapat ELO'!$A$7:$O$22,2)))</f>
        <v>BUD. HONVÉD</v>
      </c>
      <c r="G31" s="155">
        <f>IF($E31="","",VLOOKUP($E31,'F16 csapat ELO'!$A$7:$O$22,3))</f>
        <v>0</v>
      </c>
      <c r="H31" s="155"/>
      <c r="I31" s="155">
        <f>IF($E31="","",VLOOKUP($E31,'F16 csapat ELO'!$A$7:$O$22,4))</f>
        <v>0</v>
      </c>
      <c r="J31" s="168"/>
      <c r="K31" s="138"/>
      <c r="L31" s="138"/>
      <c r="M31" s="138"/>
      <c r="N31" s="164"/>
      <c r="O31" s="138" t="s">
        <v>142</v>
      </c>
      <c r="P31" s="162"/>
      <c r="Q31" s="143"/>
      <c r="R31" s="144"/>
      <c r="S31" s="145"/>
      <c r="AI31" s="386"/>
      <c r="AJ31" s="386"/>
      <c r="AK31" s="386"/>
    </row>
    <row r="32" spans="1:41" s="34" customFormat="1" ht="12.9" customHeight="1" x14ac:dyDescent="0.25">
      <c r="A32" s="147"/>
      <c r="B32" s="285"/>
      <c r="C32" s="281"/>
      <c r="D32" s="281"/>
      <c r="E32" s="158"/>
      <c r="F32" s="149"/>
      <c r="G32" s="149"/>
      <c r="H32" s="150"/>
      <c r="I32" s="151" t="s">
        <v>0</v>
      </c>
      <c r="J32" s="152" t="s">
        <v>129</v>
      </c>
      <c r="K32" s="153" t="str">
        <f>UPPER(IF(OR(J32="a",J32="as"),F31,IF(OR(J32="b",J32="bs"),F33,)))</f>
        <v>BUD. HONVÉD</v>
      </c>
      <c r="L32" s="153"/>
      <c r="M32" s="138"/>
      <c r="N32" s="164"/>
      <c r="O32" s="162"/>
      <c r="P32" s="162"/>
      <c r="Q32" s="143"/>
      <c r="R32" s="144"/>
      <c r="S32" s="145"/>
      <c r="AI32" s="386"/>
      <c r="AJ32" s="386"/>
      <c r="AK32" s="386"/>
    </row>
    <row r="33" spans="1:37" s="34" customFormat="1" ht="12.9" customHeight="1" x14ac:dyDescent="0.25">
      <c r="A33" s="147">
        <v>14</v>
      </c>
      <c r="B33" s="243">
        <f>IF($E33="","",VLOOKUP($E33,'F16 csapat ELO'!$A$7:$O$22,14))</f>
        <v>0</v>
      </c>
      <c r="C33" s="272">
        <f>IF($E33="","",VLOOKUP($E33,'F16 csapat ELO'!$A$7:$O$22,15))</f>
        <v>190</v>
      </c>
      <c r="D33" s="272">
        <f>IF($E33="","",VLOOKUP($E33,'F16 csapat ELO'!$A$7:$O$22,5))</f>
        <v>0</v>
      </c>
      <c r="E33" s="136">
        <v>9</v>
      </c>
      <c r="F33" s="155" t="str">
        <f>UPPER(IF($E33="","",VLOOKUP($E33,'F16 csapat ELO'!$A$7:$O$22,2)))</f>
        <v>METRO RSC</v>
      </c>
      <c r="G33" s="155">
        <f>IF($E33="","",VLOOKUP($E33,'F16 csapat ELO'!$A$7:$O$22,3))</f>
        <v>0</v>
      </c>
      <c r="H33" s="155"/>
      <c r="I33" s="155">
        <f>IF($E33="","",VLOOKUP($E33,'F16 csapat ELO'!$A$7:$O$22,4))</f>
        <v>0</v>
      </c>
      <c r="J33" s="156"/>
      <c r="K33" s="162" t="s">
        <v>141</v>
      </c>
      <c r="L33" s="157"/>
      <c r="M33" s="138"/>
      <c r="N33" s="164"/>
      <c r="O33" s="162"/>
      <c r="P33" s="162"/>
      <c r="Q33" s="143"/>
      <c r="R33" s="144"/>
      <c r="S33" s="145"/>
      <c r="AI33" s="386"/>
      <c r="AJ33" s="386"/>
      <c r="AK33" s="386"/>
    </row>
    <row r="34" spans="1:37" s="34" customFormat="1" ht="12.9" customHeight="1" x14ac:dyDescent="0.25">
      <c r="A34" s="147"/>
      <c r="B34" s="285"/>
      <c r="C34" s="281"/>
      <c r="D34" s="281"/>
      <c r="E34" s="158"/>
      <c r="F34" s="149"/>
      <c r="G34" s="149"/>
      <c r="H34" s="150"/>
      <c r="I34" s="138"/>
      <c r="J34" s="159"/>
      <c r="K34" s="151" t="s">
        <v>0</v>
      </c>
      <c r="L34" s="160" t="s">
        <v>128</v>
      </c>
      <c r="M34" s="153" t="str">
        <f>UPPER(IF(OR(L34="a",L34="as"),K32,IF(OR(L34="b",L34="bs"),K36,)))</f>
        <v>VASAS SC</v>
      </c>
      <c r="N34" s="170"/>
      <c r="O34" s="162"/>
      <c r="P34" s="162"/>
      <c r="Q34" s="143"/>
      <c r="R34" s="144"/>
      <c r="S34" s="145"/>
      <c r="AI34" s="386"/>
      <c r="AJ34" s="386"/>
      <c r="AK34" s="386"/>
    </row>
    <row r="35" spans="1:37" s="34" customFormat="1" ht="12.9" customHeight="1" x14ac:dyDescent="0.25">
      <c r="A35" s="147">
        <v>15</v>
      </c>
      <c r="B35" s="243" t="str">
        <f>IF($E35="","",VLOOKUP($E35,'F16 csapat ELO'!$A$7:$O$22,14))</f>
        <v/>
      </c>
      <c r="C35" s="272" t="str">
        <f>IF($E35="","",VLOOKUP($E35,'F16 csapat ELO'!$A$7:$O$22,15))</f>
        <v/>
      </c>
      <c r="D35" s="272" t="str">
        <f>IF($E35="","",VLOOKUP($E35,'F16 csapat ELO'!$A$7:$O$22,5))</f>
        <v/>
      </c>
      <c r="E35" s="136"/>
      <c r="F35" s="155" t="str">
        <f>UPPER(IF($E35="","",VLOOKUP($E35,'F16 csapat ELO'!$A$7:$O$22,2)))</f>
        <v/>
      </c>
      <c r="G35" s="155" t="str">
        <f>IF($E35="","",VLOOKUP($E35,'F16 csapat ELO'!$A$7:$O$22,3))</f>
        <v/>
      </c>
      <c r="H35" s="155"/>
      <c r="I35" s="155" t="str">
        <f>IF($E35="","",VLOOKUP($E35,'F16 csapat ELO'!$A$7:$O$22,4))</f>
        <v/>
      </c>
      <c r="J35" s="139"/>
      <c r="K35" s="138"/>
      <c r="L35" s="163"/>
      <c r="M35" s="167" t="s">
        <v>140</v>
      </c>
      <c r="N35" s="162"/>
      <c r="O35" s="162"/>
      <c r="P35" s="162"/>
      <c r="Q35" s="143"/>
      <c r="R35" s="144"/>
      <c r="S35" s="145"/>
      <c r="AI35" s="386"/>
      <c r="AJ35" s="386"/>
      <c r="AK35" s="386"/>
    </row>
    <row r="36" spans="1:37" s="34" customFormat="1" ht="12.9" customHeight="1" x14ac:dyDescent="0.25">
      <c r="A36" s="147"/>
      <c r="B36" s="285"/>
      <c r="C36" s="281"/>
      <c r="D36" s="281"/>
      <c r="E36" s="148"/>
      <c r="F36" s="149"/>
      <c r="G36" s="149"/>
      <c r="H36" s="150"/>
      <c r="I36" s="151" t="s">
        <v>0</v>
      </c>
      <c r="J36" s="152" t="s">
        <v>128</v>
      </c>
      <c r="K36" s="153" t="str">
        <f>UPPER(IF(OR(J36="a",J36="as"),F35,IF(OR(J36="b",J36="bs"),F37,)))</f>
        <v>VASAS SC</v>
      </c>
      <c r="L36" s="165"/>
      <c r="M36" s="138"/>
      <c r="N36" s="162"/>
      <c r="O36" s="162"/>
      <c r="P36" s="162"/>
      <c r="Q36" s="143"/>
      <c r="R36" s="144"/>
      <c r="S36" s="145"/>
      <c r="AI36" s="386"/>
      <c r="AJ36" s="386"/>
      <c r="AK36" s="386"/>
    </row>
    <row r="37" spans="1:37" s="34" customFormat="1" ht="12.9" customHeight="1" x14ac:dyDescent="0.25">
      <c r="A37" s="135">
        <v>16</v>
      </c>
      <c r="B37" s="243">
        <f>IF($E37="","",VLOOKUP($E37,'F16 csapat ELO'!$A$7:$O$22,14))</f>
        <v>0</v>
      </c>
      <c r="C37" s="272">
        <f>IF($E37="","",VLOOKUP($E37,'F16 csapat ELO'!$A$7:$O$22,15))</f>
        <v>29</v>
      </c>
      <c r="D37" s="272">
        <f>IF($E37="","",VLOOKUP($E37,'F16 csapat ELO'!$A$7:$O$22,5))</f>
        <v>0</v>
      </c>
      <c r="E37" s="136">
        <v>2</v>
      </c>
      <c r="F37" s="137" t="str">
        <f>UPPER(IF($E37="","",VLOOKUP($E37,'F16 csapat ELO'!$A$7:$O$22,2)))</f>
        <v>VASAS SC</v>
      </c>
      <c r="G37" s="137">
        <f>IF($E37="","",VLOOKUP($E37,'F16 csapat ELO'!$A$7:$O$22,3))</f>
        <v>0</v>
      </c>
      <c r="H37" s="155"/>
      <c r="I37" s="137">
        <f>IF($E37="","",VLOOKUP($E37,'F16 csapat ELO'!$A$7:$O$22,4))</f>
        <v>0</v>
      </c>
      <c r="J37" s="166"/>
      <c r="K37" s="138"/>
      <c r="L37" s="138"/>
      <c r="M37" s="138"/>
      <c r="N37" s="162"/>
      <c r="O37" s="162"/>
      <c r="P37" s="162"/>
      <c r="Q37" s="143"/>
      <c r="R37" s="144"/>
      <c r="S37" s="145"/>
      <c r="AI37" s="386"/>
      <c r="AJ37" s="386"/>
      <c r="AK37" s="386"/>
    </row>
    <row r="38" spans="1:37" s="34" customFormat="1" ht="9.6" customHeight="1" x14ac:dyDescent="0.25">
      <c r="A38" s="173"/>
      <c r="B38" s="148"/>
      <c r="C38" s="148"/>
      <c r="D38" s="148"/>
      <c r="E38" s="148"/>
      <c r="F38" s="167"/>
      <c r="G38" s="167"/>
      <c r="H38" s="171"/>
      <c r="I38" s="138"/>
      <c r="J38" s="159"/>
      <c r="K38" s="138"/>
      <c r="L38" s="138"/>
      <c r="M38" s="138"/>
      <c r="N38" s="162"/>
      <c r="O38" s="162"/>
      <c r="P38" s="162"/>
      <c r="Q38" s="143"/>
      <c r="R38" s="144"/>
      <c r="S38" s="145"/>
      <c r="AI38" s="386"/>
      <c r="AJ38" s="386"/>
      <c r="AK38" s="386"/>
    </row>
    <row r="39" spans="1:37" s="34" customFormat="1" ht="9.6" customHeight="1" x14ac:dyDescent="0.25">
      <c r="A39" s="174"/>
      <c r="B39" s="140"/>
      <c r="C39" s="140"/>
      <c r="D39" s="140"/>
      <c r="E39" s="148"/>
      <c r="F39" s="140"/>
      <c r="G39" s="140"/>
      <c r="H39" s="140"/>
      <c r="I39" s="140"/>
      <c r="J39" s="148"/>
      <c r="K39" s="140"/>
      <c r="L39" s="140"/>
      <c r="M39" s="140"/>
      <c r="N39" s="175"/>
      <c r="O39" s="175"/>
      <c r="P39" s="175"/>
      <c r="Q39" s="143"/>
      <c r="R39" s="144"/>
      <c r="S39" s="145"/>
      <c r="AI39" s="386"/>
      <c r="AJ39" s="386"/>
      <c r="AK39" s="386"/>
    </row>
    <row r="40" spans="1:37" s="34" customFormat="1" ht="9.6" customHeight="1" x14ac:dyDescent="0.25">
      <c r="A40" s="173"/>
      <c r="B40" s="148"/>
      <c r="C40" s="148"/>
      <c r="D40" s="148"/>
      <c r="E40" s="148"/>
      <c r="F40" s="140"/>
      <c r="G40" s="140"/>
      <c r="I40" s="140"/>
      <c r="J40" s="148"/>
      <c r="K40" s="140"/>
      <c r="L40" s="140"/>
      <c r="M40" s="176"/>
      <c r="N40" s="148"/>
      <c r="O40" s="140"/>
      <c r="P40" s="175"/>
      <c r="Q40" s="143"/>
      <c r="R40" s="144"/>
      <c r="S40" s="145"/>
      <c r="AI40" s="386"/>
      <c r="AJ40" s="386"/>
      <c r="AK40" s="386"/>
    </row>
    <row r="41" spans="1:37" s="34" customFormat="1" ht="9.6" customHeight="1" x14ac:dyDescent="0.25">
      <c r="A41" s="173"/>
      <c r="B41" s="140"/>
      <c r="C41" s="140"/>
      <c r="D41" s="140"/>
      <c r="E41" s="148"/>
      <c r="F41" s="140"/>
      <c r="G41" s="140"/>
      <c r="H41" s="140"/>
      <c r="I41" s="140"/>
      <c r="J41" s="148"/>
      <c r="K41" s="140"/>
      <c r="L41" s="140"/>
      <c r="M41" s="140"/>
      <c r="N41" s="175"/>
      <c r="O41" s="140"/>
      <c r="P41" s="175"/>
      <c r="Q41" s="143"/>
      <c r="R41" s="144"/>
      <c r="S41" s="145"/>
      <c r="AI41" s="386"/>
      <c r="AJ41" s="386"/>
      <c r="AK41" s="386"/>
    </row>
    <row r="42" spans="1:37" s="34" customFormat="1" ht="9.6" customHeight="1" x14ac:dyDescent="0.25">
      <c r="A42" s="173"/>
      <c r="B42" s="148"/>
      <c r="C42" s="148"/>
      <c r="D42" s="148"/>
      <c r="E42" s="148"/>
      <c r="F42" s="140"/>
      <c r="G42" s="140"/>
      <c r="I42" s="176"/>
      <c r="J42" s="148"/>
      <c r="K42" s="140"/>
      <c r="L42" s="140"/>
      <c r="M42" s="140"/>
      <c r="N42" s="175"/>
      <c r="O42" s="175"/>
      <c r="P42" s="175"/>
      <c r="Q42" s="143"/>
      <c r="R42" s="144"/>
      <c r="S42" s="145"/>
      <c r="AI42" s="386"/>
      <c r="AJ42" s="386"/>
      <c r="AK42" s="386"/>
    </row>
    <row r="43" spans="1:37" s="34" customFormat="1" ht="9.6" customHeight="1" x14ac:dyDescent="0.25">
      <c r="A43" s="173"/>
      <c r="B43" s="140"/>
      <c r="C43" s="140"/>
      <c r="D43" s="140"/>
      <c r="E43" s="148"/>
      <c r="F43" s="140"/>
      <c r="G43" s="140"/>
      <c r="H43" s="140"/>
      <c r="I43" s="140"/>
      <c r="J43" s="148"/>
      <c r="K43" s="140"/>
      <c r="L43" s="177"/>
      <c r="M43" s="140"/>
      <c r="N43" s="175"/>
      <c r="O43" s="175"/>
      <c r="P43" s="175"/>
      <c r="Q43" s="143"/>
      <c r="R43" s="144"/>
      <c r="S43" s="145"/>
      <c r="AI43" s="386"/>
      <c r="AJ43" s="386"/>
      <c r="AK43" s="386"/>
    </row>
    <row r="44" spans="1:37" s="34" customFormat="1" ht="9.6" customHeight="1" x14ac:dyDescent="0.25">
      <c r="A44" s="173"/>
      <c r="B44" s="148"/>
      <c r="C44" s="148"/>
      <c r="D44" s="148"/>
      <c r="E44" s="148"/>
      <c r="F44" s="140"/>
      <c r="G44" s="140"/>
      <c r="I44" s="140"/>
      <c r="J44" s="148"/>
      <c r="K44" s="176"/>
      <c r="L44" s="148"/>
      <c r="M44" s="140"/>
      <c r="N44" s="175"/>
      <c r="O44" s="175"/>
      <c r="P44" s="175"/>
      <c r="Q44" s="143"/>
      <c r="R44" s="144"/>
      <c r="S44" s="145"/>
      <c r="AI44" s="386"/>
      <c r="AJ44" s="386"/>
      <c r="AK44" s="386"/>
    </row>
    <row r="45" spans="1:37" s="34" customFormat="1" ht="9.6" customHeight="1" x14ac:dyDescent="0.25">
      <c r="A45" s="173"/>
      <c r="B45" s="140"/>
      <c r="C45" s="140"/>
      <c r="D45" s="140"/>
      <c r="E45" s="148"/>
      <c r="F45" s="140"/>
      <c r="G45" s="140"/>
      <c r="H45" s="140"/>
      <c r="I45" s="140"/>
      <c r="J45" s="148"/>
      <c r="K45" s="140"/>
      <c r="L45" s="140"/>
      <c r="M45" s="140"/>
      <c r="N45" s="175"/>
      <c r="O45" s="175"/>
      <c r="P45" s="175"/>
      <c r="Q45" s="143"/>
      <c r="R45" s="144"/>
      <c r="S45" s="145"/>
      <c r="AI45" s="386"/>
      <c r="AJ45" s="386"/>
      <c r="AK45" s="386"/>
    </row>
    <row r="46" spans="1:37" s="34" customFormat="1" ht="9.6" customHeight="1" x14ac:dyDescent="0.25">
      <c r="A46" s="173"/>
      <c r="B46" s="148"/>
      <c r="C46" s="148"/>
      <c r="D46" s="148"/>
      <c r="E46" s="148"/>
      <c r="F46" s="140"/>
      <c r="G46" s="140"/>
      <c r="I46" s="176"/>
      <c r="J46" s="148"/>
      <c r="K46" s="140"/>
      <c r="L46" s="140"/>
      <c r="M46" s="140"/>
      <c r="N46" s="175"/>
      <c r="O46" s="175"/>
      <c r="P46" s="175"/>
      <c r="Q46" s="143"/>
      <c r="R46" s="144"/>
      <c r="S46" s="145"/>
      <c r="AI46" s="386"/>
      <c r="AJ46" s="386"/>
      <c r="AK46" s="386"/>
    </row>
    <row r="47" spans="1:37" s="34" customFormat="1" ht="9.6" customHeight="1" x14ac:dyDescent="0.25">
      <c r="A47" s="174"/>
      <c r="B47" s="140"/>
      <c r="C47" s="140"/>
      <c r="D47" s="140"/>
      <c r="E47" s="148"/>
      <c r="F47" s="140"/>
      <c r="G47" s="140"/>
      <c r="H47" s="140"/>
      <c r="I47" s="140"/>
      <c r="J47" s="148"/>
      <c r="K47" s="140"/>
      <c r="L47" s="140"/>
      <c r="M47" s="140"/>
      <c r="N47" s="140"/>
      <c r="O47" s="141"/>
      <c r="P47" s="141"/>
      <c r="Q47" s="143"/>
      <c r="R47" s="144"/>
      <c r="S47" s="145"/>
      <c r="AI47" s="386"/>
      <c r="AJ47" s="386"/>
      <c r="AK47" s="386"/>
    </row>
    <row r="48" spans="1:37" s="2" customFormat="1" ht="6.75" customHeight="1" x14ac:dyDescent="0.25">
      <c r="A48" s="179"/>
      <c r="B48" s="179"/>
      <c r="C48" s="179"/>
      <c r="D48" s="179"/>
      <c r="E48" s="179"/>
      <c r="F48" s="180"/>
      <c r="G48" s="180"/>
      <c r="H48" s="180"/>
      <c r="I48" s="180"/>
      <c r="J48" s="181"/>
      <c r="K48" s="182"/>
      <c r="L48" s="183"/>
      <c r="M48" s="182"/>
      <c r="N48" s="183"/>
      <c r="O48" s="182"/>
      <c r="P48" s="183"/>
      <c r="Q48" s="182"/>
      <c r="R48" s="183"/>
      <c r="S48" s="184"/>
      <c r="AI48" s="387"/>
      <c r="AJ48" s="387"/>
      <c r="AK48" s="387"/>
    </row>
    <row r="49" spans="1:37" s="18" customFormat="1" ht="10.5" customHeight="1" x14ac:dyDescent="0.25">
      <c r="A49" s="185" t="s">
        <v>44</v>
      </c>
      <c r="B49" s="186"/>
      <c r="C49" s="186"/>
      <c r="D49" s="276"/>
      <c r="E49" s="187" t="s">
        <v>5</v>
      </c>
      <c r="F49" s="188" t="s">
        <v>46</v>
      </c>
      <c r="G49" s="187"/>
      <c r="H49" s="189"/>
      <c r="I49" s="190"/>
      <c r="J49" s="187" t="s">
        <v>5</v>
      </c>
      <c r="K49" s="188" t="s">
        <v>54</v>
      </c>
      <c r="L49" s="191"/>
      <c r="M49" s="188" t="s">
        <v>55</v>
      </c>
      <c r="N49" s="192"/>
      <c r="O49" s="193" t="s">
        <v>56</v>
      </c>
      <c r="P49" s="193"/>
      <c r="Q49" s="194"/>
      <c r="R49" s="195"/>
      <c r="AI49" s="388"/>
      <c r="AJ49" s="388"/>
      <c r="AK49" s="388"/>
    </row>
    <row r="50" spans="1:37" s="18" customFormat="1" ht="9" customHeight="1" x14ac:dyDescent="0.25">
      <c r="A50" s="277" t="s">
        <v>45</v>
      </c>
      <c r="B50" s="278"/>
      <c r="C50" s="279"/>
      <c r="D50" s="280"/>
      <c r="E50" s="197">
        <v>1</v>
      </c>
      <c r="F50" s="87" t="str">
        <f>IF(E50&gt;$R$57,,UPPER(VLOOKUP(E50,'F16 csapat ELO'!$A$7:$Q$134,2)))</f>
        <v>SUPER EXTRA TENNIS</v>
      </c>
      <c r="G50" s="198"/>
      <c r="H50" s="87"/>
      <c r="I50" s="86"/>
      <c r="J50" s="199" t="s">
        <v>6</v>
      </c>
      <c r="K50" s="196"/>
      <c r="L50" s="200"/>
      <c r="M50" s="196"/>
      <c r="N50" s="201"/>
      <c r="O50" s="202" t="s">
        <v>47</v>
      </c>
      <c r="P50" s="203"/>
      <c r="Q50" s="203"/>
      <c r="R50" s="204"/>
      <c r="AI50" s="388"/>
      <c r="AJ50" s="388"/>
      <c r="AK50" s="388"/>
    </row>
    <row r="51" spans="1:37" s="18" customFormat="1" ht="9" customHeight="1" x14ac:dyDescent="0.25">
      <c r="A51" s="209" t="s">
        <v>53</v>
      </c>
      <c r="B51" s="207"/>
      <c r="C51" s="273"/>
      <c r="D51" s="210"/>
      <c r="E51" s="197">
        <v>2</v>
      </c>
      <c r="F51" s="87" t="str">
        <f>IF(E51&gt;$R$57,,UPPER(VLOOKUP(E51,'F16 csapat ELO'!$A$7:$Q$134,2)))</f>
        <v>VASAS SC</v>
      </c>
      <c r="G51" s="198"/>
      <c r="H51" s="87"/>
      <c r="I51" s="86"/>
      <c r="J51" s="199" t="s">
        <v>7</v>
      </c>
      <c r="K51" s="196"/>
      <c r="L51" s="200"/>
      <c r="M51" s="196"/>
      <c r="N51" s="201"/>
      <c r="O51" s="205"/>
      <c r="P51" s="206"/>
      <c r="Q51" s="207"/>
      <c r="R51" s="208"/>
      <c r="AI51" s="388"/>
      <c r="AJ51" s="388"/>
      <c r="AK51" s="388"/>
    </row>
    <row r="52" spans="1:37" s="18" customFormat="1" ht="9" customHeight="1" x14ac:dyDescent="0.25">
      <c r="A52" s="236"/>
      <c r="B52" s="237"/>
      <c r="C52" s="274"/>
      <c r="D52" s="238"/>
      <c r="E52" s="197">
        <v>3</v>
      </c>
      <c r="F52" s="87" t="str">
        <f>IF(E52&gt;$R$57,,UPPER(VLOOKUP(E52,'F16 csapat ELO'!$A$7:$Q$134,2)))</f>
        <v>PASARÉT TK 1</v>
      </c>
      <c r="G52" s="198"/>
      <c r="H52" s="87"/>
      <c r="I52" s="86"/>
      <c r="J52" s="199" t="s">
        <v>8</v>
      </c>
      <c r="K52" s="196"/>
      <c r="L52" s="200"/>
      <c r="M52" s="196"/>
      <c r="N52" s="201"/>
      <c r="O52" s="202" t="s">
        <v>48</v>
      </c>
      <c r="P52" s="203"/>
      <c r="Q52" s="203"/>
      <c r="R52" s="204"/>
      <c r="AI52" s="388"/>
      <c r="AJ52" s="388"/>
      <c r="AK52" s="388"/>
    </row>
    <row r="53" spans="1:37" s="18" customFormat="1" ht="9" customHeight="1" x14ac:dyDescent="0.25">
      <c r="A53" s="211"/>
      <c r="B53" s="269"/>
      <c r="C53" s="269"/>
      <c r="D53" s="212"/>
      <c r="E53" s="197">
        <v>4</v>
      </c>
      <c r="F53" s="87" t="str">
        <f>IF(E53&gt;$R$57,,UPPER(VLOOKUP(E53,'F16 csapat ELO'!$A$7:$Q$134,2)))</f>
        <v>TENISZ MŰHELY</v>
      </c>
      <c r="G53" s="198"/>
      <c r="H53" s="87"/>
      <c r="I53" s="86"/>
      <c r="J53" s="199" t="s">
        <v>9</v>
      </c>
      <c r="K53" s="196"/>
      <c r="L53" s="200"/>
      <c r="M53" s="196"/>
      <c r="N53" s="201"/>
      <c r="O53" s="196"/>
      <c r="P53" s="200"/>
      <c r="Q53" s="196"/>
      <c r="R53" s="201"/>
      <c r="AI53" s="388"/>
      <c r="AJ53" s="388"/>
      <c r="AK53" s="388"/>
    </row>
    <row r="54" spans="1:37" s="18" customFormat="1" ht="9" customHeight="1" x14ac:dyDescent="0.25">
      <c r="A54" s="224"/>
      <c r="B54" s="239"/>
      <c r="C54" s="239"/>
      <c r="D54" s="275"/>
      <c r="E54" s="197"/>
      <c r="F54" s="87"/>
      <c r="G54" s="198"/>
      <c r="H54" s="87"/>
      <c r="I54" s="86"/>
      <c r="J54" s="199" t="s">
        <v>10</v>
      </c>
      <c r="K54" s="196"/>
      <c r="L54" s="200"/>
      <c r="M54" s="196"/>
      <c r="N54" s="201"/>
      <c r="O54" s="207"/>
      <c r="P54" s="206"/>
      <c r="Q54" s="207"/>
      <c r="R54" s="208"/>
      <c r="AI54" s="388"/>
      <c r="AJ54" s="388"/>
      <c r="AK54" s="388"/>
    </row>
    <row r="55" spans="1:37" s="18" customFormat="1" ht="9" customHeight="1" x14ac:dyDescent="0.25">
      <c r="A55" s="225"/>
      <c r="B55" s="242"/>
      <c r="C55" s="269"/>
      <c r="D55" s="212"/>
      <c r="E55" s="197"/>
      <c r="F55" s="87"/>
      <c r="G55" s="198"/>
      <c r="H55" s="87"/>
      <c r="I55" s="86"/>
      <c r="J55" s="199" t="s">
        <v>11</v>
      </c>
      <c r="K55" s="196"/>
      <c r="L55" s="200"/>
      <c r="M55" s="196"/>
      <c r="N55" s="201"/>
      <c r="O55" s="202" t="s">
        <v>34</v>
      </c>
      <c r="P55" s="203"/>
      <c r="Q55" s="203"/>
      <c r="R55" s="204"/>
      <c r="AI55" s="388"/>
      <c r="AJ55" s="388"/>
      <c r="AK55" s="388"/>
    </row>
    <row r="56" spans="1:37" s="18" customFormat="1" ht="9" customHeight="1" x14ac:dyDescent="0.25">
      <c r="A56" s="225"/>
      <c r="B56" s="242"/>
      <c r="C56" s="270"/>
      <c r="D56" s="234"/>
      <c r="E56" s="197"/>
      <c r="F56" s="87"/>
      <c r="G56" s="198"/>
      <c r="H56" s="87"/>
      <c r="I56" s="86"/>
      <c r="J56" s="199" t="s">
        <v>12</v>
      </c>
      <c r="K56" s="196"/>
      <c r="L56" s="200"/>
      <c r="M56" s="196"/>
      <c r="N56" s="201"/>
      <c r="O56" s="196"/>
      <c r="P56" s="200"/>
      <c r="Q56" s="196"/>
      <c r="R56" s="201"/>
      <c r="AI56" s="388"/>
      <c r="AJ56" s="388"/>
      <c r="AK56" s="388"/>
    </row>
    <row r="57" spans="1:37" s="18" customFormat="1" ht="9" customHeight="1" x14ac:dyDescent="0.25">
      <c r="A57" s="226"/>
      <c r="B57" s="223"/>
      <c r="C57" s="271"/>
      <c r="D57" s="235"/>
      <c r="E57" s="213"/>
      <c r="F57" s="214"/>
      <c r="G57" s="215"/>
      <c r="H57" s="214"/>
      <c r="I57" s="216"/>
      <c r="J57" s="217" t="s">
        <v>13</v>
      </c>
      <c r="K57" s="207"/>
      <c r="L57" s="206"/>
      <c r="M57" s="207"/>
      <c r="N57" s="208"/>
      <c r="O57" s="207" t="str">
        <f>R4</f>
        <v>Rákóczi Andrea</v>
      </c>
      <c r="P57" s="206"/>
      <c r="Q57" s="207"/>
      <c r="R57" s="218">
        <f>MIN(4,'F16 csapat ELO'!Q5)</f>
        <v>4</v>
      </c>
      <c r="AI57" s="388"/>
      <c r="AJ57" s="388"/>
      <c r="AK57" s="388"/>
    </row>
  </sheetData>
  <mergeCells count="1">
    <mergeCell ref="A4:C4"/>
  </mergeCells>
  <conditionalFormatting sqref="G45:I45 G39:I39 H23 H25 H27 H29 H31 H33 H35 H37 G47:I47 G41:I41 G43:I43 H7 H9 H11 H13 H15 H17 H19 H21">
    <cfRule type="expression" dxfId="45" priority="14" stopIfTrue="1">
      <formula>AND($E7&lt;9,$C7&gt;0)</formula>
    </cfRule>
  </conditionalFormatting>
  <conditionalFormatting sqref="I32 I46 I36 K44 I42 K10 M14 K18 K26 K34 M30 M40 O22 I8 I12 I16 I20 I24 I28">
    <cfRule type="expression" dxfId="44" priority="11" stopIfTrue="1">
      <formula>AND($O$1="CU",I8="Umpire")</formula>
    </cfRule>
    <cfRule type="expression" dxfId="43" priority="12" stopIfTrue="1">
      <formula>AND($O$1="CU",I8&lt;&gt;"Umpire",J8&lt;&gt;"")</formula>
    </cfRule>
    <cfRule type="expression" dxfId="42" priority="13" stopIfTrue="1">
      <formula>AND($O$1="CU",I8&lt;&gt;"Umpire")</formula>
    </cfRule>
  </conditionalFormatting>
  <conditionalFormatting sqref="E39 E47 E45 E43 E41">
    <cfRule type="expression" dxfId="41" priority="10" stopIfTrue="1">
      <formula>AND($E39&lt;9,$C39&gt;0)</formula>
    </cfRule>
  </conditionalFormatting>
  <conditionalFormatting sqref="F41 F43 F45 F47 F39">
    <cfRule type="cellIs" dxfId="40" priority="8" stopIfTrue="1" operator="equal">
      <formula>"Bye"</formula>
    </cfRule>
    <cfRule type="expression" dxfId="39" priority="9" stopIfTrue="1">
      <formula>AND($E39&lt;9,$C39&gt;0)</formula>
    </cfRule>
  </conditionalFormatting>
  <conditionalFormatting sqref="M10 M18 M26 M34 O30 O40 M44 O14 Q22 K8 K12 K16 K20 K24 K28 K32 K36 K42 K46">
    <cfRule type="expression" dxfId="38" priority="6" stopIfTrue="1">
      <formula>J8="as"</formula>
    </cfRule>
    <cfRule type="expression" dxfId="37" priority="7" stopIfTrue="1">
      <formula>J8="bs"</formula>
    </cfRule>
  </conditionalFormatting>
  <conditionalFormatting sqref="B41 B43 B45 B47 B39">
    <cfRule type="cellIs" dxfId="36" priority="4" stopIfTrue="1" operator="equal">
      <formula>"QA"</formula>
    </cfRule>
    <cfRule type="cellIs" dxfId="35" priority="5" stopIfTrue="1" operator="equal">
      <formula>"DA"</formula>
    </cfRule>
  </conditionalFormatting>
  <conditionalFormatting sqref="R57 J8 J12 J16 J20 J24 J28 J32 J36 N30 N14 L10 L34 L18 L26 P22">
    <cfRule type="expression" dxfId="34" priority="3" stopIfTrue="1">
      <formula>$O$1="CU"</formula>
    </cfRule>
  </conditionalFormatting>
  <conditionalFormatting sqref="E9 E7 E11 E13 E15 E17 E19 E21 E23 E25 E27 E29 E31 E33 E35 E37">
    <cfRule type="expression" dxfId="33" priority="2" stopIfTrue="1">
      <formula>$E7&lt;5</formula>
    </cfRule>
  </conditionalFormatting>
  <conditionalFormatting sqref="F35 F37 F25 F33 F31 F29 F27 F23 F19 F21 F9 F17 F15 F13 F11 F7">
    <cfRule type="cellIs" dxfId="32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 xr:uid="{3CA7FA68-095E-400B-B8E0-88CC9B8696F6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01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1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14</vt:i4>
      </vt:variant>
    </vt:vector>
  </HeadingPairs>
  <TitlesOfParts>
    <vt:vector size="25" baseType="lpstr">
      <vt:lpstr>Altalanos</vt:lpstr>
      <vt:lpstr>Birók</vt:lpstr>
      <vt:lpstr>F12 csapat ELO</vt:lpstr>
      <vt:lpstr>F12 csapat</vt:lpstr>
      <vt:lpstr>F12csapat vigasz</vt:lpstr>
      <vt:lpstr>F14 csapat ELO</vt:lpstr>
      <vt:lpstr>F14 csapat</vt:lpstr>
      <vt:lpstr>F16 csapat ELO</vt:lpstr>
      <vt:lpstr>F16 csapat</vt:lpstr>
      <vt:lpstr>F18 csapat ELO</vt:lpstr>
      <vt:lpstr>Fiú 18 csapat</vt:lpstr>
      <vt:lpstr>'F12 csapat ELO'!Nyomtatási_cím</vt:lpstr>
      <vt:lpstr>'F14 csapat ELO'!Nyomtatási_cím</vt:lpstr>
      <vt:lpstr>'F16 csapat ELO'!Nyomtatási_cím</vt:lpstr>
      <vt:lpstr>'F18 csapat ELO'!Nyomtatási_cím</vt:lpstr>
      <vt:lpstr>Birók!Nyomtatási_terület</vt:lpstr>
      <vt:lpstr>'F12 csapat'!Nyomtatási_terület</vt:lpstr>
      <vt:lpstr>'F12 csapat ELO'!Nyomtatási_terület</vt:lpstr>
      <vt:lpstr>'F12csapat vigasz'!Nyomtatási_terület</vt:lpstr>
      <vt:lpstr>'F14 csapat'!Nyomtatási_terület</vt:lpstr>
      <vt:lpstr>'F14 csapat ELO'!Nyomtatási_terület</vt:lpstr>
      <vt:lpstr>'F16 csapat'!Nyomtatási_terület</vt:lpstr>
      <vt:lpstr>'F16 csapat ELO'!Nyomtatási_terület</vt:lpstr>
      <vt:lpstr>'F18 csapat ELO'!Nyomtatási_terület</vt:lpstr>
      <vt:lpstr>'Fiú 18 csapat'!Nyomtatási_terület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2025-06-17T14:24:11Z</cp:lastPrinted>
  <dcterms:created xsi:type="dcterms:W3CDTF">1998-01-18T23:10:02Z</dcterms:created>
  <dcterms:modified xsi:type="dcterms:W3CDTF">2025-06-26T06:55:25Z</dcterms:modified>
  <cp:category>Forms</cp:category>
</cp:coreProperties>
</file>