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ctrlProps/ctrlProp6.xml" ContentType="application/vnd.ms-excel.controlproperties+xml"/>
  <Override PartName="/xl/comments4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7.xml" ContentType="application/vnd.ms-excel.controlproperties+xml"/>
  <Override PartName="/xl/comments5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ndi\Desktop\"/>
    </mc:Choice>
  </mc:AlternateContent>
  <bookViews>
    <workbookView xWindow="0" yWindow="0" windowWidth="23040" windowHeight="9072" tabRatio="884"/>
  </bookViews>
  <sheets>
    <sheet name="Altalanos" sheetId="1" r:id="rId1"/>
    <sheet name="Birók" sheetId="2" r:id="rId2"/>
    <sheet name="Lány 2 kcs. A ELO" sheetId="9" r:id="rId3"/>
    <sheet name="Lány 2 kcs. A 1 csop." sheetId="88" r:id="rId4"/>
    <sheet name="Lány 2 kcs. A 2-3 csop." sheetId="197" r:id="rId5"/>
    <sheet name="Lány 2 kcs. A döntő" sheetId="89" r:id="rId6"/>
    <sheet name="Lány 2 kcs. B ELO" sheetId="231" r:id="rId7"/>
    <sheet name="Lány 2 kcs. B 1. csop." sheetId="232" r:id="rId8"/>
    <sheet name="Lány 2 kcs. 2-3 csop." sheetId="338" r:id="rId9"/>
    <sheet name="Lány 2 kcs. B 4-5 csop." sheetId="235" r:id="rId10"/>
    <sheet name="Lány 2 kcs. B 6-7 csop." sheetId="236" r:id="rId11"/>
    <sheet name="Lány 2 kcs. B DÖNTŐ" sheetId="238" r:id="rId12"/>
    <sheet name="Fiú 2 kcs. A ELO" sheetId="279" r:id="rId13"/>
    <sheet name="Fiú 2 kcs. A 1 csop." sheetId="281" r:id="rId14"/>
    <sheet name="Fiú 2 kcs. A 2-3 csop." sheetId="283" r:id="rId15"/>
    <sheet name="Fiú 2 kcs. A DÖNTŐ" sheetId="280" r:id="rId16"/>
    <sheet name="Fiú 2 kcs. B. ELO" sheetId="303" r:id="rId17"/>
    <sheet name="Fiú 2 kcs. B 1 csop." sheetId="304" r:id="rId18"/>
    <sheet name="Fiú 2 kcs. B 2 csop." sheetId="305" r:id="rId19"/>
    <sheet name="Fiú 2 kcs. B. 3-4 csop." sheetId="340" r:id="rId20"/>
    <sheet name="Fiú 2 kcs. B 5-6 csop." sheetId="307" r:id="rId21"/>
    <sheet name="Fiú 2 kcs. B 7-8 csop." sheetId="308" r:id="rId22"/>
    <sheet name="Fiú 2 kcs B DÖNTŐ" sheetId="310" r:id="rId2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2">'Fiú 2 kcs. A ELO'!$1:$6</definedName>
    <definedName name="_xlnm.Print_Titles" localSheetId="16">'Fiú 2 kcs. B. ELO'!$1:$6</definedName>
    <definedName name="_xlnm.Print_Titles" localSheetId="2">'Lány 2 kcs. A ELO'!$1:$6</definedName>
    <definedName name="_xlnm.Print_Titles" localSheetId="6">'Lány 2 kcs. B ELO'!$1:$6</definedName>
    <definedName name="_xlnm.Print_Area" localSheetId="1">Birók!$A$1:$N$29</definedName>
    <definedName name="_xlnm.Print_Area" localSheetId="22">'Fiú 2 kcs B DÖNTŐ'!$A$1:$R$62</definedName>
    <definedName name="_xlnm.Print_Area" localSheetId="13">'Fiú 2 kcs. A 1 csop.'!$A$1:$M$41</definedName>
    <definedName name="_xlnm.Print_Area" localSheetId="14">'Fiú 2 kcs. A 2-3 csop.'!$A$1:$M$47</definedName>
    <definedName name="_xlnm.Print_Area" localSheetId="15">'Fiú 2 kcs. A DÖNTŐ'!$A$1:$M$41</definedName>
    <definedName name="_xlnm.Print_Area" localSheetId="12">'Fiú 2 kcs. A ELO'!$A$1:$Q$134</definedName>
    <definedName name="_xlnm.Print_Area" localSheetId="17">'Fiú 2 kcs. B 1 csop.'!$A$1:$M$41</definedName>
    <definedName name="_xlnm.Print_Area" localSheetId="18">'Fiú 2 kcs. B 2 csop.'!$A$1:$M$41</definedName>
    <definedName name="_xlnm.Print_Area" localSheetId="20">'Fiú 2 kcs. B 5-6 csop.'!$A$1:$M$47</definedName>
    <definedName name="_xlnm.Print_Area" localSheetId="21">'Fiú 2 kcs. B 7-8 csop.'!$A$1:$M$49</definedName>
    <definedName name="_xlnm.Print_Area" localSheetId="16">'Fiú 2 kcs. B. ELO'!$A$1:$Q$134</definedName>
    <definedName name="_xlnm.Print_Area" localSheetId="3">'Lány 2 kcs. A 1 csop.'!$A$1:$M$41</definedName>
    <definedName name="_xlnm.Print_Area" localSheetId="4">'Lány 2 kcs. A 2-3 csop.'!$A$1:$M$52</definedName>
    <definedName name="_xlnm.Print_Area" localSheetId="5">'Lány 2 kcs. A döntő'!$A$1:$M$41</definedName>
    <definedName name="_xlnm.Print_Area" localSheetId="2">'Lány 2 kcs. A ELO'!$A$1:$Q$134</definedName>
    <definedName name="_xlnm.Print_Area" localSheetId="7">'Lány 2 kcs. B 1. csop.'!$A$1:$M$41</definedName>
    <definedName name="_xlnm.Print_Area" localSheetId="9">'Lány 2 kcs. B 4-5 csop.'!$A$1:$M$47</definedName>
    <definedName name="_xlnm.Print_Area" localSheetId="10">'Lány 2 kcs. B 6-7 csop.'!$A$1:$M$49</definedName>
    <definedName name="_xlnm.Print_Area" localSheetId="11">'Lány 2 kcs. B DÖNTŐ'!$A$1:$R$62</definedName>
    <definedName name="_xlnm.Print_Area" localSheetId="6">'Lány 2 kcs. B ELO'!$A$1:$Q$134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40" l="1"/>
  <c r="R47" i="340"/>
  <c r="E41" i="340"/>
  <c r="F36" i="340"/>
  <c r="C36" i="340"/>
  <c r="F34" i="340"/>
  <c r="C34" i="340"/>
  <c r="F32" i="340"/>
  <c r="C32" i="340"/>
  <c r="L17" i="340"/>
  <c r="H27" i="340"/>
  <c r="D17" i="340"/>
  <c r="C17" i="340"/>
  <c r="L15" i="340"/>
  <c r="F27" i="340"/>
  <c r="D15" i="340"/>
  <c r="C15" i="340"/>
  <c r="L13" i="340"/>
  <c r="D27" i="340"/>
  <c r="D13" i="340"/>
  <c r="C13" i="340"/>
  <c r="L11" i="340"/>
  <c r="D11" i="340"/>
  <c r="C11" i="340"/>
  <c r="L9" i="340"/>
  <c r="B24" i="340"/>
  <c r="D9" i="340"/>
  <c r="C9" i="340"/>
  <c r="L7" i="340"/>
  <c r="D22" i="340"/>
  <c r="D7" i="340"/>
  <c r="C7" i="340"/>
  <c r="Y5" i="340"/>
  <c r="L4" i="340"/>
  <c r="K47" i="340"/>
  <c r="E4" i="340"/>
  <c r="A4" i="340"/>
  <c r="Y3" i="340"/>
  <c r="E2" i="340"/>
  <c r="AG1" i="340"/>
  <c r="A1" i="340"/>
  <c r="R47" i="338"/>
  <c r="E41" i="338"/>
  <c r="F36" i="338"/>
  <c r="C36" i="338"/>
  <c r="F34" i="338"/>
  <c r="C34" i="338"/>
  <c r="F32" i="338"/>
  <c r="C32" i="338"/>
  <c r="B25" i="338"/>
  <c r="L17" i="338"/>
  <c r="H27" i="338"/>
  <c r="D17" i="338"/>
  <c r="C17" i="338"/>
  <c r="L15" i="338"/>
  <c r="I15" i="338"/>
  <c r="B29" i="338"/>
  <c r="D15" i="338"/>
  <c r="C15" i="338"/>
  <c r="L13" i="338"/>
  <c r="D27" i="338"/>
  <c r="D13" i="338"/>
  <c r="C13" i="338"/>
  <c r="L11" i="338"/>
  <c r="H22" i="338"/>
  <c r="D11" i="338"/>
  <c r="C11" i="338"/>
  <c r="L9" i="338"/>
  <c r="B24" i="338"/>
  <c r="D9" i="338"/>
  <c r="C9" i="338"/>
  <c r="L7" i="338"/>
  <c r="B23" i="338"/>
  <c r="D7" i="338"/>
  <c r="C7" i="338"/>
  <c r="Y5" i="338"/>
  <c r="AD1" i="338" s="1"/>
  <c r="L4" i="338"/>
  <c r="K47" i="338" s="1"/>
  <c r="E4" i="338"/>
  <c r="A4" i="338"/>
  <c r="Y3" i="338"/>
  <c r="E2" i="338"/>
  <c r="A1" i="338"/>
  <c r="E2" i="310"/>
  <c r="E2" i="308"/>
  <c r="E2" i="307"/>
  <c r="E2" i="305"/>
  <c r="E2" i="304"/>
  <c r="C2" i="303"/>
  <c r="R62" i="310"/>
  <c r="I21" i="310"/>
  <c r="G21" i="310"/>
  <c r="F21" i="310"/>
  <c r="D21" i="310"/>
  <c r="C21" i="310"/>
  <c r="B21" i="310"/>
  <c r="K20" i="310"/>
  <c r="I19" i="310"/>
  <c r="G19" i="310"/>
  <c r="F19" i="310"/>
  <c r="D19" i="310"/>
  <c r="C19" i="310"/>
  <c r="B19" i="310"/>
  <c r="M18" i="310"/>
  <c r="I17" i="310"/>
  <c r="G17" i="310"/>
  <c r="F17" i="310"/>
  <c r="D17" i="310"/>
  <c r="C17" i="310"/>
  <c r="B17" i="310"/>
  <c r="U16" i="310"/>
  <c r="K16" i="310"/>
  <c r="I15" i="310"/>
  <c r="G15" i="310"/>
  <c r="F15" i="310"/>
  <c r="D15" i="310"/>
  <c r="C15" i="310"/>
  <c r="B15" i="310"/>
  <c r="O14" i="310"/>
  <c r="I13" i="310"/>
  <c r="G13" i="310"/>
  <c r="F13" i="310"/>
  <c r="D13" i="310"/>
  <c r="C13" i="310"/>
  <c r="B13" i="310"/>
  <c r="K12" i="310"/>
  <c r="I11" i="310"/>
  <c r="G11" i="310"/>
  <c r="F11" i="310"/>
  <c r="D11" i="310"/>
  <c r="C11" i="310"/>
  <c r="B11" i="310"/>
  <c r="M10" i="310"/>
  <c r="I9" i="310"/>
  <c r="G9" i="310"/>
  <c r="F9" i="310"/>
  <c r="D9" i="310"/>
  <c r="C9" i="310"/>
  <c r="B9" i="310"/>
  <c r="K8" i="310"/>
  <c r="U7" i="310"/>
  <c r="I7" i="310"/>
  <c r="G7" i="310"/>
  <c r="F7" i="310"/>
  <c r="D7" i="310"/>
  <c r="C7" i="310"/>
  <c r="B7" i="310"/>
  <c r="Y5" i="310"/>
  <c r="R4" i="310"/>
  <c r="O62" i="310" s="1"/>
  <c r="G4" i="310"/>
  <c r="A4" i="310"/>
  <c r="Y3" i="310"/>
  <c r="A1" i="310"/>
  <c r="R44" i="308"/>
  <c r="F38" i="308"/>
  <c r="C38" i="308"/>
  <c r="F36" i="308"/>
  <c r="C36" i="308"/>
  <c r="F34" i="308"/>
  <c r="C34" i="308"/>
  <c r="L19" i="308"/>
  <c r="I19" i="308"/>
  <c r="G19" i="308"/>
  <c r="E19" i="308"/>
  <c r="B31" i="308" s="1"/>
  <c r="D19" i="308"/>
  <c r="C19" i="308"/>
  <c r="L17" i="308"/>
  <c r="I17" i="308"/>
  <c r="G17" i="308"/>
  <c r="E17" i="308"/>
  <c r="B30" i="308" s="1"/>
  <c r="D17" i="308"/>
  <c r="C17" i="308"/>
  <c r="L15" i="308"/>
  <c r="I15" i="308"/>
  <c r="G15" i="308"/>
  <c r="E15" i="308"/>
  <c r="B29" i="308" s="1"/>
  <c r="D15" i="308"/>
  <c r="C15" i="308"/>
  <c r="L13" i="308"/>
  <c r="I13" i="308"/>
  <c r="G13" i="308"/>
  <c r="E13" i="308"/>
  <c r="B28" i="308"/>
  <c r="D13" i="308"/>
  <c r="C13" i="308"/>
  <c r="L11" i="308"/>
  <c r="B25" i="308"/>
  <c r="D11" i="308"/>
  <c r="C11" i="308"/>
  <c r="L9" i="308"/>
  <c r="I9" i="308"/>
  <c r="G9" i="308"/>
  <c r="E9" i="308"/>
  <c r="B24" i="308" s="1"/>
  <c r="D9" i="308"/>
  <c r="C9" i="308"/>
  <c r="L7" i="308"/>
  <c r="I7" i="308"/>
  <c r="G7" i="308"/>
  <c r="E7" i="308"/>
  <c r="D7" i="308"/>
  <c r="C7" i="308"/>
  <c r="Y5" i="308"/>
  <c r="L4" i="308"/>
  <c r="K49" i="308" s="1"/>
  <c r="E4" i="308"/>
  <c r="A4" i="308"/>
  <c r="Y3" i="308"/>
  <c r="AB1" i="308" s="1"/>
  <c r="A1" i="308"/>
  <c r="R47" i="307"/>
  <c r="E41" i="307" s="1"/>
  <c r="F36" i="307"/>
  <c r="C36" i="307"/>
  <c r="F34" i="307"/>
  <c r="C34" i="307"/>
  <c r="F32" i="307"/>
  <c r="C32" i="307"/>
  <c r="L17" i="307"/>
  <c r="I17" i="307"/>
  <c r="G17" i="307"/>
  <c r="E17" i="307"/>
  <c r="B30" i="307" s="1"/>
  <c r="D17" i="307"/>
  <c r="C17" i="307"/>
  <c r="L15" i="307"/>
  <c r="I15" i="307"/>
  <c r="G15" i="307"/>
  <c r="E15" i="307"/>
  <c r="B29" i="307" s="1"/>
  <c r="D15" i="307"/>
  <c r="C15" i="307"/>
  <c r="L13" i="307"/>
  <c r="I13" i="307"/>
  <c r="G13" i="307"/>
  <c r="E13" i="307"/>
  <c r="B28" i="307" s="1"/>
  <c r="D13" i="307"/>
  <c r="C13" i="307"/>
  <c r="L11" i="307"/>
  <c r="I11" i="307"/>
  <c r="G11" i="307"/>
  <c r="E11" i="307"/>
  <c r="D11" i="307"/>
  <c r="C11" i="307"/>
  <c r="L9" i="307"/>
  <c r="I9" i="307"/>
  <c r="G9" i="307"/>
  <c r="E9" i="307"/>
  <c r="B24" i="307" s="1"/>
  <c r="D9" i="307"/>
  <c r="C9" i="307"/>
  <c r="L7" i="307"/>
  <c r="I7" i="307"/>
  <c r="G7" i="307"/>
  <c r="E7" i="307"/>
  <c r="B23" i="307" s="1"/>
  <c r="D7" i="307"/>
  <c r="C7" i="307"/>
  <c r="Y5" i="307"/>
  <c r="AG1" i="307" s="1"/>
  <c r="L4" i="307"/>
  <c r="K47" i="307" s="1"/>
  <c r="E4" i="307"/>
  <c r="A4" i="307"/>
  <c r="Y3" i="307"/>
  <c r="A1" i="307"/>
  <c r="L13" i="305"/>
  <c r="B22" i="305"/>
  <c r="L11" i="305"/>
  <c r="I11" i="305"/>
  <c r="G11" i="305"/>
  <c r="E11" i="305"/>
  <c r="B21" i="305" s="1"/>
  <c r="D11" i="305"/>
  <c r="C11" i="305"/>
  <c r="L9" i="305"/>
  <c r="B20" i="305"/>
  <c r="D9" i="305"/>
  <c r="C9" i="305"/>
  <c r="L7" i="305"/>
  <c r="I7" i="305"/>
  <c r="G7" i="305"/>
  <c r="E7" i="305"/>
  <c r="B19" i="305" s="1"/>
  <c r="D7" i="305"/>
  <c r="C7" i="305"/>
  <c r="Y5" i="305"/>
  <c r="AF1" i="305" s="1"/>
  <c r="M4" i="305"/>
  <c r="K41" i="305" s="1"/>
  <c r="E4" i="305"/>
  <c r="A4" i="305"/>
  <c r="Y3" i="305"/>
  <c r="A1" i="305"/>
  <c r="L11" i="304"/>
  <c r="I11" i="304"/>
  <c r="B21" i="304"/>
  <c r="L9" i="304"/>
  <c r="I9" i="304"/>
  <c r="G9" i="304"/>
  <c r="E9" i="304"/>
  <c r="B20" i="304" s="1"/>
  <c r="D9" i="304"/>
  <c r="C9" i="304"/>
  <c r="L7" i="304"/>
  <c r="B19" i="304"/>
  <c r="Y5" i="304"/>
  <c r="L4" i="304"/>
  <c r="K41" i="304" s="1"/>
  <c r="E4" i="304"/>
  <c r="A4" i="304"/>
  <c r="Y3" i="304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 s="1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3"/>
  <c r="E2" i="281"/>
  <c r="E2" i="280"/>
  <c r="C2" i="279"/>
  <c r="R47" i="283"/>
  <c r="L17" i="283"/>
  <c r="I17" i="283"/>
  <c r="G17" i="283"/>
  <c r="E17" i="283"/>
  <c r="B30" i="283" s="1"/>
  <c r="F34" i="283"/>
  <c r="D17" i="283"/>
  <c r="C17" i="283"/>
  <c r="L15" i="283"/>
  <c r="I15" i="283"/>
  <c r="G15" i="283"/>
  <c r="E15" i="283"/>
  <c r="B29" i="283" s="1"/>
  <c r="F36" i="283"/>
  <c r="D15" i="283"/>
  <c r="C15" i="283"/>
  <c r="L13" i="283"/>
  <c r="I13" i="283"/>
  <c r="G13" i="283"/>
  <c r="E13" i="283"/>
  <c r="B28" i="283" s="1"/>
  <c r="F32" i="283"/>
  <c r="D13" i="283"/>
  <c r="C13" i="283"/>
  <c r="L11" i="283"/>
  <c r="I11" i="283"/>
  <c r="G11" i="283"/>
  <c r="E11" i="283"/>
  <c r="B25" i="283" s="1"/>
  <c r="C36" i="283"/>
  <c r="D11" i="283"/>
  <c r="C11" i="283"/>
  <c r="L9" i="283"/>
  <c r="I9" i="283"/>
  <c r="G9" i="283"/>
  <c r="E9" i="283"/>
  <c r="B24" i="283" s="1"/>
  <c r="C34" i="283"/>
  <c r="D9" i="283"/>
  <c r="C9" i="283"/>
  <c r="L7" i="283"/>
  <c r="I7" i="283"/>
  <c r="G7" i="283"/>
  <c r="E7" i="283"/>
  <c r="B23" i="283" s="1"/>
  <c r="C32" i="283"/>
  <c r="D7" i="283"/>
  <c r="C7" i="283"/>
  <c r="Y5" i="283"/>
  <c r="AK1" i="283" s="1"/>
  <c r="L4" i="283"/>
  <c r="K47" i="283" s="1"/>
  <c r="E4" i="283"/>
  <c r="A4" i="283"/>
  <c r="Y3" i="283"/>
  <c r="A1" i="283"/>
  <c r="L13" i="281"/>
  <c r="I13" i="281"/>
  <c r="G13" i="281"/>
  <c r="E13" i="281"/>
  <c r="B22" i="281"/>
  <c r="D13" i="281"/>
  <c r="C13" i="281"/>
  <c r="L11" i="281"/>
  <c r="I11" i="281"/>
  <c r="G11" i="281"/>
  <c r="E11" i="281"/>
  <c r="H18" i="281" s="1"/>
  <c r="D11" i="281"/>
  <c r="C11" i="281"/>
  <c r="L9" i="281"/>
  <c r="I9" i="281"/>
  <c r="G9" i="281"/>
  <c r="E9" i="281"/>
  <c r="B20" i="281" s="1"/>
  <c r="D9" i="281"/>
  <c r="C9" i="281"/>
  <c r="L7" i="281"/>
  <c r="I7" i="281"/>
  <c r="G7" i="281"/>
  <c r="E7" i="281"/>
  <c r="D7" i="281"/>
  <c r="C7" i="281"/>
  <c r="Y5" i="281"/>
  <c r="M4" i="281"/>
  <c r="K41" i="281"/>
  <c r="E4" i="281"/>
  <c r="A4" i="281"/>
  <c r="Y3" i="281"/>
  <c r="AI1" i="281" s="1"/>
  <c r="A1" i="281"/>
  <c r="L11" i="280"/>
  <c r="I11" i="280"/>
  <c r="G11" i="280"/>
  <c r="E11" i="280"/>
  <c r="B21" i="280" s="1"/>
  <c r="D11" i="280"/>
  <c r="C11" i="280"/>
  <c r="L9" i="280"/>
  <c r="I9" i="280"/>
  <c r="G9" i="280"/>
  <c r="E9" i="280"/>
  <c r="B20" i="280"/>
  <c r="D9" i="280"/>
  <c r="C9" i="280"/>
  <c r="L7" i="280"/>
  <c r="I7" i="280"/>
  <c r="G7" i="280"/>
  <c r="E7" i="280"/>
  <c r="B19" i="280" s="1"/>
  <c r="D7" i="280"/>
  <c r="C7" i="280"/>
  <c r="Y5" i="280"/>
  <c r="AF1" i="280" s="1"/>
  <c r="L4" i="280"/>
  <c r="K41" i="280"/>
  <c r="E4" i="280"/>
  <c r="A4" i="280"/>
  <c r="Y3" i="280"/>
  <c r="A1" i="280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6"/>
  <c r="E2" i="235"/>
  <c r="E2" i="232"/>
  <c r="C2" i="231"/>
  <c r="R62" i="238"/>
  <c r="F55" i="238" s="1"/>
  <c r="F56" i="238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M18" i="238"/>
  <c r="I17" i="238"/>
  <c r="G17" i="238"/>
  <c r="F17" i="238"/>
  <c r="D17" i="238"/>
  <c r="C17" i="238"/>
  <c r="B17" i="238"/>
  <c r="U16" i="238"/>
  <c r="K16" i="238"/>
  <c r="I15" i="238"/>
  <c r="G15" i="238"/>
  <c r="F15" i="238"/>
  <c r="D15" i="238"/>
  <c r="C15" i="238"/>
  <c r="B15" i="238"/>
  <c r="O14" i="238"/>
  <c r="I13" i="238"/>
  <c r="G13" i="238"/>
  <c r="F13" i="238"/>
  <c r="D13" i="238"/>
  <c r="C13" i="238"/>
  <c r="B13" i="238"/>
  <c r="K12" i="238"/>
  <c r="I11" i="238"/>
  <c r="G11" i="238"/>
  <c r="F11" i="238"/>
  <c r="D11" i="238"/>
  <c r="C11" i="238"/>
  <c r="B11" i="238"/>
  <c r="M10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/>
  <c r="G4" i="238"/>
  <c r="A4" i="238"/>
  <c r="Y3" i="238"/>
  <c r="M6" i="238" s="1"/>
  <c r="A1" i="238"/>
  <c r="R44" i="236"/>
  <c r="E43" i="236" s="1"/>
  <c r="L19" i="236"/>
  <c r="I19" i="236"/>
  <c r="G19" i="236"/>
  <c r="E19" i="236"/>
  <c r="J27" i="236" s="1"/>
  <c r="B31" i="236"/>
  <c r="D19" i="236"/>
  <c r="C19" i="236"/>
  <c r="L17" i="236"/>
  <c r="I17" i="236"/>
  <c r="G17" i="236"/>
  <c r="E17" i="236"/>
  <c r="B30" i="236" s="1"/>
  <c r="F38" i="236"/>
  <c r="D17" i="236"/>
  <c r="C17" i="236"/>
  <c r="L15" i="236"/>
  <c r="I15" i="236"/>
  <c r="B29" i="236"/>
  <c r="F36" i="236"/>
  <c r="D15" i="236"/>
  <c r="C15" i="236"/>
  <c r="L13" i="236"/>
  <c r="I13" i="236"/>
  <c r="G13" i="236"/>
  <c r="E13" i="236"/>
  <c r="D27" i="236" s="1"/>
  <c r="F34" i="236"/>
  <c r="D13" i="236"/>
  <c r="C13" i="236"/>
  <c r="L11" i="236"/>
  <c r="I11" i="236"/>
  <c r="G11" i="236"/>
  <c r="E11" i="236"/>
  <c r="B25" i="236" s="1"/>
  <c r="C38" i="236"/>
  <c r="D11" i="236"/>
  <c r="C11" i="236"/>
  <c r="L9" i="236"/>
  <c r="I9" i="236"/>
  <c r="G9" i="236"/>
  <c r="E9" i="236"/>
  <c r="B24" i="236" s="1"/>
  <c r="C36" i="236"/>
  <c r="D9" i="236"/>
  <c r="C9" i="236"/>
  <c r="L7" i="236"/>
  <c r="I7" i="236"/>
  <c r="G7" i="236"/>
  <c r="E7" i="236"/>
  <c r="B23" i="236" s="1"/>
  <c r="C34" i="236"/>
  <c r="D7" i="236"/>
  <c r="C7" i="236"/>
  <c r="Y5" i="236"/>
  <c r="L4" i="236"/>
  <c r="K49" i="236" s="1"/>
  <c r="E4" i="236"/>
  <c r="A4" i="236"/>
  <c r="Y3" i="236"/>
  <c r="AC1" i="236" s="1"/>
  <c r="A1" i="236"/>
  <c r="R47" i="235"/>
  <c r="E41" i="235" s="1"/>
  <c r="L17" i="235"/>
  <c r="I17" i="235"/>
  <c r="G17" i="235"/>
  <c r="E17" i="235"/>
  <c r="B30" i="235" s="1"/>
  <c r="F34" i="235"/>
  <c r="D17" i="235"/>
  <c r="C17" i="235"/>
  <c r="L15" i="235"/>
  <c r="I15" i="235"/>
  <c r="F36" i="235"/>
  <c r="D15" i="235"/>
  <c r="C15" i="235"/>
  <c r="L13" i="235"/>
  <c r="I13" i="235"/>
  <c r="G13" i="235"/>
  <c r="E13" i="235"/>
  <c r="F32" i="235"/>
  <c r="D13" i="235"/>
  <c r="C13" i="235"/>
  <c r="L11" i="235"/>
  <c r="I11" i="235"/>
  <c r="G11" i="235"/>
  <c r="E11" i="235"/>
  <c r="H22" i="235" s="1"/>
  <c r="C36" i="235"/>
  <c r="D11" i="235"/>
  <c r="C11" i="235"/>
  <c r="L9" i="235"/>
  <c r="I9" i="235"/>
  <c r="G9" i="235"/>
  <c r="E9" i="235"/>
  <c r="F22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L4" i="235"/>
  <c r="K47" i="235"/>
  <c r="E4" i="235"/>
  <c r="A4" i="235"/>
  <c r="Y3" i="235"/>
  <c r="AG1" i="235" s="1"/>
  <c r="A1" i="235"/>
  <c r="L11" i="232"/>
  <c r="I11" i="232"/>
  <c r="G11" i="232"/>
  <c r="E11" i="232"/>
  <c r="B21" i="232" s="1"/>
  <c r="D11" i="232"/>
  <c r="C11" i="232"/>
  <c r="L9" i="232"/>
  <c r="I9" i="232"/>
  <c r="G9" i="232"/>
  <c r="E9" i="232"/>
  <c r="F18" i="232" s="1"/>
  <c r="B20" i="232"/>
  <c r="D9" i="232"/>
  <c r="C9" i="232"/>
  <c r="L7" i="232"/>
  <c r="I7" i="232"/>
  <c r="G7" i="232"/>
  <c r="E7" i="232"/>
  <c r="B19" i="232" s="1"/>
  <c r="D7" i="232"/>
  <c r="C7" i="232"/>
  <c r="Y5" i="232"/>
  <c r="AD1" i="232" s="1"/>
  <c r="L4" i="232"/>
  <c r="K41" i="232" s="1"/>
  <c r="E4" i="232"/>
  <c r="A4" i="232"/>
  <c r="Y3" i="232"/>
  <c r="A1" i="232"/>
  <c r="P156" i="231"/>
  <c r="M156" i="23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/>
  <c r="L87" i="231"/>
  <c r="K87" i="231"/>
  <c r="J87" i="231"/>
  <c r="P86" i="231"/>
  <c r="M86" i="23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 s="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L21" i="197"/>
  <c r="I21" i="197"/>
  <c r="G21" i="197"/>
  <c r="E21" i="197"/>
  <c r="B34" i="197" s="1"/>
  <c r="F43" i="197"/>
  <c r="D21" i="197"/>
  <c r="C21" i="197"/>
  <c r="R47" i="197"/>
  <c r="E47" i="197" s="1"/>
  <c r="L19" i="197"/>
  <c r="I19" i="197"/>
  <c r="G19" i="197"/>
  <c r="E19" i="197"/>
  <c r="H30" i="197" s="1"/>
  <c r="D19" i="197"/>
  <c r="C19" i="197"/>
  <c r="L17" i="197"/>
  <c r="I17" i="197"/>
  <c r="G17" i="197"/>
  <c r="E17" i="197"/>
  <c r="F30" i="197" s="1"/>
  <c r="D17" i="197"/>
  <c r="C17" i="197"/>
  <c r="L15" i="197"/>
  <c r="I15" i="197"/>
  <c r="G15" i="197"/>
  <c r="E15" i="197"/>
  <c r="B31" i="197" s="1"/>
  <c r="D15" i="197"/>
  <c r="C15" i="197"/>
  <c r="L13" i="197"/>
  <c r="I13" i="197"/>
  <c r="G13" i="197"/>
  <c r="E13" i="197"/>
  <c r="B28" i="197" s="1"/>
  <c r="D13" i="197"/>
  <c r="C13" i="197"/>
  <c r="L11" i="197"/>
  <c r="I11" i="197"/>
  <c r="G11" i="197"/>
  <c r="E11" i="197"/>
  <c r="H24" i="197" s="1"/>
  <c r="D11" i="197"/>
  <c r="C11" i="197"/>
  <c r="L9" i="197"/>
  <c r="I9" i="197"/>
  <c r="G9" i="197"/>
  <c r="E9" i="197"/>
  <c r="B26" i="197" s="1"/>
  <c r="D9" i="197"/>
  <c r="C9" i="197"/>
  <c r="L7" i="197"/>
  <c r="I7" i="197"/>
  <c r="G7" i="197"/>
  <c r="E7" i="197"/>
  <c r="D24" i="197" s="1"/>
  <c r="D7" i="197"/>
  <c r="C7" i="197"/>
  <c r="Y5" i="197"/>
  <c r="AE1" i="197" s="1"/>
  <c r="L4" i="197"/>
  <c r="K53" i="197"/>
  <c r="E4" i="197"/>
  <c r="A4" i="197"/>
  <c r="Y3" i="197"/>
  <c r="E2" i="197"/>
  <c r="A1" i="197"/>
  <c r="C5" i="9"/>
  <c r="D5" i="9"/>
  <c r="H5" i="9"/>
  <c r="P22" i="2"/>
  <c r="P23" i="2"/>
  <c r="P24" i="2"/>
  <c r="U10" i="310" s="1"/>
  <c r="P25" i="2"/>
  <c r="P26" i="2"/>
  <c r="P27" i="2"/>
  <c r="P28" i="2"/>
  <c r="P29" i="2"/>
  <c r="L11" i="89"/>
  <c r="L9" i="89"/>
  <c r="L7" i="89"/>
  <c r="L13" i="88"/>
  <c r="L11" i="88"/>
  <c r="L9" i="88"/>
  <c r="L7" i="88"/>
  <c r="Y5" i="89"/>
  <c r="Y3" i="89"/>
  <c r="AC1" i="89" s="1"/>
  <c r="Y5" i="88"/>
  <c r="Y3" i="88"/>
  <c r="AG1" i="88" s="1"/>
  <c r="E13" i="88"/>
  <c r="B22" i="88" s="1"/>
  <c r="I13" i="88"/>
  <c r="G13" i="88"/>
  <c r="D13" i="88"/>
  <c r="C13" i="88"/>
  <c r="M4" i="88"/>
  <c r="K41" i="88"/>
  <c r="E11" i="88"/>
  <c r="B21" i="88" s="1"/>
  <c r="E9" i="88"/>
  <c r="B20" i="88" s="1"/>
  <c r="E7" i="88"/>
  <c r="D18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L4" i="89"/>
  <c r="K41" i="89" s="1"/>
  <c r="E4" i="89"/>
  <c r="I11" i="89"/>
  <c r="G11" i="89"/>
  <c r="E11" i="89"/>
  <c r="H18" i="89" s="1"/>
  <c r="D11" i="89"/>
  <c r="C11" i="89"/>
  <c r="I9" i="89"/>
  <c r="G9" i="89"/>
  <c r="E9" i="89"/>
  <c r="F18" i="89"/>
  <c r="D9" i="89"/>
  <c r="C9" i="89"/>
  <c r="I7" i="89"/>
  <c r="G7" i="89"/>
  <c r="E7" i="89"/>
  <c r="B19" i="89" s="1"/>
  <c r="D7" i="89"/>
  <c r="C7" i="89"/>
  <c r="B21" i="89"/>
  <c r="A4" i="89"/>
  <c r="E2" i="89"/>
  <c r="A1" i="89"/>
  <c r="J151" i="9"/>
  <c r="K151" i="9"/>
  <c r="L151" i="9"/>
  <c r="P151" i="9"/>
  <c r="M151" i="9" s="1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/>
  <c r="J66" i="9"/>
  <c r="K66" i="9"/>
  <c r="L66" i="9"/>
  <c r="P66" i="9"/>
  <c r="M66" i="9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 s="1"/>
  <c r="A1" i="9"/>
  <c r="F37" i="197"/>
  <c r="F41" i="197"/>
  <c r="F39" i="197"/>
  <c r="B25" i="197"/>
  <c r="C43" i="197"/>
  <c r="C41" i="197"/>
  <c r="C39" i="197"/>
  <c r="C37" i="197"/>
  <c r="F22" i="236"/>
  <c r="F6" i="238"/>
  <c r="K6" i="238"/>
  <c r="U8" i="238"/>
  <c r="U9" i="238"/>
  <c r="F18" i="304"/>
  <c r="F22" i="307"/>
  <c r="H22" i="308"/>
  <c r="F6" i="310"/>
  <c r="K6" i="310"/>
  <c r="M6" i="310"/>
  <c r="U12" i="310"/>
  <c r="U12" i="238"/>
  <c r="AC1" i="88"/>
  <c r="U11" i="310"/>
  <c r="AC1" i="235"/>
  <c r="AI1" i="235"/>
  <c r="AF1" i="235"/>
  <c r="U13" i="238"/>
  <c r="AG1" i="310"/>
  <c r="AC1" i="310"/>
  <c r="O6" i="310"/>
  <c r="AD1" i="310"/>
  <c r="AH1" i="310"/>
  <c r="U15" i="310"/>
  <c r="AH1" i="235"/>
  <c r="AC1" i="305"/>
  <c r="AE1" i="305"/>
  <c r="AF1" i="197"/>
  <c r="AE1" i="281"/>
  <c r="E40" i="307"/>
  <c r="F55" i="310"/>
  <c r="F56" i="310"/>
  <c r="O6" i="238"/>
  <c r="AI1" i="280"/>
  <c r="AF1" i="236"/>
  <c r="AE1" i="280"/>
  <c r="AI1" i="232"/>
  <c r="AG1" i="89"/>
  <c r="AC1" i="304"/>
  <c r="AE1" i="310"/>
  <c r="AJ1" i="280"/>
  <c r="AJ1" i="308"/>
  <c r="AI1" i="89"/>
  <c r="AB1" i="280"/>
  <c r="AI1" i="308"/>
  <c r="AG1" i="283"/>
  <c r="AH1" i="281"/>
  <c r="AH1" i="236"/>
  <c r="AF1" i="283"/>
  <c r="AB1" i="310"/>
  <c r="H18" i="304"/>
  <c r="J18" i="305"/>
  <c r="D27" i="308"/>
  <c r="H27" i="308"/>
  <c r="F22" i="308"/>
  <c r="D18" i="305"/>
  <c r="F18" i="280"/>
  <c r="F24" i="197"/>
  <c r="F18" i="88"/>
  <c r="B20" i="89"/>
  <c r="D22" i="236"/>
  <c r="D18" i="304"/>
  <c r="F18" i="305"/>
  <c r="D18" i="280"/>
  <c r="D18" i="89"/>
  <c r="J30" i="197"/>
  <c r="B33" i="197"/>
  <c r="J18" i="281"/>
  <c r="D22" i="307"/>
  <c r="B30" i="340"/>
  <c r="B28" i="340"/>
  <c r="B25" i="340"/>
  <c r="F22" i="340"/>
  <c r="AD1" i="340"/>
  <c r="AH1" i="340"/>
  <c r="B29" i="340"/>
  <c r="E40" i="340"/>
  <c r="B23" i="340"/>
  <c r="AB1" i="340"/>
  <c r="AF1" i="340"/>
  <c r="F27" i="283"/>
  <c r="H27" i="283"/>
  <c r="F22" i="283"/>
  <c r="D27" i="283"/>
  <c r="B30" i="338"/>
  <c r="F27" i="338"/>
  <c r="B28" i="338"/>
  <c r="F22" i="338"/>
  <c r="D22" i="338"/>
  <c r="E40" i="338"/>
  <c r="AB1" i="338"/>
  <c r="J24" i="197"/>
  <c r="H18" i="88"/>
  <c r="F27" i="236" l="1"/>
  <c r="B28" i="236"/>
  <c r="H27" i="235"/>
  <c r="B25" i="235"/>
  <c r="D22" i="235"/>
  <c r="B32" i="197"/>
  <c r="AJ1" i="305"/>
  <c r="AJ1" i="89"/>
  <c r="AH1" i="232"/>
  <c r="D27" i="235"/>
  <c r="B28" i="235"/>
  <c r="AB1" i="283"/>
  <c r="B29" i="235"/>
  <c r="F27" i="235"/>
  <c r="E40" i="283"/>
  <c r="E41" i="283"/>
  <c r="D18" i="232"/>
  <c r="AF1" i="89"/>
  <c r="AK1" i="307"/>
  <c r="AB1" i="197"/>
  <c r="AG1" i="305"/>
  <c r="AI1" i="197"/>
  <c r="D27" i="307"/>
  <c r="AJ1" i="283"/>
  <c r="AH1" i="197"/>
  <c r="AC1" i="197"/>
  <c r="AK1" i="305"/>
  <c r="U8" i="310"/>
  <c r="AK1" i="89"/>
  <c r="AJ1" i="281"/>
  <c r="AF1" i="281"/>
  <c r="E43" i="308"/>
  <c r="E42" i="308"/>
  <c r="AF1" i="310"/>
  <c r="AG1" i="338"/>
  <c r="AK1" i="197"/>
  <c r="U15" i="238"/>
  <c r="AD1" i="89"/>
  <c r="B19" i="281"/>
  <c r="D18" i="281"/>
  <c r="AH1" i="338"/>
  <c r="B21" i="281"/>
  <c r="E42" i="236"/>
  <c r="AD1" i="283"/>
  <c r="AD1" i="305"/>
  <c r="AB1" i="305"/>
  <c r="AD1" i="197"/>
  <c r="AF1" i="338"/>
  <c r="J27" i="308"/>
  <c r="H27" i="236"/>
  <c r="AI1" i="307"/>
  <c r="AI1" i="283"/>
  <c r="AC1" i="283"/>
  <c r="AJ1" i="307"/>
  <c r="E40" i="235"/>
  <c r="AI1" i="305"/>
  <c r="AH1" i="305"/>
  <c r="U11" i="238"/>
  <c r="AH1" i="89"/>
  <c r="F27" i="307"/>
  <c r="H22" i="236"/>
  <c r="AF1" i="88"/>
  <c r="AG1" i="197"/>
  <c r="H18" i="280"/>
  <c r="AB1" i="304"/>
  <c r="AJ1" i="236"/>
  <c r="AG1" i="238"/>
  <c r="AK1" i="236"/>
  <c r="D22" i="283"/>
  <c r="AE1" i="307"/>
  <c r="AK1" i="304"/>
  <c r="AD1" i="308"/>
  <c r="AE1" i="232"/>
  <c r="AD1" i="307"/>
  <c r="AC1" i="307"/>
  <c r="AJ1" i="232"/>
  <c r="AD1" i="88"/>
  <c r="AF1" i="232"/>
  <c r="B19" i="88"/>
  <c r="AE1" i="236"/>
  <c r="AB1" i="307"/>
  <c r="AK1" i="88"/>
  <c r="AE1" i="238"/>
  <c r="AG1" i="304"/>
  <c r="AE1" i="89"/>
  <c r="AG1" i="232"/>
  <c r="AI1" i="88"/>
  <c r="AB1" i="89"/>
  <c r="AC1" i="281"/>
  <c r="AJ1" i="235"/>
  <c r="AJ1" i="88"/>
  <c r="AH1" i="88"/>
  <c r="U9" i="310"/>
  <c r="B24" i="235"/>
  <c r="AK1" i="340"/>
  <c r="AC1" i="340"/>
  <c r="AE1" i="340"/>
  <c r="H22" i="307"/>
  <c r="B25" i="307"/>
  <c r="D22" i="308"/>
  <c r="B23" i="308"/>
  <c r="H27" i="307"/>
  <c r="AH1" i="304"/>
  <c r="AE1" i="88"/>
  <c r="AH1" i="308"/>
  <c r="AF1" i="308"/>
  <c r="AE1" i="304"/>
  <c r="U14" i="238"/>
  <c r="AE1" i="308"/>
  <c r="F18" i="281"/>
  <c r="H18" i="305"/>
  <c r="AG1" i="236"/>
  <c r="AH1" i="307"/>
  <c r="AF1" i="304"/>
  <c r="AC1" i="238"/>
  <c r="AC1" i="232"/>
  <c r="AD1" i="280"/>
  <c r="AK1" i="308"/>
  <c r="AK1" i="232"/>
  <c r="AI1" i="236"/>
  <c r="AG1" i="308"/>
  <c r="AG1" i="281"/>
  <c r="U10" i="238"/>
  <c r="U13" i="310"/>
  <c r="AC1" i="308"/>
  <c r="F27" i="308"/>
  <c r="H18" i="232"/>
  <c r="AD1" i="235"/>
  <c r="AE1" i="283"/>
  <c r="J18" i="88"/>
  <c r="H22" i="283"/>
  <c r="D30" i="197"/>
  <c r="AF1" i="238"/>
  <c r="AD1" i="281"/>
  <c r="AB1" i="238"/>
  <c r="AI1" i="304"/>
  <c r="AH1" i="238"/>
  <c r="AB1" i="236"/>
  <c r="AK1" i="280"/>
  <c r="AB1" i="232"/>
  <c r="AG1" i="280"/>
  <c r="AD1" i="304"/>
  <c r="AJ1" i="304"/>
  <c r="AC1" i="280"/>
  <c r="AD1" i="236"/>
  <c r="AB1" i="281"/>
  <c r="AF1" i="307"/>
  <c r="AH1" i="283"/>
  <c r="AK1" i="281"/>
  <c r="AD1" i="238"/>
  <c r="AB1" i="235"/>
  <c r="AH1" i="280"/>
  <c r="U14" i="310"/>
  <c r="AE1" i="235"/>
  <c r="AK1" i="235"/>
  <c r="AB1" i="88"/>
  <c r="B27" i="197"/>
  <c r="AJ1" i="197"/>
  <c r="E46" i="197"/>
  <c r="AK1" i="338"/>
  <c r="AC1" i="338"/>
  <c r="AI1" i="338"/>
  <c r="AE1" i="338"/>
  <c r="AJ1" i="338"/>
  <c r="AJ1" i="340"/>
  <c r="AI1" i="340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<sst xmlns="http://schemas.openxmlformats.org/spreadsheetml/2006/main" count="1793" uniqueCount="324">
  <si>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</si>
  <si>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</si>
  <si>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</si>
  <si>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</si>
  <si>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</si>
  <si>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</si>
  <si>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</si>
  <si>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</si>
  <si>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</si>
  <si>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</si>
  <si>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</si>
  <si>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</si>
  <si>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</si>
  <si>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</si>
  <si>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</si>
  <si>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</si>
  <si>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</si>
  <si>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</si>
  <si>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</si>
  <si>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</si>
  <si>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</si>
  <si>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</si>
  <si>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</si>
  <si>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</si>
  <si>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</si>
  <si>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</si>
  <si>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</si>
  <si>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</si>
  <si>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</si>
  <si>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</si>
  <si>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</si>
  <si>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</si>
  <si>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</si>
  <si>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</si>
  <si>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</si>
  <si>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</si>
  <si>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</si>
  <si>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</si>
  <si>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</si>
  <si>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</si>
  <si>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</si>
  <si>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</si>
  <si>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</si>
  <si>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</si>
  <si>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</si>
  <si>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</si>
  <si>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</si>
  <si>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</si>
  <si>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</si>
  <si>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</si>
  <si>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</si>
  <si>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</si>
  <si>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</si>
  <si>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</si>
  <si>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</si>
  <si>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</si>
  <si>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</si>
  <si>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</si>
  <si>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</si>
  <si>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</si>
  <si>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</si>
  <si>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</si>
  <si>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</si>
  <si>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</si>
  <si>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</si>
  <si>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</si>
  <si>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</si>
  <si>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</si>
  <si>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</si>
  <si>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</si>
  <si>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</si>
  <si>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</si>
  <si>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</si>
  <si>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</si>
  <si>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</si>
  <si>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</si>
  <si>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</si>
  <si>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</si>
  <si>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</si>
  <si>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</si>
  <si>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</si>
  <si>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</si>
  <si>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</si>
  <si>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</si>
  <si>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</si>
  <si>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</si>
  <si>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</si>
  <si>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</si>
  <si>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</si>
  <si>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</si>
  <si>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</si>
  <si>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</si>
  <si>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</si>
  <si>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</si>
  <si>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</si>
  <si>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</si>
  <si>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</si>
  <si>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</si>
  <si>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</si>
  <si>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</si>
  <si>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</si>
  <si>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</si>
  <si>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</si>
  <si>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</si>
  <si>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</si>
  <si>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</si>
  <si>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</si>
  <si>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</si>
  <si>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</si>
  <si>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</si>
  <si>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</si>
  <si>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</si>
  <si>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</si>
  <si>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</si>
  <si>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</si>
  <si>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</si>
  <si>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</si>
  <si>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</si>
  <si>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</si>
  <si>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Diákolimpia</t>
  </si>
  <si>
    <t>Rákóczi Andrea</t>
  </si>
  <si>
    <t>2025.05.26-06-01.</t>
  </si>
  <si>
    <t>Balatonboglár</t>
  </si>
  <si>
    <t>Pór Krisztina</t>
  </si>
  <si>
    <t>BBTC SE</t>
  </si>
  <si>
    <t>Lány 2 kcs A</t>
  </si>
  <si>
    <t>Lány 2 kcs B</t>
  </si>
  <si>
    <t>Fiú 2 kcs A</t>
  </si>
  <si>
    <t>Fiú 2 kcs B</t>
  </si>
  <si>
    <t>Kovács</t>
  </si>
  <si>
    <t>Léna</t>
  </si>
  <si>
    <t xml:space="preserve"> Petőfi Sándor Katolikus Általános Iskola és Óvoda</t>
  </si>
  <si>
    <t xml:space="preserve">Kiss </t>
  </si>
  <si>
    <t>Dorka Kerubina</t>
  </si>
  <si>
    <t>Szent Imre Katolikus Óvoda és Általános Iskola</t>
  </si>
  <si>
    <t xml:space="preserve">Kottász </t>
  </si>
  <si>
    <t>Dalma</t>
  </si>
  <si>
    <t>PTE II.Gyakorló - Pécs</t>
  </si>
  <si>
    <t xml:space="preserve">Harmatha-Komáromi </t>
  </si>
  <si>
    <t>Abigél</t>
  </si>
  <si>
    <t>Koch V. - Pécs</t>
  </si>
  <si>
    <t xml:space="preserve">Hundzsa </t>
  </si>
  <si>
    <t>Dóra</t>
  </si>
  <si>
    <t>Sarkad</t>
  </si>
  <si>
    <t xml:space="preserve">Szakál </t>
  </si>
  <si>
    <t>Júlia</t>
  </si>
  <si>
    <t>Irinyi János Református Oktatási Központ - Óvoda, Általános Iskola</t>
  </si>
  <si>
    <t xml:space="preserve">Babik </t>
  </si>
  <si>
    <t>Bernadett</t>
  </si>
  <si>
    <t>Kazincbarcikai Pollack Mihály Általános Iskola</t>
  </si>
  <si>
    <t xml:space="preserve">Szabadíts </t>
  </si>
  <si>
    <t>Izabel</t>
  </si>
  <si>
    <t>Áldás Utcai Általános Iskola</t>
  </si>
  <si>
    <t xml:space="preserve">Csuba </t>
  </si>
  <si>
    <t>Flóra Júlia</t>
  </si>
  <si>
    <t>Városligeti Magyar-Angol Két Tanítási Nyelvű Általános Iskola</t>
  </si>
  <si>
    <t>Kobra</t>
  </si>
  <si>
    <t>Zsófia</t>
  </si>
  <si>
    <t>Bu., József A.</t>
  </si>
  <si>
    <t>Freiin Von Ketteler</t>
  </si>
  <si>
    <t>Victoria Luise</t>
  </si>
  <si>
    <t>Db., Nemzetközi I.</t>
  </si>
  <si>
    <t xml:space="preserve">Gyenge </t>
  </si>
  <si>
    <t>Amira</t>
  </si>
  <si>
    <t xml:space="preserve">Hovanecz </t>
  </si>
  <si>
    <t>Hanna Nóra</t>
  </si>
  <si>
    <t xml:space="preserve">Torma </t>
  </si>
  <si>
    <t>Tamara</t>
  </si>
  <si>
    <t>Balatonlelle-Karádi Általános Iskola és Alapfokú Művészeti Iskola</t>
  </si>
  <si>
    <t xml:space="preserve">Könnyid-Kovács </t>
  </si>
  <si>
    <t>Judit</t>
  </si>
  <si>
    <t xml:space="preserve">Kohán </t>
  </si>
  <si>
    <t>Tekla</t>
  </si>
  <si>
    <t>Nyíregyházi Arany János Gimnázium, Általános Iskola és Kollégium</t>
  </si>
  <si>
    <t>Lisztmajer</t>
  </si>
  <si>
    <t>Liza</t>
  </si>
  <si>
    <t>Nagy</t>
  </si>
  <si>
    <t>Rebeka</t>
  </si>
  <si>
    <t>Vida-Weisz</t>
  </si>
  <si>
    <t>Boróka</t>
  </si>
  <si>
    <t>Kőszegi Béri Balog Ádám Általános Iskola</t>
  </si>
  <si>
    <t>Láng</t>
  </si>
  <si>
    <t>Laura</t>
  </si>
  <si>
    <t>ELTE Bolyai János Gyakorló Általános Iskola és Gimnázium</t>
  </si>
  <si>
    <t xml:space="preserve">Takács </t>
  </si>
  <si>
    <t>Zara</t>
  </si>
  <si>
    <t>Cserepka - Pécs</t>
  </si>
  <si>
    <t>Zoé</t>
  </si>
  <si>
    <t>Mezőberény</t>
  </si>
  <si>
    <t xml:space="preserve">Chen </t>
  </si>
  <si>
    <t>Zixin</t>
  </si>
  <si>
    <t>Budapest XVI. Kerületi Lemhényi Dezső Általános Iskola</t>
  </si>
  <si>
    <t xml:space="preserve">Márton </t>
  </si>
  <si>
    <t>Natali</t>
  </si>
  <si>
    <t>Alternatív Közgazdasági Gimnázium, Szakgimnázium és Általános Iskola</t>
  </si>
  <si>
    <t>Szuna</t>
  </si>
  <si>
    <t>Dorina</t>
  </si>
  <si>
    <t>Szfvári Kossuth L. Ált Isk.</t>
  </si>
  <si>
    <t>Kiss</t>
  </si>
  <si>
    <t>Sára</t>
  </si>
  <si>
    <t>Péterfy S Ált Isk</t>
  </si>
  <si>
    <t>Mátyás</t>
  </si>
  <si>
    <t>Nagykovácsi Á. I.</t>
  </si>
  <si>
    <t>Deutsch Szalai</t>
  </si>
  <si>
    <t>Mira</t>
  </si>
  <si>
    <t>Gothard Jenő Általános Iskola</t>
  </si>
  <si>
    <t>Vörös</t>
  </si>
  <si>
    <t>Panna</t>
  </si>
  <si>
    <t>Zalaegerszegi Petőfi Sándor Magyar-Angol Két Tanítási Nyelvű Általános Iskola</t>
  </si>
  <si>
    <t>Heffenträger</t>
  </si>
  <si>
    <t>Dorottya</t>
  </si>
  <si>
    <t>Zalalövői Általános Iskola</t>
  </si>
  <si>
    <t xml:space="preserve">Rácz 	</t>
  </si>
  <si>
    <t>Levente</t>
  </si>
  <si>
    <t>Gyula Implom</t>
  </si>
  <si>
    <t xml:space="preserve">Péter </t>
  </si>
  <si>
    <t>Szilárd</t>
  </si>
  <si>
    <t>Kispesti Erkel Ferenc Általános Iskola</t>
  </si>
  <si>
    <t xml:space="preserve">Szentkirályi-Tóth </t>
  </si>
  <si>
    <t>Hunor</t>
  </si>
  <si>
    <t>Pasaréti Szabó Lőrinc Magyar-Angol Két Tanítási Nyelvű Általános Iskola és Gimnázium</t>
  </si>
  <si>
    <t>Ervin</t>
  </si>
  <si>
    <t>Szfvári Comenius Ált. Isk.</t>
  </si>
  <si>
    <t>Orbán - Happ</t>
  </si>
  <si>
    <t>Gellért</t>
  </si>
  <si>
    <t xml:space="preserve">Győri Gárdonyi </t>
  </si>
  <si>
    <t>Ádám</t>
  </si>
  <si>
    <t>Lente</t>
  </si>
  <si>
    <t>András Csaba</t>
  </si>
  <si>
    <t>Db., Kossuth L.</t>
  </si>
  <si>
    <t>Lakatos</t>
  </si>
  <si>
    <t>Dániel</t>
  </si>
  <si>
    <t>Fót Fáy András Á. I.</t>
  </si>
  <si>
    <t>Kerecsényi</t>
  </si>
  <si>
    <t>Patrik</t>
  </si>
  <si>
    <t>Szombathelyi Derkovits Gyula Általános Iskola</t>
  </si>
  <si>
    <t xml:space="preserve">Baranyi </t>
  </si>
  <si>
    <t xml:space="preserve">Szántó </t>
  </si>
  <si>
    <t>Hunor Tamás</t>
  </si>
  <si>
    <t xml:space="preserve">Szebényi </t>
  </si>
  <si>
    <t>Alexander</t>
  </si>
  <si>
    <t xml:space="preserve">Zámbó </t>
  </si>
  <si>
    <t>Zénó</t>
  </si>
  <si>
    <t xml:space="preserve">Solti </t>
  </si>
  <si>
    <t>Olivér</t>
  </si>
  <si>
    <t>Békéscsaba Petőfi</t>
  </si>
  <si>
    <t xml:space="preserve">Bukó </t>
  </si>
  <si>
    <t>Dávid</t>
  </si>
  <si>
    <t xml:space="preserve">Győrfi </t>
  </si>
  <si>
    <t>Irinyi János Református Oktatási Központ - Óvoda, Általános Iskola, Technikum, Szakgimnázium és Diákotthon</t>
  </si>
  <si>
    <t xml:space="preserve">Simon </t>
  </si>
  <si>
    <t>Budapest British International School Angol Óvoda, Általános Iskola és Gimnázium</t>
  </si>
  <si>
    <t xml:space="preserve">Kaluha </t>
  </si>
  <si>
    <t>Máté</t>
  </si>
  <si>
    <t>Grosics Gyula Katolikus Sport Általános Iskola</t>
  </si>
  <si>
    <t>Paszicsnyek-Zsadány</t>
  </si>
  <si>
    <t>Zsolt</t>
  </si>
  <si>
    <t>Szt. László Ált Isk Bicske</t>
  </si>
  <si>
    <t>Határ</t>
  </si>
  <si>
    <t>Ábel</t>
  </si>
  <si>
    <t>Szfvári Teleki B. Gimn.</t>
  </si>
  <si>
    <t>Méhes</t>
  </si>
  <si>
    <t>Ákos</t>
  </si>
  <si>
    <t>Db., Lilla T.</t>
  </si>
  <si>
    <t>Áron Gábor</t>
  </si>
  <si>
    <t>Db., Hatvani I.</t>
  </si>
  <si>
    <t xml:space="preserve">Rosiczky </t>
  </si>
  <si>
    <t>Ronin</t>
  </si>
  <si>
    <t xml:space="preserve">Pap </t>
  </si>
  <si>
    <t>Benedek</t>
  </si>
  <si>
    <t>Koczka</t>
  </si>
  <si>
    <t>Szent István Sport Általános Iskola és Gimnázium</t>
  </si>
  <si>
    <t>Ábrahám</t>
  </si>
  <si>
    <t>Zoltán</t>
  </si>
  <si>
    <t>Szent István Katolikus Általános Iskola és Óvoda</t>
  </si>
  <si>
    <t>Akili</t>
  </si>
  <si>
    <t>Zalán Géza</t>
  </si>
  <si>
    <t>Diósdi Eötvös József Német Nemzetiségi Á. I. és Alapfokú Művészeti Iskola</t>
  </si>
  <si>
    <t xml:space="preserve">Szőcs </t>
  </si>
  <si>
    <t>Richárd</t>
  </si>
  <si>
    <t>Huzella Tivadar Két Tanítási Nyelvű Á. I.</t>
  </si>
  <si>
    <t xml:space="preserve">Johancsik </t>
  </si>
  <si>
    <t>Nimród</t>
  </si>
  <si>
    <t>Siófoki Vak Bottyán János Általános Iskola és Alapfokú Művészeti Iskola</t>
  </si>
  <si>
    <t xml:space="preserve">Szita </t>
  </si>
  <si>
    <t xml:space="preserve">Papp </t>
  </si>
  <si>
    <t>Zalán</t>
  </si>
  <si>
    <t>Aszódi</t>
  </si>
  <si>
    <t>Imre</t>
  </si>
  <si>
    <t>Márk</t>
  </si>
  <si>
    <t>Baa</t>
  </si>
  <si>
    <t>Kőrösi Csoma Sándor-Péterfy Sándor Általános Iskola</t>
  </si>
  <si>
    <t xml:space="preserve">Valkai </t>
  </si>
  <si>
    <t>Attila</t>
  </si>
  <si>
    <t xml:space="preserve">Mészáros </t>
  </si>
  <si>
    <t>Márton</t>
  </si>
  <si>
    <t xml:space="preserve">Szőke </t>
  </si>
  <si>
    <t>Szofi</t>
  </si>
  <si>
    <t xml:space="preserve">Sarang </t>
  </si>
  <si>
    <t>Lilla</t>
  </si>
  <si>
    <t xml:space="preserve">Bodó </t>
  </si>
  <si>
    <t>Bella Mária</t>
  </si>
  <si>
    <t>SZABADITS</t>
  </si>
  <si>
    <t>Izabell</t>
  </si>
  <si>
    <t>LÁNG</t>
  </si>
  <si>
    <t>KIS</t>
  </si>
  <si>
    <t>Dorka Kerubin</t>
  </si>
  <si>
    <t>VIDA-WEISZ</t>
  </si>
  <si>
    <t>BODÓ</t>
  </si>
  <si>
    <t>KOBRA</t>
  </si>
  <si>
    <t>GYŐRFI</t>
  </si>
  <si>
    <t>PAPP</t>
  </si>
  <si>
    <t>SZŐCS</t>
  </si>
  <si>
    <t>JOHANCSIK</t>
  </si>
  <si>
    <t>IMRE</t>
  </si>
  <si>
    <t>SIMON</t>
  </si>
  <si>
    <t>AKILI</t>
  </si>
  <si>
    <t>SZITA</t>
  </si>
  <si>
    <t>ASZÓDI</t>
  </si>
  <si>
    <t>MÉSZÁROS</t>
  </si>
  <si>
    <t>BAA</t>
  </si>
  <si>
    <t xml:space="preserve">Lestyán </t>
  </si>
  <si>
    <t>SARANG</t>
  </si>
  <si>
    <t>NAGY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</si>
</sst>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98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84" fillId="0" borderId="0"/>
    <xf numFmtId="164" fontId="2" fillId="0" borderId="0" applyFont="0" applyFill="0" applyBorder="0" applyAlignment="0" applyProtection="0"/>
  </cellStyleXfs>
  <cellXfs count="45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4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3" fillId="2" borderId="0" xfId="0" applyFont="1" applyFill="1"/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69" fillId="6" borderId="7" xfId="0" applyFont="1" applyFill="1" applyBorder="1"/>
    <xf numFmtId="0" fontId="70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7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30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8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9" fillId="6" borderId="0" xfId="0" applyFont="1" applyFill="1" applyAlignment="1">
      <alignment horizontal="center"/>
    </xf>
    <xf numFmtId="0" fontId="0" fillId="6" borderId="5" xfId="0" applyFill="1" applyBorder="1"/>
    <xf numFmtId="0" fontId="69" fillId="8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69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69" fillId="8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8" fillId="8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79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0" fillId="6" borderId="7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2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5" fillId="6" borderId="0" xfId="0" applyFont="1" applyFill="1" applyAlignment="1">
      <alignment horizontal="right" vertical="center"/>
    </xf>
    <xf numFmtId="0" fontId="73" fillId="6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/>
    </xf>
    <xf numFmtId="0" fontId="75" fillId="6" borderId="7" xfId="0" applyFont="1" applyFill="1" applyBorder="1" applyAlignment="1">
      <alignment horizontal="center" vertical="center" shrinkToFit="1"/>
    </xf>
    <xf numFmtId="0" fontId="86" fillId="8" borderId="0" xfId="0" applyFont="1" applyFill="1" applyAlignment="1">
      <alignment horizontal="center"/>
    </xf>
    <xf numFmtId="0" fontId="87" fillId="8" borderId="0" xfId="0" applyFont="1" applyFill="1" applyAlignment="1">
      <alignment horizontal="center"/>
    </xf>
    <xf numFmtId="0" fontId="40" fillId="14" borderId="15" xfId="0" applyFont="1" applyFill="1" applyBorder="1" applyAlignment="1">
      <alignment horizontal="right" vertical="center"/>
    </xf>
    <xf numFmtId="0" fontId="0" fillId="0" borderId="30" xfId="0" applyBorder="1"/>
    <xf numFmtId="0" fontId="0" fillId="2" borderId="26" xfId="0" applyFill="1" applyBorder="1"/>
    <xf numFmtId="0" fontId="73" fillId="3" borderId="0" xfId="0" applyFont="1" applyFill="1" applyAlignment="1">
      <alignment horizontal="center"/>
    </xf>
    <xf numFmtId="0" fontId="73" fillId="4" borderId="0" xfId="0" applyFont="1" applyFill="1" applyAlignment="1">
      <alignment horizontal="center"/>
    </xf>
    <xf numFmtId="0" fontId="73" fillId="9" borderId="0" xfId="0" applyFont="1" applyFill="1" applyAlignment="1">
      <alignment horizontal="center"/>
    </xf>
    <xf numFmtId="0" fontId="48" fillId="14" borderId="0" xfId="0" applyFont="1" applyFill="1" applyAlignment="1">
      <alignment vertical="center"/>
    </xf>
    <xf numFmtId="49" fontId="56" fillId="14" borderId="0" xfId="0" applyNumberFormat="1" applyFont="1" applyFill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8" fillId="0" borderId="5" xfId="0" applyFont="1" applyBorder="1"/>
    <xf numFmtId="0" fontId="89" fillId="0" borderId="5" xfId="0" applyFont="1" applyBorder="1"/>
    <xf numFmtId="0" fontId="84" fillId="0" borderId="0" xfId="3"/>
    <xf numFmtId="0" fontId="83" fillId="0" borderId="5" xfId="3" applyFont="1" applyBorder="1"/>
    <xf numFmtId="0" fontId="84" fillId="0" borderId="5" xfId="3" applyBorder="1"/>
    <xf numFmtId="0" fontId="90" fillId="0" borderId="5" xfId="0" applyFont="1" applyBorder="1"/>
    <xf numFmtId="0" fontId="83" fillId="0" borderId="5" xfId="0" applyFont="1" applyBorder="1"/>
    <xf numFmtId="0" fontId="91" fillId="0" borderId="5" xfId="0" applyFont="1" applyBorder="1" applyAlignment="1">
      <alignment vertical="center"/>
    </xf>
    <xf numFmtId="0" fontId="91" fillId="0" borderId="5" xfId="0" applyFont="1" applyBorder="1" applyAlignment="1">
      <alignment horizontal="left" vertical="center"/>
    </xf>
    <xf numFmtId="0" fontId="91" fillId="0" borderId="5" xfId="0" applyFont="1" applyBorder="1"/>
    <xf numFmtId="0" fontId="88" fillId="0" borderId="5" xfId="0" applyFont="1" applyBorder="1" applyAlignment="1">
      <alignment wrapText="1"/>
    </xf>
    <xf numFmtId="0" fontId="91" fillId="0" borderId="5" xfId="2" applyFont="1" applyBorder="1" applyAlignment="1">
      <alignment vertical="center"/>
    </xf>
    <xf numFmtId="0" fontId="91" fillId="0" borderId="5" xfId="2" applyFont="1" applyBorder="1" applyAlignment="1">
      <alignment horizontal="left" vertical="center"/>
    </xf>
    <xf numFmtId="0" fontId="88" fillId="0" borderId="5" xfId="0" applyFont="1" applyBorder="1" applyAlignment="1">
      <alignment horizontal="left" vertical="top" wrapText="1"/>
    </xf>
    <xf numFmtId="0" fontId="92" fillId="0" borderId="5" xfId="3" applyFont="1" applyBorder="1" applyAlignment="1">
      <alignment vertical="center"/>
    </xf>
    <xf numFmtId="0" fontId="93" fillId="0" borderId="5" xfId="2" applyFont="1" applyBorder="1" applyAlignment="1">
      <alignment wrapText="1"/>
    </xf>
    <xf numFmtId="0" fontId="94" fillId="0" borderId="5" xfId="0" applyFont="1" applyBorder="1" applyAlignment="1">
      <alignment horizontal="justify" vertical="center"/>
    </xf>
    <xf numFmtId="0" fontId="69" fillId="6" borderId="7" xfId="0" applyFont="1" applyFill="1" applyBorder="1" applyAlignment="1">
      <alignment vertical="center"/>
    </xf>
    <xf numFmtId="0" fontId="45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/>
    <xf numFmtId="14" fontId="26" fillId="2" borderId="28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6" borderId="7" xfId="0" applyFill="1" applyBorder="1" applyAlignment="1">
      <alignment horizontal="center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</cellXfs>
  <cellStyles count="5">
    <cellStyle name="Hivatkozás" xfId="1" builtinId="8"/>
    <cellStyle name="Normál" xfId="0" builtinId="0"/>
    <cellStyle name="Normál 2" xfId="2"/>
    <cellStyle name="Normál 3" xfId="3"/>
    <cellStyle name="Pénznem" xfId="4" builtinId="4"/>
  </cellStyles>
  <dxfs count="146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9" name="Picture 13">
          <a:extLst>
            <a:ext uri="{FF2B5EF4-FFF2-40B4-BE49-F238E27FC236}">
              <a16:creationId xmlns:a16="http://schemas.microsoft.com/office/drawing/2014/main" id="{DD390C3B-664D-CD57-CAE5-091613F0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74" name="Picture 1">
          <a:extLst>
            <a:ext uri="{FF2B5EF4-FFF2-40B4-BE49-F238E27FC236}">
              <a16:creationId xmlns:a16="http://schemas.microsoft.com/office/drawing/2014/main" id="{7332B390-B2D0-CDF8-4619-A155D936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598" name="Picture 1">
          <a:extLst>
            <a:ext uri="{FF2B5EF4-FFF2-40B4-BE49-F238E27FC236}">
              <a16:creationId xmlns:a16="http://schemas.microsoft.com/office/drawing/2014/main" id="{0D7BFED5-FF71-9D1C-A8AC-72EBA548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13" name="Picture 3">
          <a:extLst>
            <a:ext uri="{FF2B5EF4-FFF2-40B4-BE49-F238E27FC236}">
              <a16:creationId xmlns:a16="http://schemas.microsoft.com/office/drawing/2014/main" id="{F7EAFC88-BAA0-7A9B-8DE8-93980275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E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E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6" name="Picture 21">
          <a:extLst>
            <a:ext uri="{FF2B5EF4-FFF2-40B4-BE49-F238E27FC236}">
              <a16:creationId xmlns:a16="http://schemas.microsoft.com/office/drawing/2014/main" id="{F8172515-E3BB-A84C-0967-C99CE526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F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37" name="Picture 1">
          <a:extLst>
            <a:ext uri="{FF2B5EF4-FFF2-40B4-BE49-F238E27FC236}">
              <a16:creationId xmlns:a16="http://schemas.microsoft.com/office/drawing/2014/main" id="{8F0A12BC-94B4-6E9D-5B69-806B6466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85" name="Picture 1">
          <a:extLst>
            <a:ext uri="{FF2B5EF4-FFF2-40B4-BE49-F238E27FC236}">
              <a16:creationId xmlns:a16="http://schemas.microsoft.com/office/drawing/2014/main" id="{3E5B6D95-03A8-AB97-F543-DAA35ADA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13" name="Picture 3">
          <a:extLst>
            <a:ext uri="{FF2B5EF4-FFF2-40B4-BE49-F238E27FC236}">
              <a16:creationId xmlns:a16="http://schemas.microsoft.com/office/drawing/2014/main" id="{016A2177-E412-EC3F-FC82-9C9622B9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8" name="Picture 21">
          <a:extLst>
            <a:ext uri="{FF2B5EF4-FFF2-40B4-BE49-F238E27FC236}">
              <a16:creationId xmlns:a16="http://schemas.microsoft.com/office/drawing/2014/main" id="{5136D983-6546-C571-4B3C-2F728977E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13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77" name="Picture 3">
          <a:extLst>
            <a:ext uri="{FF2B5EF4-FFF2-40B4-BE49-F238E27FC236}">
              <a16:creationId xmlns:a16="http://schemas.microsoft.com/office/drawing/2014/main" id="{05394FCF-0C86-C26A-E027-BD627258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6301" name="Picture 1">
          <a:extLst>
            <a:ext uri="{FF2B5EF4-FFF2-40B4-BE49-F238E27FC236}">
              <a16:creationId xmlns:a16="http://schemas.microsoft.com/office/drawing/2014/main" id="{22023217-FD7F-DF36-5946-1D2868A0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42" name="Picture 23">
          <a:extLst>
            <a:ext uri="{FF2B5EF4-FFF2-40B4-BE49-F238E27FC236}">
              <a16:creationId xmlns:a16="http://schemas.microsoft.com/office/drawing/2014/main" id="{73A099A3-EF05-24ED-95A9-B0E6DA40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9813" name="Picture 1">
          <a:extLst>
            <a:ext uri="{FF2B5EF4-FFF2-40B4-BE49-F238E27FC236}">
              <a16:creationId xmlns:a16="http://schemas.microsoft.com/office/drawing/2014/main" id="{50C1E09D-8D22-14DD-209B-28C4046F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49" name="Picture 1">
          <a:extLst>
            <a:ext uri="{FF2B5EF4-FFF2-40B4-BE49-F238E27FC236}">
              <a16:creationId xmlns:a16="http://schemas.microsoft.com/office/drawing/2014/main" id="{01680282-B9F7-20C2-F47E-92E1DADB3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73" name="Picture 1">
          <a:extLst>
            <a:ext uri="{FF2B5EF4-FFF2-40B4-BE49-F238E27FC236}">
              <a16:creationId xmlns:a16="http://schemas.microsoft.com/office/drawing/2014/main" id="{A7F52CB5-76B6-10AE-4450-A872AA8C6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12" name="Picture 3">
          <a:extLst>
            <a:ext uri="{FF2B5EF4-FFF2-40B4-BE49-F238E27FC236}">
              <a16:creationId xmlns:a16="http://schemas.microsoft.com/office/drawing/2014/main" id="{6209A365-2BEC-535E-7EFC-0DC9CA35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00000000-0008-0000-1A00-000001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00000000-0008-0000-1A00-000002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30" name="Picture 21">
          <a:extLst>
            <a:ext uri="{FF2B5EF4-FFF2-40B4-BE49-F238E27FC236}">
              <a16:creationId xmlns:a16="http://schemas.microsoft.com/office/drawing/2014/main" id="{CEFDB05A-C603-6D46-F275-378C62F6F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68" name="Picture 1">
          <a:extLst>
            <a:ext uri="{FF2B5EF4-FFF2-40B4-BE49-F238E27FC236}">
              <a16:creationId xmlns:a16="http://schemas.microsoft.com/office/drawing/2014/main" id="{AAFFDCD0-3F26-C4D3-1D45-7344E6AB2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17" name="Picture 1">
          <a:extLst>
            <a:ext uri="{FF2B5EF4-FFF2-40B4-BE49-F238E27FC236}">
              <a16:creationId xmlns:a16="http://schemas.microsoft.com/office/drawing/2014/main" id="{4E00F5DD-BB24-45C0-FD7E-8A0D1554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46" name="Picture 3">
          <a:extLst>
            <a:ext uri="{FF2B5EF4-FFF2-40B4-BE49-F238E27FC236}">
              <a16:creationId xmlns:a16="http://schemas.microsoft.com/office/drawing/2014/main" id="{948E9EF6-72CA-44FB-5E1D-C5F30F99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9" name="Picture 21">
          <a:extLst>
            <a:ext uri="{FF2B5EF4-FFF2-40B4-BE49-F238E27FC236}">
              <a16:creationId xmlns:a16="http://schemas.microsoft.com/office/drawing/2014/main" id="{1D7FA066-2434-2C10-340B-467C8D64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8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02" name="Picture 3">
          <a:extLst>
            <a:ext uri="{FF2B5EF4-FFF2-40B4-BE49-F238E27FC236}">
              <a16:creationId xmlns:a16="http://schemas.microsoft.com/office/drawing/2014/main" id="{E59D6DE4-CA9E-21F6-B44B-DE421460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7769" name="Picture 1">
          <a:extLst>
            <a:ext uri="{FF2B5EF4-FFF2-40B4-BE49-F238E27FC236}">
              <a16:creationId xmlns:a16="http://schemas.microsoft.com/office/drawing/2014/main" id="{D84E994F-EE70-F20A-4A78-DDA65BF8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3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4.xml"/><Relationship Id="rId4" Type="http://schemas.openxmlformats.org/officeDocument/2006/relationships/ctrlProp" Target="../ctrlProps/ctrlProp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5.xml"/><Relationship Id="rId4" Type="http://schemas.openxmlformats.org/officeDocument/2006/relationships/ctrlProp" Target="../ctrlProps/ctrlProp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6" Type="http://schemas.openxmlformats.org/officeDocument/2006/relationships/comments" Target="../comments6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tabSelected="1" workbookViewId="0">
      <selection activeCell="I2" sqref="I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70" t="s">
        <v>101</v>
      </c>
      <c r="B1" s="3"/>
      <c r="C1" s="3"/>
      <c r="D1" s="171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6" t="s">
        <v>19</v>
      </c>
      <c r="B5" s="21"/>
      <c r="C5" s="21"/>
      <c r="D5" s="21"/>
      <c r="E5" s="371"/>
      <c r="F5" s="22"/>
      <c r="G5" s="23"/>
    </row>
    <row r="6" spans="1:7" s="2" customFormat="1" ht="24.6" x14ac:dyDescent="0.25">
      <c r="A6" s="413" t="s">
        <v>119</v>
      </c>
      <c r="B6" s="372"/>
      <c r="C6" s="24"/>
      <c r="D6" s="25"/>
      <c r="E6" s="26"/>
      <c r="F6" s="5"/>
      <c r="G6" s="5"/>
    </row>
    <row r="7" spans="1:7" s="18" customFormat="1" ht="15" customHeight="1" x14ac:dyDescent="0.25">
      <c r="A7" s="197" t="s">
        <v>102</v>
      </c>
      <c r="B7" s="197" t="s">
        <v>103</v>
      </c>
      <c r="C7" s="197" t="s">
        <v>104</v>
      </c>
      <c r="D7" s="197" t="s">
        <v>105</v>
      </c>
      <c r="E7" s="197" t="s">
        <v>106</v>
      </c>
      <c r="F7" s="22"/>
      <c r="G7" s="23"/>
    </row>
    <row r="8" spans="1:7" s="2" customFormat="1" ht="16.5" customHeight="1" x14ac:dyDescent="0.25">
      <c r="A8" s="219" t="s">
        <v>125</v>
      </c>
      <c r="B8" s="219" t="s">
        <v>126</v>
      </c>
      <c r="C8" s="219" t="s">
        <v>127</v>
      </c>
      <c r="D8" s="219" t="s">
        <v>128</v>
      </c>
      <c r="E8" s="219"/>
      <c r="F8" s="5"/>
      <c r="G8" s="5"/>
    </row>
    <row r="9" spans="1:7" s="2" customFormat="1" ht="15" customHeight="1" x14ac:dyDescent="0.25">
      <c r="A9" s="196" t="s">
        <v>20</v>
      </c>
      <c r="B9" s="21"/>
      <c r="C9" s="197" t="s">
        <v>21</v>
      </c>
      <c r="D9" s="197"/>
      <c r="E9" s="198" t="s">
        <v>22</v>
      </c>
      <c r="F9" s="5"/>
      <c r="G9" s="5"/>
    </row>
    <row r="10" spans="1:7" s="2" customFormat="1" x14ac:dyDescent="0.25">
      <c r="A10" s="29" t="s">
        <v>121</v>
      </c>
      <c r="B10" s="30"/>
      <c r="C10" s="31" t="s">
        <v>122</v>
      </c>
      <c r="D10" s="197" t="s">
        <v>63</v>
      </c>
      <c r="E10" s="356" t="s">
        <v>120</v>
      </c>
      <c r="F10" s="5"/>
      <c r="G10" s="5"/>
    </row>
    <row r="11" spans="1:7" x14ac:dyDescent="0.25">
      <c r="A11" s="20"/>
      <c r="B11" s="21"/>
      <c r="C11" s="213" t="s">
        <v>61</v>
      </c>
      <c r="D11" s="213" t="s">
        <v>98</v>
      </c>
      <c r="E11" s="213" t="s">
        <v>99</v>
      </c>
      <c r="F11" s="33"/>
      <c r="G11" s="33"/>
    </row>
    <row r="12" spans="1:7" s="2" customFormat="1" x14ac:dyDescent="0.25">
      <c r="A12" s="172"/>
      <c r="B12" s="5"/>
      <c r="C12" s="220"/>
      <c r="D12" s="220" t="s">
        <v>124</v>
      </c>
      <c r="E12" s="220" t="s">
        <v>123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51"/>
      <c r="C17" s="17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indexed="11"/>
  </sheetPr>
  <dimension ref="A1:AK47"/>
  <sheetViews>
    <sheetView workbookViewId="0">
      <selection activeCell="N14" sqref="N1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4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4" t="str">
        <f>UPPER(IF($B7="","",VLOOKUP($B7,'Lány 2 kcs. B ELO'!$A$7:$O$22,2)))</f>
        <v xml:space="preserve">HARMATHA-KOMÁROMI </v>
      </c>
      <c r="F7" s="297"/>
      <c r="G7" s="294" t="str">
        <f>IF($B7="","",VLOOKUP($B7,'Lány 2 kcs. B ELO'!$A$7:$O$22,3))</f>
        <v>Abigél</v>
      </c>
      <c r="H7" s="297"/>
      <c r="I7" s="294" t="str">
        <f>IF($B7="","",VLOOKUP($B7,'Lány 2 kcs. B ELO'!$A$7:$O$22,4))</f>
        <v>Koch V. - Pécs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13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 xml:space="preserve">TORMA </v>
      </c>
      <c r="F9" s="299"/>
      <c r="G9" s="293" t="str">
        <f>IF($B9="","",VLOOKUP($B9,'Lány 2 kcs. B ELO'!$A$7:$O$22,3))</f>
        <v>Tamara</v>
      </c>
      <c r="H9" s="299"/>
      <c r="I9" s="293" t="str">
        <f>IF($B9="","",VLOOKUP($B9,'Lány 2 kcs. B ELO'!$A$7:$O$22,4))</f>
        <v>Balatonlelle-Karádi Általános Iskola és Alapfokú Művészeti Iskola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8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CSUBA </v>
      </c>
      <c r="F11" s="299"/>
      <c r="G11" s="293" t="str">
        <f>IF($B11="","",VLOOKUP($B11,'Lány 2 kcs. B ELO'!$A$7:$O$22,3))</f>
        <v>Flóra Júlia</v>
      </c>
      <c r="H11" s="299"/>
      <c r="I11" s="293" t="str">
        <f>IF($B11="","",VLOOKUP($B11,'Lány 2 kcs. B ELO'!$A$7:$O$22,4))</f>
        <v>Városligeti Magyar-Angol Két Tanítási Nyelvű Általános Iskola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10</v>
      </c>
      <c r="C13" s="298">
        <f>IF($B13="","",VLOOKUP($B13,'Lány 2 kcs. B ELO'!$A$7:$O$22,5))</f>
        <v>0</v>
      </c>
      <c r="D13" s="298">
        <f>IF($B13="","",VLOOKUP($B13,'Lány 2 kcs. B ELO'!$A$7:$O$22,15))</f>
        <v>0</v>
      </c>
      <c r="E13" s="294" t="str">
        <f>UPPER(IF($B13="","",VLOOKUP($B13,'Lány 2 kcs. B ELO'!$A$7:$O$22,2)))</f>
        <v>FREIIN VON KETTELER</v>
      </c>
      <c r="F13" s="297"/>
      <c r="G13" s="294" t="str">
        <f>IF($B13="","",VLOOKUP($B13,'Lány 2 kcs. B ELO'!$A$7:$O$22,3))</f>
        <v>Victoria Luise</v>
      </c>
      <c r="H13" s="297"/>
      <c r="I13" s="294" t="str">
        <f>IF($B13="","",VLOOKUP($B13,'Lány 2 kcs. B ELO'!$A$7:$O$22,4))</f>
        <v>Db., Nemzetközi I.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20</v>
      </c>
      <c r="C15" s="298">
        <f>IF($B15="","",VLOOKUP($B15,'Lány 2 kcs. B ELO'!$A$7:$O$22,5))</f>
        <v>0</v>
      </c>
      <c r="D15" s="298">
        <f>IF($B15="","",VLOOKUP($B15,'Lány 2 kcs. B ELO'!$A$7:$O$22,15))</f>
        <v>0</v>
      </c>
      <c r="E15" s="432" t="s">
        <v>322</v>
      </c>
      <c r="F15" s="299"/>
      <c r="G15" s="432" t="s">
        <v>299</v>
      </c>
      <c r="H15" s="299"/>
      <c r="I15" s="293">
        <f>IF($B15="","",VLOOKUP($B15,'Lány 2 kcs. B ELO'!$A$7:$O$22,4))</f>
        <v>0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6</v>
      </c>
      <c r="C17" s="298">
        <f>IF($B17="","",VLOOKUP($B17,'Lány 2 kcs. B ELO'!$A$7:$O$22,5))</f>
        <v>0</v>
      </c>
      <c r="D17" s="298">
        <f>IF($B17="","",VLOOKUP($B17,'Lány 2 kcs. B ELO'!$A$7:$O$22,15))</f>
        <v>0</v>
      </c>
      <c r="E17" s="293" t="str">
        <f>UPPER(IF($B17="","",VLOOKUP($B17,'Lány 2 kcs. B ELO'!$A$7:$O$22,2)))</f>
        <v xml:space="preserve">BABIK </v>
      </c>
      <c r="F17" s="299"/>
      <c r="G17" s="293" t="str">
        <f>IF($B17="","",VLOOKUP($B17,'Lány 2 kcs. B ELO'!$A$7:$O$22,3))</f>
        <v>Bernadett</v>
      </c>
      <c r="H17" s="299"/>
      <c r="I17" s="293" t="str">
        <f>IF($B17="","",VLOOKUP($B17,'Lány 2 kcs. B ELO'!$A$7:$O$22,4))</f>
        <v>Kazincbarcikai Pollack Mihály Általános Iskola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 xml:space="preserve">HARMATHA-KOMÁROMI </v>
      </c>
      <c r="E22" s="439"/>
      <c r="F22" s="439" t="str">
        <f>E9</f>
        <v xml:space="preserve">TORMA </v>
      </c>
      <c r="G22" s="439"/>
      <c r="H22" s="439" t="str">
        <f>E11</f>
        <v xml:space="preserve">CSUBA 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 xml:space="preserve">HARMATHA-KOMÁROMI 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 xml:space="preserve">TORMA 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 xml:space="preserve">CSUBA 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>FREIIN VON KETTELER</v>
      </c>
      <c r="E27" s="439"/>
      <c r="F27" s="439" t="str">
        <f>E15</f>
        <v>SARANG</v>
      </c>
      <c r="G27" s="439"/>
      <c r="H27" s="439" t="str">
        <f>E17</f>
        <v xml:space="preserve">BABIK </v>
      </c>
      <c r="I27" s="439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>FREIIN VON KETTELER</v>
      </c>
      <c r="C28" s="441"/>
      <c r="D28" s="442"/>
      <c r="E28" s="442"/>
      <c r="F28" s="443"/>
      <c r="G28" s="443"/>
      <c r="H28" s="443"/>
      <c r="I28" s="44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41" t="str">
        <f>E15</f>
        <v>SARANG</v>
      </c>
      <c r="C29" s="441"/>
      <c r="D29" s="443"/>
      <c r="E29" s="443"/>
      <c r="F29" s="442"/>
      <c r="G29" s="442"/>
      <c r="H29" s="443"/>
      <c r="I29" s="44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41" t="str">
        <f>E17</f>
        <v xml:space="preserve">BABIK </v>
      </c>
      <c r="C30" s="441"/>
      <c r="D30" s="443"/>
      <c r="E30" s="443"/>
      <c r="F30" s="443"/>
      <c r="G30" s="443"/>
      <c r="H30" s="442"/>
      <c r="I30" s="442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4" t="str">
        <f>IF(D40&gt;$R$47,,UPPER(VLOOKUP(D40,'Lány 2 kcs. B ELO'!$A$7:$Q$134,2)))</f>
        <v>KOVÁCS</v>
      </c>
      <c r="F40" s="44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5" t="str">
        <f>IF(D41&gt;$R$47,,UPPER(VLOOKUP(D41,'Lány 2 kcs. B ELO'!$A$7:$Q$134,2)))</f>
        <v xml:space="preserve">KISS </v>
      </c>
      <c r="F41" s="445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2 kcs. B ELO'!Q5)</f>
        <v>4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90" priority="1" stopIfTrue="1" operator="equal">
      <formula>"Bye"</formula>
    </cfRule>
  </conditionalFormatting>
  <conditionalFormatting sqref="R47">
    <cfRule type="expression" dxfId="8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indexed="11"/>
  </sheetPr>
  <dimension ref="A1:AK49"/>
  <sheetViews>
    <sheetView workbookViewId="0">
      <selection activeCell="Q19" sqref="Q1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12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4" t="str">
        <f>UPPER(IF($B7="","",VLOOKUP($B7,'Lány 2 kcs. B ELO'!$A$7:$O$22,2)))</f>
        <v xml:space="preserve">HOVANECZ </v>
      </c>
      <c r="F7" s="297"/>
      <c r="G7" s="294" t="str">
        <f>IF($B7="","",VLOOKUP($B7,'Lány 2 kcs. B ELO'!$A$7:$O$22,3))</f>
        <v>Hanna Nóra</v>
      </c>
      <c r="H7" s="297"/>
      <c r="I7" s="294">
        <f>IF($B7="","",VLOOKUP($B7,'Lány 2 kcs. B ELO'!$A$7:$O$22,4))</f>
        <v>0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110</v>
      </c>
      <c r="S7" s="404" t="s">
        <v>112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111</v>
      </c>
      <c r="S8" s="405" t="s">
        <v>113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>KOVÁCS</v>
      </c>
      <c r="F9" s="299"/>
      <c r="G9" s="293" t="str">
        <f>IF($B9="","",VLOOKUP($B9,'Lány 2 kcs. B ELO'!$A$7:$O$22,3))</f>
        <v>Léna</v>
      </c>
      <c r="H9" s="299"/>
      <c r="I9" s="293" t="str">
        <f>IF($B9="","",VLOOKUP($B9,'Lány 2 kcs. B ELO'!$A$7:$O$22,4))</f>
        <v xml:space="preserve"> Petőfi Sándor Katolikus Általános Iskola és Óvoda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87</v>
      </c>
      <c r="S9" s="406" t="s">
        <v>114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15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KOHÁN </v>
      </c>
      <c r="F11" s="299"/>
      <c r="G11" s="293" t="str">
        <f>IF($B11="","",VLOOKUP($B11,'Lány 2 kcs. B ELO'!$A$7:$O$22,3))</f>
        <v>Tekla</v>
      </c>
      <c r="H11" s="299"/>
      <c r="I11" s="293" t="str">
        <f>IF($B11="","",VLOOKUP($B11,'Lány 2 kcs. B ELO'!$A$7:$O$22,4))</f>
        <v>Nyíregyházi Arany János Gimnázium, Általános Iskola és Kollégium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14</v>
      </c>
      <c r="C13" s="298">
        <f>IF($B13="","",VLOOKUP($B13,'Lány 2 kcs. B ELO'!$A$7:$O$22,5))</f>
        <v>0</v>
      </c>
      <c r="D13" s="298">
        <f>IF($B13="","",VLOOKUP($B13,'Lány 2 kcs. B ELO'!$A$7:$O$22,15))</f>
        <v>0</v>
      </c>
      <c r="E13" s="294" t="str">
        <f>UPPER(IF($B13="","",VLOOKUP($B13,'Lány 2 kcs. B ELO'!$A$7:$O$22,2)))</f>
        <v xml:space="preserve">KÖNNYID-KOVÁCS </v>
      </c>
      <c r="F13" s="297"/>
      <c r="G13" s="294" t="str">
        <f>IF($B13="","",VLOOKUP($B13,'Lány 2 kcs. B ELO'!$A$7:$O$22,3))</f>
        <v>Judit</v>
      </c>
      <c r="H13" s="297"/>
      <c r="I13" s="294" t="str">
        <f>IF($B13="","",VLOOKUP($B13,'Lány 2 kcs. B ELO'!$A$7:$O$22,4))</f>
        <v>Balatonlelle-Karádi Általános Iskola és Alapfokú Művészeti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17</v>
      </c>
      <c r="C15" s="298">
        <f>IF($B15="","",VLOOKUP($B15,'Lány 2 kcs. B ELO'!$A$7:$O$22,5))</f>
        <v>0</v>
      </c>
      <c r="D15" s="298">
        <f>IF($B15="","",VLOOKUP($B15,'Lány 2 kcs. B ELO'!$A$7:$O$22,15))</f>
        <v>0</v>
      </c>
      <c r="E15" s="432" t="s">
        <v>323</v>
      </c>
      <c r="F15" s="299"/>
      <c r="G15" s="432" t="s">
        <v>177</v>
      </c>
      <c r="H15" s="299"/>
      <c r="I15" s="293">
        <f>IF($B15="","",VLOOKUP($B15,'Lány 2 kcs. B ELO'!$A$7:$O$22,4))</f>
        <v>0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3</v>
      </c>
      <c r="C17" s="298">
        <f>IF($B17="","",VLOOKUP($B17,'Lány 2 kcs. B ELO'!$A$7:$O$22,5))</f>
        <v>0</v>
      </c>
      <c r="D17" s="298">
        <f>IF($B17="","",VLOOKUP($B17,'Lány 2 kcs. B ELO'!$A$7:$O$22,15))</f>
        <v>0</v>
      </c>
      <c r="E17" s="293" t="str">
        <f>UPPER(IF($B17="","",VLOOKUP($B17,'Lány 2 kcs. B ELO'!$A$7:$O$22,2)))</f>
        <v xml:space="preserve">KOTTÁSZ </v>
      </c>
      <c r="F17" s="299"/>
      <c r="G17" s="293" t="str">
        <f>IF($B17="","",VLOOKUP($B17,'Lány 2 kcs. B ELO'!$A$7:$O$22,3))</f>
        <v>Dalma</v>
      </c>
      <c r="H17" s="299"/>
      <c r="I17" s="293" t="str">
        <f>IF($B17="","",VLOOKUP($B17,'Lány 2 kcs. B ELO'!$A$7:$O$22,4))</f>
        <v>PTE II.Gyakorló - Pécs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04" t="s">
        <v>73</v>
      </c>
      <c r="B19" s="350"/>
      <c r="C19" s="298" t="str">
        <f>IF($B19="","",VLOOKUP($B19,'Lány 2 kcs. B ELO'!$A$7:$O$22,5))</f>
        <v/>
      </c>
      <c r="D19" s="298" t="str">
        <f>IF($B19="","",VLOOKUP($B19,'Lány 2 kcs. B ELO'!$A$7:$O$22,15))</f>
        <v/>
      </c>
      <c r="E19" s="293" t="str">
        <f>UPPER(IF($B19="","",VLOOKUP($B19,'Lány 2 kcs. B ELO'!$A$7:$O$22,2)))</f>
        <v/>
      </c>
      <c r="F19" s="299"/>
      <c r="G19" s="293" t="str">
        <f>IF($B19="","",VLOOKUP($B19,'Lány 2 kcs. B ELO'!$A$7:$O$22,3))</f>
        <v/>
      </c>
      <c r="H19" s="299"/>
      <c r="I19" s="293" t="str">
        <f>IF($B19="","",VLOOKUP($B19,'Lány 2 kcs. B ELO'!$A$7:$O$22,4))</f>
        <v/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 xml:space="preserve">HOVANECZ </v>
      </c>
      <c r="E22" s="439"/>
      <c r="F22" s="439" t="str">
        <f>E9</f>
        <v>KOVÁCS</v>
      </c>
      <c r="G22" s="439"/>
      <c r="H22" s="439" t="str">
        <f>E11</f>
        <v xml:space="preserve">KOHÁN 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 xml:space="preserve">HOVANECZ 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>KOVÁCS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 xml:space="preserve">KOHÁN 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 xml:space="preserve">KÖNNYID-KOVÁCS </v>
      </c>
      <c r="E27" s="439"/>
      <c r="F27" s="439" t="str">
        <f>E15</f>
        <v>NAGY</v>
      </c>
      <c r="G27" s="439"/>
      <c r="H27" s="439" t="str">
        <f>E17</f>
        <v xml:space="preserve">KOTTÁSZ </v>
      </c>
      <c r="I27" s="439"/>
      <c r="J27" s="439" t="str">
        <f>E19</f>
        <v/>
      </c>
      <c r="K27" s="439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 xml:space="preserve">KÖNNYID-KOVÁCS </v>
      </c>
      <c r="C28" s="441"/>
      <c r="D28" s="442"/>
      <c r="E28" s="442"/>
      <c r="F28" s="443"/>
      <c r="G28" s="443"/>
      <c r="H28" s="443"/>
      <c r="I28" s="443"/>
      <c r="J28" s="439"/>
      <c r="K28" s="439"/>
      <c r="L28" s="274"/>
      <c r="M28" s="337"/>
    </row>
    <row r="29" spans="1:37" ht="18.75" customHeight="1" x14ac:dyDescent="0.25">
      <c r="A29" s="334" t="s">
        <v>72</v>
      </c>
      <c r="B29" s="441" t="str">
        <f>E15</f>
        <v>NAGY</v>
      </c>
      <c r="C29" s="441"/>
      <c r="D29" s="443"/>
      <c r="E29" s="443"/>
      <c r="F29" s="442"/>
      <c r="G29" s="442"/>
      <c r="H29" s="443"/>
      <c r="I29" s="443"/>
      <c r="J29" s="443"/>
      <c r="K29" s="443"/>
      <c r="L29" s="274"/>
      <c r="M29" s="337"/>
    </row>
    <row r="30" spans="1:37" ht="18.75" customHeight="1" x14ac:dyDescent="0.25">
      <c r="A30" s="334" t="s">
        <v>73</v>
      </c>
      <c r="B30" s="441" t="str">
        <f>E17</f>
        <v xml:space="preserve">KOTTÁSZ </v>
      </c>
      <c r="C30" s="441"/>
      <c r="D30" s="443"/>
      <c r="E30" s="443"/>
      <c r="F30" s="443"/>
      <c r="G30" s="443"/>
      <c r="H30" s="442"/>
      <c r="I30" s="442"/>
      <c r="J30" s="443"/>
      <c r="K30" s="443"/>
      <c r="L30" s="274"/>
      <c r="M30" s="337"/>
    </row>
    <row r="31" spans="1:37" ht="18.75" customHeight="1" x14ac:dyDescent="0.25">
      <c r="A31" s="334" t="s">
        <v>77</v>
      </c>
      <c r="B31" s="441" t="str">
        <f>E19</f>
        <v/>
      </c>
      <c r="C31" s="441"/>
      <c r="D31" s="443"/>
      <c r="E31" s="443"/>
      <c r="F31" s="443"/>
      <c r="G31" s="443"/>
      <c r="H31" s="439"/>
      <c r="I31" s="439"/>
      <c r="J31" s="442"/>
      <c r="K31" s="442"/>
      <c r="L31" s="274"/>
      <c r="M31" s="337"/>
    </row>
    <row r="32" spans="1:37" ht="18.75" customHeight="1" x14ac:dyDescent="0.25">
      <c r="A32" s="339"/>
      <c r="B32" s="340"/>
      <c r="C32" s="340"/>
      <c r="D32" s="339"/>
      <c r="E32" s="339"/>
      <c r="F32" s="339"/>
      <c r="G32" s="339"/>
      <c r="H32" s="339"/>
      <c r="I32" s="339"/>
      <c r="J32" s="274"/>
      <c r="K32" s="274"/>
      <c r="L32" s="274"/>
      <c r="M32" s="341"/>
    </row>
    <row r="33" spans="1:18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8" x14ac:dyDescent="0.25">
      <c r="A34" s="274" t="s">
        <v>58</v>
      </c>
      <c r="B34" s="274"/>
      <c r="C34" s="446" t="str">
        <f>IF(M23=1,B23,IF(M24=1,B24,IF(M25=1,B25,"")))</f>
        <v/>
      </c>
      <c r="D34" s="446"/>
      <c r="E34" s="304" t="s">
        <v>75</v>
      </c>
      <c r="F34" s="446" t="str">
        <f>IF(M28=1,B28,IF(M29=1,B29,IF(M30=1,B30,IF(M31=1,B31,""))))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46" t="str">
        <f>IF(M23=2,B23,IF(M24=2,B24,IF(M25=2,B25,"")))</f>
        <v/>
      </c>
      <c r="D36" s="446"/>
      <c r="E36" s="304" t="s">
        <v>75</v>
      </c>
      <c r="F36" s="446" t="str">
        <f>IF(M28=2,B28,IF(M29=2,B29,IF(M30=2,B30,IF(M31=2,B31,""))))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46" t="str">
        <f>IF(M23=3,B23,IF(M24=3,B24,IF(M25=3,B25,"")))</f>
        <v/>
      </c>
      <c r="D38" s="446"/>
      <c r="E38" s="304" t="s">
        <v>75</v>
      </c>
      <c r="F38" s="446" t="str">
        <f>IF(M28=3,B28,IF(M29=3,B29,IF(M30=3,B30,IF(M31=3,B31,""))))</f>
        <v/>
      </c>
      <c r="G38" s="446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44" t="str">
        <f>IF(D42&gt;$R$44,,UPPER(VLOOKUP(D42,'Lány 2 kcs. B ELO'!$A$7:$Q$134,2)))</f>
        <v>KOVÁCS</v>
      </c>
      <c r="F42" s="444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45" t="str">
        <f>IF(D43&gt;$R$44,,UPPER(VLOOKUP(D43,'Lány 2 kcs. B ELO'!$A$7:$Q$134,2)))</f>
        <v xml:space="preserve">KISS </v>
      </c>
      <c r="F43" s="445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MIN(4,'Lány 2 kcs. B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 E19">
    <cfRule type="cellIs" dxfId="88" priority="1" stopIfTrue="1" operator="equal">
      <formula>"Bye"</formula>
    </cfRule>
  </conditionalFormatting>
  <conditionalFormatting sqref="R44 R49">
    <cfRule type="expression" dxfId="8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7">
    <tabColor indexed="11"/>
  </sheetPr>
  <dimension ref="A1:AS140"/>
  <sheetViews>
    <sheetView workbookViewId="0">
      <selection activeCell="E7" sqref="E7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0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63" t="e">
        <f>IF($Y$5=1,CONCATENATE(VLOOKUP($Y$3,$AA$2:$AH$14,2)),CONCATENATE(VLOOKUP($Y$3,$AA$16:$AH$25,2)))</f>
        <v>#N/A</v>
      </c>
      <c r="AC1" s="363" t="e">
        <f>IF($Y$5=1,CONCATENATE(VLOOKUP($Y$3,$AA$2:$AH$14,3)),CONCATENATE(VLOOKUP($Y$3,$AA$16:$AH$25,3)))</f>
        <v>#N/A</v>
      </c>
      <c r="AD1" s="363" t="e">
        <f>IF($Y$5=1,CONCATENATE(VLOOKUP($Y$3,$AA$2:$AH$14,4)),CONCATENATE(VLOOKUP($Y$3,$AA$16:$AH$25,4)))</f>
        <v>#N/A</v>
      </c>
      <c r="AE1" s="363" t="e">
        <f>IF($Y$5=1,CONCATENATE(VLOOKUP($Y$3,$AA$2:$AH$14,5)),CONCATENATE(VLOOKUP($Y$3,$AA$16:$AH$25,5)))</f>
        <v>#N/A</v>
      </c>
      <c r="AF1" s="363" t="e">
        <f>IF($Y$5=1,CONCATENATE(VLOOKUP($Y$3,$AA$2:$AH$14,6)),CONCATENATE(VLOOKUP($Y$3,$AA$16:$AH$25,6)))</f>
        <v>#N/A</v>
      </c>
      <c r="AG1" s="363" t="e">
        <f>IF($Y$5=1,CONCATENATE(VLOOKUP($Y$3,$AA$2:$AH$14,7)),CONCATENATE(VLOOKUP($Y$3,$AA$16:$AH$25,7)))</f>
        <v>#N/A</v>
      </c>
      <c r="AH1" s="363" t="e">
        <f>IF($Y$5=1,CONCATENATE(VLOOKUP($Y$3,$AA$2:$AH$14,8)),CONCATENATE(VLOOKUP($Y$3,$AA$16:$AH$25,8)))</f>
        <v>#N/A</v>
      </c>
      <c r="AI1" s="367"/>
      <c r="AJ1" s="367"/>
      <c r="AK1" s="367"/>
    </row>
    <row r="2" spans="1:45" s="96" customFormat="1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3"/>
      <c r="Z2" s="352"/>
      <c r="AA2" s="352" t="s">
        <v>64</v>
      </c>
      <c r="AB2" s="343">
        <v>300</v>
      </c>
      <c r="AC2" s="343">
        <v>250</v>
      </c>
      <c r="AD2" s="343">
        <v>200</v>
      </c>
      <c r="AE2" s="343">
        <v>150</v>
      </c>
      <c r="AF2" s="343">
        <v>120</v>
      </c>
      <c r="AG2" s="343">
        <v>90</v>
      </c>
      <c r="AH2" s="343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52" t="str">
        <f>IF(K4="OB","A",IF(K4="IX","W",IF(K4="","",K4)))</f>
        <v/>
      </c>
      <c r="Z3" s="352"/>
      <c r="AA3" s="352" t="s">
        <v>65</v>
      </c>
      <c r="AB3" s="343">
        <v>280</v>
      </c>
      <c r="AC3" s="343">
        <v>230</v>
      </c>
      <c r="AD3" s="343">
        <v>180</v>
      </c>
      <c r="AE3" s="343">
        <v>140</v>
      </c>
      <c r="AF3" s="343">
        <v>80</v>
      </c>
      <c r="AG3" s="343">
        <v>0</v>
      </c>
      <c r="AH3" s="343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37" t="str">
        <f>Altalanos!$A$10</f>
        <v>2025.05.26-06-01.</v>
      </c>
      <c r="B4" s="437"/>
      <c r="C4" s="437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52"/>
      <c r="Z4" s="352"/>
      <c r="AA4" s="352" t="s">
        <v>88</v>
      </c>
      <c r="AB4" s="343">
        <v>250</v>
      </c>
      <c r="AC4" s="343">
        <v>200</v>
      </c>
      <c r="AD4" s="343">
        <v>150</v>
      </c>
      <c r="AE4" s="343">
        <v>120</v>
      </c>
      <c r="AF4" s="343">
        <v>90</v>
      </c>
      <c r="AG4" s="343">
        <v>60</v>
      </c>
      <c r="AH4" s="343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52">
        <f>IF(OR(Altalanos!$A$8="F1",Altalanos!$A$8="F2",Altalanos!$A$8="N1",Altalanos!$A$8="N2"),1,2)</f>
        <v>2</v>
      </c>
      <c r="Z5" s="352"/>
      <c r="AA5" s="352" t="s">
        <v>89</v>
      </c>
      <c r="AB5" s="343">
        <v>200</v>
      </c>
      <c r="AC5" s="343">
        <v>150</v>
      </c>
      <c r="AD5" s="343">
        <v>120</v>
      </c>
      <c r="AE5" s="343">
        <v>90</v>
      </c>
      <c r="AF5" s="343">
        <v>60</v>
      </c>
      <c r="AG5" s="343">
        <v>40</v>
      </c>
      <c r="AH5" s="343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7"/>
      <c r="B6" s="358"/>
      <c r="C6" s="358"/>
      <c r="D6" s="358"/>
      <c r="E6" s="358"/>
      <c r="F6" s="357" t="str">
        <f>IF(Y3="","",CONCATENATE(VLOOKUP(Y3,AB1:AH1,4)," pont"))</f>
        <v/>
      </c>
      <c r="G6" s="359"/>
      <c r="H6" s="5"/>
      <c r="I6" s="359"/>
      <c r="J6" s="360"/>
      <c r="K6" s="358" t="str">
        <f>IF(Y3="","",CONCATENATE(VLOOKUP(Y3,AB1:AH1,3)," pont"))</f>
        <v/>
      </c>
      <c r="L6" s="360"/>
      <c r="M6" s="358" t="str">
        <f>IF(Y3="","",CONCATENATE(VLOOKUP(Y3,AB1:AH1,2)," pont"))</f>
        <v/>
      </c>
      <c r="N6" s="360"/>
      <c r="O6" s="358" t="str">
        <f>IF(Y3="","",CONCATENATE(VLOOKUP(Y3,AB1:AH1,1)," pont"))</f>
        <v/>
      </c>
      <c r="P6" s="360"/>
      <c r="Q6" s="358"/>
      <c r="R6" s="361"/>
      <c r="T6" s="269"/>
      <c r="U6" s="269"/>
      <c r="V6" s="269"/>
      <c r="W6" s="269"/>
      <c r="X6" s="269"/>
      <c r="Y6" s="352"/>
      <c r="Z6" s="352"/>
      <c r="AA6" s="352" t="s">
        <v>90</v>
      </c>
      <c r="AB6" s="343">
        <v>150</v>
      </c>
      <c r="AC6" s="343">
        <v>120</v>
      </c>
      <c r="AD6" s="343">
        <v>90</v>
      </c>
      <c r="AE6" s="343">
        <v>60</v>
      </c>
      <c r="AF6" s="343">
        <v>40</v>
      </c>
      <c r="AG6" s="343">
        <v>25</v>
      </c>
      <c r="AH6" s="343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IF($E7="","",VLOOKUP($E7,'Lány 2 kcs. B ELO'!$A$7:$O$22,14))</f>
        <v/>
      </c>
      <c r="C7" s="242" t="str">
        <f>IF($E7="","",VLOOKUP($E7,'Lány 2 kcs. B ELO'!$A$7:$O$22,15))</f>
        <v/>
      </c>
      <c r="D7" s="242" t="str">
        <f>IF($E7="","",VLOOKUP($E7,'Lány 2 kcs. B ELO'!$A$7:$O$22,5))</f>
        <v/>
      </c>
      <c r="E7" s="243"/>
      <c r="F7" s="244" t="str">
        <f>UPPER(IF($E7="","",VLOOKUP($E7,'Lány 2 kcs. B ELO'!$A$7:$O$22,2)))</f>
        <v/>
      </c>
      <c r="G7" s="244" t="str">
        <f>IF($E7="","",VLOOKUP($E7,'Lány 2 kcs. B ELO'!$A$7:$O$22,3))</f>
        <v/>
      </c>
      <c r="H7" s="244"/>
      <c r="I7" s="244" t="str">
        <f>IF($E7="","",VLOOKUP($E7,'Lány 2 kcs. B ELO'!$A$7:$O$22,4))</f>
        <v/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52"/>
      <c r="Z7" s="352"/>
      <c r="AA7" s="352" t="s">
        <v>91</v>
      </c>
      <c r="AB7" s="343">
        <v>120</v>
      </c>
      <c r="AC7" s="343">
        <v>90</v>
      </c>
      <c r="AD7" s="343">
        <v>60</v>
      </c>
      <c r="AE7" s="343">
        <v>40</v>
      </c>
      <c r="AF7" s="343">
        <v>25</v>
      </c>
      <c r="AG7" s="343">
        <v>10</v>
      </c>
      <c r="AH7" s="343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5" t="s">
        <v>0</v>
      </c>
      <c r="J8" s="132"/>
      <c r="K8" s="251" t="str">
        <f>UPPER(IF(OR(J8="a",J8="as"),F7,IF(OR(J8="b",J8="bs"),F9,)))</f>
        <v/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52"/>
      <c r="Z8" s="352"/>
      <c r="AA8" s="352" t="s">
        <v>92</v>
      </c>
      <c r="AB8" s="343">
        <v>90</v>
      </c>
      <c r="AC8" s="343">
        <v>60</v>
      </c>
      <c r="AD8" s="343">
        <v>40</v>
      </c>
      <c r="AE8" s="343">
        <v>25</v>
      </c>
      <c r="AF8" s="343">
        <v>10</v>
      </c>
      <c r="AG8" s="343">
        <v>5</v>
      </c>
      <c r="AH8" s="343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IF($E9="","",VLOOKUP($E9,'Lány 2 kcs. B ELO'!$A$7:$O$22,14))</f>
        <v/>
      </c>
      <c r="C9" s="242" t="str">
        <f>IF($E9="","",VLOOKUP($E9,'Lány 2 kcs. B ELO'!$A$7:$O$22,15))</f>
        <v/>
      </c>
      <c r="D9" s="242" t="str">
        <f>IF($E9="","",VLOOKUP($E9,'Lány 2 kcs. B ELO'!$A$7:$O$22,5))</f>
        <v/>
      </c>
      <c r="E9" s="386"/>
      <c r="F9" s="293" t="str">
        <f>UPPER(IF($E9="","",VLOOKUP($E9,'Lány 2 kcs. B ELO'!$A$7:$O$22,2)))</f>
        <v/>
      </c>
      <c r="G9" s="293" t="str">
        <f>IF($E9="","",VLOOKUP($E9,'Lány 2 kcs. B ELO'!$A$7:$O$22,3))</f>
        <v/>
      </c>
      <c r="H9" s="293"/>
      <c r="I9" s="293" t="str">
        <f>IF($E9="","",VLOOKUP($E9,'Lány 2 kcs. B ELO'!$A$7:$O$22,4))</f>
        <v/>
      </c>
      <c r="J9" s="253"/>
      <c r="K9" s="246"/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52"/>
      <c r="Z9" s="352"/>
      <c r="AA9" s="352" t="s">
        <v>93</v>
      </c>
      <c r="AB9" s="343">
        <v>60</v>
      </c>
      <c r="AC9" s="343">
        <v>40</v>
      </c>
      <c r="AD9" s="343">
        <v>25</v>
      </c>
      <c r="AE9" s="343">
        <v>10</v>
      </c>
      <c r="AF9" s="343">
        <v>5</v>
      </c>
      <c r="AG9" s="343">
        <v>2</v>
      </c>
      <c r="AH9" s="343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7"/>
      <c r="F10" s="388"/>
      <c r="G10" s="388"/>
      <c r="H10" s="389"/>
      <c r="I10" s="388"/>
      <c r="J10" s="255"/>
      <c r="K10" s="395" t="s">
        <v>0</v>
      </c>
      <c r="L10" s="133"/>
      <c r="M10" s="251" t="str">
        <f>UPPER(IF(OR(L10="a",L10="as"),K8,IF(OR(L10="b",L10="bs"),K12,)))</f>
        <v/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52"/>
      <c r="Z10" s="352"/>
      <c r="AA10" s="352" t="s">
        <v>94</v>
      </c>
      <c r="AB10" s="343">
        <v>40</v>
      </c>
      <c r="AC10" s="343">
        <v>25</v>
      </c>
      <c r="AD10" s="343">
        <v>15</v>
      </c>
      <c r="AE10" s="343">
        <v>7</v>
      </c>
      <c r="AF10" s="343">
        <v>4</v>
      </c>
      <c r="AG10" s="343">
        <v>1</v>
      </c>
      <c r="AH10" s="343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IF($E11="","",VLOOKUP($E11,'Lány 2 kcs. B ELO'!$A$7:$O$22,14))</f>
        <v/>
      </c>
      <c r="C11" s="242" t="str">
        <f>IF($E11="","",VLOOKUP($E11,'Lány 2 kcs. B ELO'!$A$7:$O$22,15))</f>
        <v/>
      </c>
      <c r="D11" s="242" t="str">
        <f>IF($E11="","",VLOOKUP($E11,'Lány 2 kcs. B ELO'!$A$7:$O$22,5))</f>
        <v/>
      </c>
      <c r="E11" s="386"/>
      <c r="F11" s="293" t="str">
        <f>UPPER(IF($E11="","",VLOOKUP($E11,'Lány 2 kcs. B ELO'!$A$7:$O$22,2)))</f>
        <v/>
      </c>
      <c r="G11" s="293" t="str">
        <f>IF($E11="","",VLOOKUP($E11,'Lány 2 kcs. B ELO'!$A$7:$O$22,3))</f>
        <v/>
      </c>
      <c r="H11" s="293"/>
      <c r="I11" s="293" t="str">
        <f>IF($E11="","",VLOOKUP($E11,'Lány 2 kcs. B ELO'!$A$7:$O$22,4))</f>
        <v/>
      </c>
      <c r="J11" s="245"/>
      <c r="K11" s="246"/>
      <c r="L11" s="258"/>
      <c r="M11" s="246"/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52"/>
      <c r="Z11" s="352"/>
      <c r="AA11" s="352" t="s">
        <v>95</v>
      </c>
      <c r="AB11" s="343">
        <v>25</v>
      </c>
      <c r="AC11" s="343">
        <v>15</v>
      </c>
      <c r="AD11" s="343">
        <v>10</v>
      </c>
      <c r="AE11" s="343">
        <v>6</v>
      </c>
      <c r="AF11" s="343">
        <v>3</v>
      </c>
      <c r="AG11" s="343">
        <v>1</v>
      </c>
      <c r="AH11" s="343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7"/>
      <c r="F12" s="388"/>
      <c r="G12" s="388"/>
      <c r="H12" s="389"/>
      <c r="I12" s="395" t="s">
        <v>0</v>
      </c>
      <c r="J12" s="132"/>
      <c r="K12" s="251" t="str">
        <f>UPPER(IF(OR(J12="a",J12="as"),F11,IF(OR(J12="b",J12="bs"),F13,)))</f>
        <v/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52"/>
      <c r="Z12" s="352"/>
      <c r="AA12" s="352" t="s">
        <v>100</v>
      </c>
      <c r="AB12" s="343">
        <v>15</v>
      </c>
      <c r="AC12" s="343">
        <v>10</v>
      </c>
      <c r="AD12" s="343">
        <v>6</v>
      </c>
      <c r="AE12" s="343">
        <v>3</v>
      </c>
      <c r="AF12" s="343">
        <v>1</v>
      </c>
      <c r="AG12" s="343">
        <v>0</v>
      </c>
      <c r="AH12" s="343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IF($E13="","",VLOOKUP($E13,'Lány 2 kcs. B ELO'!$A$7:$O$22,14))</f>
        <v/>
      </c>
      <c r="C13" s="242" t="str">
        <f>IF($E13="","",VLOOKUP($E13,'Lány 2 kcs. B ELO'!$A$7:$O$22,15))</f>
        <v/>
      </c>
      <c r="D13" s="242" t="str">
        <f>IF($E13="","",VLOOKUP($E13,'Lány 2 kcs. B ELO'!$A$7:$O$22,5))</f>
        <v/>
      </c>
      <c r="E13" s="386"/>
      <c r="F13" s="293" t="str">
        <f>UPPER(IF($E13="","",VLOOKUP($E13,'Lány 2 kcs. B ELO'!$A$7:$O$22,2)))</f>
        <v/>
      </c>
      <c r="G13" s="293" t="str">
        <f>IF($E13="","",VLOOKUP($E13,'Lány 2 kcs. B ELO'!$A$7:$O$22,3))</f>
        <v/>
      </c>
      <c r="H13" s="293"/>
      <c r="I13" s="293" t="str">
        <f>IF($E13="","",VLOOKUP($E13,'Lány 2 kcs. B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52"/>
      <c r="Z13" s="352"/>
      <c r="AA13" s="352" t="s">
        <v>96</v>
      </c>
      <c r="AB13" s="343">
        <v>10</v>
      </c>
      <c r="AC13" s="343">
        <v>6</v>
      </c>
      <c r="AD13" s="343">
        <v>3</v>
      </c>
      <c r="AE13" s="343">
        <v>1</v>
      </c>
      <c r="AF13" s="343">
        <v>0</v>
      </c>
      <c r="AG13" s="343">
        <v>0</v>
      </c>
      <c r="AH13" s="343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7"/>
      <c r="F14" s="388"/>
      <c r="G14" s="388"/>
      <c r="H14" s="389"/>
      <c r="I14" s="388"/>
      <c r="J14" s="255"/>
      <c r="K14" s="246"/>
      <c r="L14" s="246"/>
      <c r="M14" s="395" t="s">
        <v>0</v>
      </c>
      <c r="N14" s="133"/>
      <c r="O14" s="251" t="str">
        <f>UPPER(IF(OR(N14="a",N14="as"),M10,IF(OR(N14="b",N14="bs"),M18,)))</f>
        <v/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52"/>
      <c r="Z14" s="352"/>
      <c r="AA14" s="352" t="s">
        <v>97</v>
      </c>
      <c r="AB14" s="343">
        <v>3</v>
      </c>
      <c r="AC14" s="343">
        <v>2</v>
      </c>
      <c r="AD14" s="343">
        <v>1</v>
      </c>
      <c r="AE14" s="343">
        <v>0</v>
      </c>
      <c r="AF14" s="343">
        <v>0</v>
      </c>
      <c r="AG14" s="343">
        <v>0</v>
      </c>
      <c r="AH14" s="343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IF($E15="","",VLOOKUP($E15,'Lány 2 kcs. B ELO'!$A$7:$O$22,14))</f>
        <v/>
      </c>
      <c r="C15" s="242" t="str">
        <f>IF($E15="","",VLOOKUP($E15,'Lány 2 kcs. B ELO'!$A$7:$O$22,15))</f>
        <v/>
      </c>
      <c r="D15" s="242" t="str">
        <f>IF($E15="","",VLOOKUP($E15,'Lány 2 kcs. B ELO'!$A$7:$O$22,5))</f>
        <v/>
      </c>
      <c r="E15" s="386"/>
      <c r="F15" s="293" t="str">
        <f>UPPER(IF($E15="","",VLOOKUP($E15,'Lány 2 kcs. B ELO'!$A$7:$O$22,2)))</f>
        <v/>
      </c>
      <c r="G15" s="293" t="str">
        <f>IF($E15="","",VLOOKUP($E15,'Lány 2 kcs. B ELO'!$A$7:$O$22,3))</f>
        <v/>
      </c>
      <c r="H15" s="293"/>
      <c r="I15" s="293" t="str">
        <f>IF($E15="","",VLOOKUP($E15,'Lány 2 kcs. B ELO'!$A$7:$O$22,4))</f>
        <v/>
      </c>
      <c r="J15" s="263"/>
      <c r="K15" s="246"/>
      <c r="L15" s="246"/>
      <c r="M15" s="246"/>
      <c r="N15" s="259"/>
      <c r="O15" s="246"/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7"/>
      <c r="F16" s="388"/>
      <c r="G16" s="388"/>
      <c r="H16" s="389"/>
      <c r="I16" s="395" t="s">
        <v>0</v>
      </c>
      <c r="J16" s="132"/>
      <c r="K16" s="251" t="str">
        <f>UPPER(IF(OR(J16="a",J16="as"),F15,IF(OR(J16="b",J16="bs"),F17,)))</f>
        <v/>
      </c>
      <c r="L16" s="251"/>
      <c r="M16" s="246"/>
      <c r="N16" s="259"/>
      <c r="O16" s="395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52"/>
      <c r="Z16" s="352"/>
      <c r="AA16" s="352" t="s">
        <v>64</v>
      </c>
      <c r="AB16" s="343">
        <v>150</v>
      </c>
      <c r="AC16" s="343">
        <v>120</v>
      </c>
      <c r="AD16" s="343">
        <v>90</v>
      </c>
      <c r="AE16" s="343">
        <v>60</v>
      </c>
      <c r="AF16" s="343">
        <v>40</v>
      </c>
      <c r="AG16" s="343">
        <v>25</v>
      </c>
      <c r="AH16" s="343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IF($E17="","",VLOOKUP($E17,'Lány 2 kcs. B ELO'!$A$7:$O$22,14))</f>
        <v/>
      </c>
      <c r="C17" s="242" t="str">
        <f>IF($E17="","",VLOOKUP($E17,'Lány 2 kcs. B ELO'!$A$7:$O$22,15))</f>
        <v/>
      </c>
      <c r="D17" s="242" t="str">
        <f>IF($E17="","",VLOOKUP($E17,'Lány 2 kcs. B ELO'!$A$7:$O$22,5))</f>
        <v/>
      </c>
      <c r="E17" s="386"/>
      <c r="F17" s="293" t="str">
        <f>UPPER(IF($E17="","",VLOOKUP($E17,'Lány 2 kcs. B ELO'!$A$7:$O$22,2)))</f>
        <v/>
      </c>
      <c r="G17" s="293" t="str">
        <f>IF($E17="","",VLOOKUP($E17,'Lány 2 kcs. B ELO'!$A$7:$O$22,3))</f>
        <v/>
      </c>
      <c r="H17" s="293"/>
      <c r="I17" s="293" t="str">
        <f>IF($E17="","",VLOOKUP($E17,'Lány 2 kcs. B ELO'!$A$7:$O$22,4))</f>
        <v/>
      </c>
      <c r="J17" s="253"/>
      <c r="K17" s="246"/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52"/>
      <c r="Z17" s="352"/>
      <c r="AA17" s="352" t="s">
        <v>88</v>
      </c>
      <c r="AB17" s="343">
        <v>120</v>
      </c>
      <c r="AC17" s="343">
        <v>90</v>
      </c>
      <c r="AD17" s="343">
        <v>60</v>
      </c>
      <c r="AE17" s="343">
        <v>40</v>
      </c>
      <c r="AF17" s="343">
        <v>25</v>
      </c>
      <c r="AG17" s="343">
        <v>15</v>
      </c>
      <c r="AH17" s="343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7"/>
      <c r="F18" s="388"/>
      <c r="G18" s="388"/>
      <c r="H18" s="389"/>
      <c r="I18" s="388"/>
      <c r="J18" s="255"/>
      <c r="K18" s="395" t="s">
        <v>0</v>
      </c>
      <c r="L18" s="133"/>
      <c r="M18" s="251" t="str">
        <f>UPPER(IF(OR(L18="a",L18="as"),K16,IF(OR(L18="b",L18="bs"),K20,)))</f>
        <v/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52"/>
      <c r="Z18" s="352"/>
      <c r="AA18" s="352" t="s">
        <v>89</v>
      </c>
      <c r="AB18" s="343">
        <v>90</v>
      </c>
      <c r="AC18" s="343">
        <v>60</v>
      </c>
      <c r="AD18" s="343">
        <v>40</v>
      </c>
      <c r="AE18" s="343">
        <v>25</v>
      </c>
      <c r="AF18" s="343">
        <v>15</v>
      </c>
      <c r="AG18" s="343">
        <v>8</v>
      </c>
      <c r="AH18" s="343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IF($E19="","",VLOOKUP($E19,'Lány 2 kcs. B ELO'!$A$7:$O$22,14))</f>
        <v/>
      </c>
      <c r="C19" s="242" t="str">
        <f>IF($E19="","",VLOOKUP($E19,'Lány 2 kcs. B ELO'!$A$7:$O$22,15))</f>
        <v/>
      </c>
      <c r="D19" s="242" t="str">
        <f>IF($E19="","",VLOOKUP($E19,'Lány 2 kcs. B ELO'!$A$7:$O$22,5))</f>
        <v/>
      </c>
      <c r="E19" s="386"/>
      <c r="F19" s="293" t="str">
        <f>UPPER(IF($E19="","",VLOOKUP($E19,'Lány 2 kcs. B ELO'!$A$7:$O$22,2)))</f>
        <v/>
      </c>
      <c r="G19" s="293" t="str">
        <f>IF($E19="","",VLOOKUP($E19,'Lány 2 kcs. B ELO'!$A$7:$O$22,3))</f>
        <v/>
      </c>
      <c r="H19" s="293"/>
      <c r="I19" s="293" t="str">
        <f>IF($E19="","",VLOOKUP($E19,'Lány 2 kcs. B ELO'!$A$7:$O$22,4))</f>
        <v/>
      </c>
      <c r="J19" s="245"/>
      <c r="K19" s="246"/>
      <c r="L19" s="258"/>
      <c r="M19" s="246"/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52"/>
      <c r="Z19" s="352"/>
      <c r="AA19" s="352" t="s">
        <v>90</v>
      </c>
      <c r="AB19" s="343">
        <v>60</v>
      </c>
      <c r="AC19" s="343">
        <v>40</v>
      </c>
      <c r="AD19" s="343">
        <v>25</v>
      </c>
      <c r="AE19" s="343">
        <v>15</v>
      </c>
      <c r="AF19" s="343">
        <v>8</v>
      </c>
      <c r="AG19" s="343">
        <v>4</v>
      </c>
      <c r="AH19" s="343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5" t="s">
        <v>0</v>
      </c>
      <c r="J20" s="132"/>
      <c r="K20" s="251" t="str">
        <f>UPPER(IF(OR(J20="a",J20="as"),F19,IF(OR(J20="b",J20="bs"),F21,)))</f>
        <v/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52"/>
      <c r="Z20" s="352"/>
      <c r="AA20" s="352" t="s">
        <v>91</v>
      </c>
      <c r="AB20" s="343">
        <v>40</v>
      </c>
      <c r="AC20" s="343">
        <v>25</v>
      </c>
      <c r="AD20" s="343">
        <v>15</v>
      </c>
      <c r="AE20" s="343">
        <v>8</v>
      </c>
      <c r="AF20" s="343">
        <v>4</v>
      </c>
      <c r="AG20" s="343">
        <v>2</v>
      </c>
      <c r="AH20" s="343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IF($E21="","",VLOOKUP($E21,'Lány 2 kcs. B ELO'!$A$7:$O$22,14))</f>
        <v/>
      </c>
      <c r="C21" s="242" t="str">
        <f>IF($E21="","",VLOOKUP($E21,'Lány 2 kcs. B ELO'!$A$7:$O$22,15))</f>
        <v/>
      </c>
      <c r="D21" s="242" t="str">
        <f>IF($E21="","",VLOOKUP($E21,'Lány 2 kcs. B ELO'!$A$7:$O$22,5))</f>
        <v/>
      </c>
      <c r="E21" s="243"/>
      <c r="F21" s="294" t="str">
        <f>UPPER(IF($E21="","",VLOOKUP($E21,'Lány 2 kcs. B ELO'!$A$7:$O$22,2)))</f>
        <v/>
      </c>
      <c r="G21" s="294" t="str">
        <f>IF($E21="","",VLOOKUP($E21,'Lány 2 kcs. B ELO'!$A$7:$O$22,3))</f>
        <v/>
      </c>
      <c r="H21" s="294"/>
      <c r="I21" s="294" t="str">
        <f>IF($E21="","",VLOOKUP($E21,'Lány 2 kcs. B ELO'!$A$7:$O$22,4))</f>
        <v/>
      </c>
      <c r="J21" s="261"/>
      <c r="K21" s="246"/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52"/>
      <c r="Z21" s="352"/>
      <c r="AA21" s="352" t="s">
        <v>92</v>
      </c>
      <c r="AB21" s="343">
        <v>25</v>
      </c>
      <c r="AC21" s="343">
        <v>15</v>
      </c>
      <c r="AD21" s="343">
        <v>10</v>
      </c>
      <c r="AE21" s="343">
        <v>6</v>
      </c>
      <c r="AF21" s="343">
        <v>3</v>
      </c>
      <c r="AG21" s="343">
        <v>1</v>
      </c>
      <c r="AH21" s="343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52"/>
      <c r="Z22" s="352"/>
      <c r="AA22" s="352" t="s">
        <v>93</v>
      </c>
      <c r="AB22" s="343">
        <v>15</v>
      </c>
      <c r="AC22" s="343">
        <v>10</v>
      </c>
      <c r="AD22" s="343">
        <v>6</v>
      </c>
      <c r="AE22" s="343">
        <v>3</v>
      </c>
      <c r="AF22" s="343">
        <v>1</v>
      </c>
      <c r="AG22" s="343">
        <v>0</v>
      </c>
      <c r="AH22" s="343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52"/>
      <c r="Z23" s="352"/>
      <c r="AA23" s="352" t="s">
        <v>94</v>
      </c>
      <c r="AB23" s="343">
        <v>10</v>
      </c>
      <c r="AC23" s="343">
        <v>6</v>
      </c>
      <c r="AD23" s="343">
        <v>3</v>
      </c>
      <c r="AE23" s="343">
        <v>1</v>
      </c>
      <c r="AF23" s="343">
        <v>0</v>
      </c>
      <c r="AG23" s="343">
        <v>0</v>
      </c>
      <c r="AH23" s="343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52"/>
      <c r="Z24" s="352"/>
      <c r="AA24" s="352" t="s">
        <v>95</v>
      </c>
      <c r="AB24" s="343">
        <v>6</v>
      </c>
      <c r="AC24" s="343">
        <v>3</v>
      </c>
      <c r="AD24" s="343">
        <v>1</v>
      </c>
      <c r="AE24" s="343">
        <v>0</v>
      </c>
      <c r="AF24" s="343">
        <v>0</v>
      </c>
      <c r="AG24" s="343">
        <v>0</v>
      </c>
      <c r="AH24" s="343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52"/>
      <c r="Z25" s="352"/>
      <c r="AA25" s="352" t="s">
        <v>100</v>
      </c>
      <c r="AB25" s="343">
        <v>3</v>
      </c>
      <c r="AC25" s="343">
        <v>2</v>
      </c>
      <c r="AD25" s="343">
        <v>1</v>
      </c>
      <c r="AE25" s="343">
        <v>0</v>
      </c>
      <c r="AF25" s="343">
        <v>0</v>
      </c>
      <c r="AG25" s="343">
        <v>0</v>
      </c>
      <c r="AH25" s="343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8"/>
      <c r="AJ28" s="368"/>
      <c r="AK28" s="368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8"/>
      <c r="AJ29" s="368"/>
      <c r="AK29" s="368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8"/>
      <c r="AJ30" s="368"/>
      <c r="AK30" s="368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8"/>
      <c r="AJ31" s="368"/>
      <c r="AK31" s="368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8"/>
      <c r="AJ32" s="368"/>
      <c r="AK32" s="368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8"/>
      <c r="AJ33" s="368"/>
      <c r="AK33" s="368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8"/>
      <c r="AJ34" s="368"/>
      <c r="AK34" s="368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8"/>
      <c r="AJ35" s="368"/>
      <c r="AK35" s="368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8"/>
      <c r="AJ36" s="368"/>
      <c r="AK36" s="368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8"/>
      <c r="AJ37" s="368"/>
      <c r="AK37" s="368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8"/>
      <c r="AJ38" s="368"/>
      <c r="AK38" s="368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8"/>
      <c r="AJ39" s="368"/>
      <c r="AK39" s="368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8"/>
      <c r="AJ40" s="368"/>
      <c r="AK40" s="368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8"/>
      <c r="AJ41" s="368"/>
      <c r="AK41" s="368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8"/>
      <c r="AJ42" s="368"/>
      <c r="AK42" s="368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8"/>
      <c r="AJ43" s="368"/>
      <c r="AK43" s="368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8"/>
      <c r="AJ44" s="368"/>
      <c r="AK44" s="368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8"/>
      <c r="AJ45" s="368"/>
      <c r="AK45" s="368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8"/>
      <c r="AJ46" s="368"/>
      <c r="AK46" s="368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8"/>
      <c r="AJ47" s="368"/>
      <c r="AK47" s="368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8"/>
      <c r="AJ48" s="368"/>
      <c r="AK48" s="368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8"/>
      <c r="AJ49" s="368"/>
      <c r="AK49" s="368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8"/>
      <c r="AJ50" s="368"/>
      <c r="AK50" s="368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8"/>
      <c r="AJ51" s="368"/>
      <c r="AK51" s="368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7"/>
      <c r="G52" s="407"/>
      <c r="H52" s="407"/>
      <c r="I52" s="407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8"/>
      <c r="AJ52" s="368"/>
      <c r="AK52" s="368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8"/>
      <c r="G53" s="408"/>
      <c r="H53" s="408"/>
      <c r="I53" s="408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8"/>
      <c r="AJ53" s="368"/>
      <c r="AK53" s="368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9"/>
      <c r="AJ54" s="369"/>
      <c r="AK54" s="369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IF(E55&gt;$R$62,,UPPER(VLOOKUP(E55,'Lány 2 kcs. B ELO'!$A$7:$Q$134,2)))</f>
        <v>KOVÁCS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9"/>
      <c r="AJ55" s="369"/>
      <c r="AK55" s="369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IF(E56&gt;$R$62,,UPPER(VLOOKUP(E56,'Lány 2 kcs. B ELO'!$A$7:$Q$134,2)))</f>
        <v xml:space="preserve">KISS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9"/>
      <c r="AJ56" s="369"/>
      <c r="AK56" s="369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9"/>
      <c r="AJ57" s="369"/>
      <c r="AK57" s="369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9"/>
      <c r="AJ58" s="369"/>
      <c r="AK58" s="369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9"/>
      <c r="AJ59" s="369"/>
      <c r="AK59" s="369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9"/>
      <c r="AJ60" s="369"/>
      <c r="AK60" s="369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9"/>
      <c r="AJ61" s="369"/>
      <c r="AK61" s="369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MIN(4,'Lány 2 kcs.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9"/>
      <c r="AJ62" s="369"/>
      <c r="AK62" s="369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86" priority="7" stopIfTrue="1" operator="equal">
      <formula>"QA"</formula>
    </cfRule>
    <cfRule type="cellIs" dxfId="85" priority="8" stopIfTrue="1" operator="equal">
      <formula>"DA"</formula>
    </cfRule>
  </conditionalFormatting>
  <conditionalFormatting sqref="E7 E21">
    <cfRule type="expression" dxfId="84" priority="5" stopIfTrue="1">
      <formula>$E7&lt;5</formula>
    </cfRule>
  </conditionalFormatting>
  <conditionalFormatting sqref="E22 E24 E26 E28 E30 E32 E34 E36 E38 E40 E42 E44 E46 E48 E50 E52">
    <cfRule type="expression" dxfId="83" priority="13" stopIfTrue="1">
      <formula>AND($E22&lt;9,$C22&gt;0)</formula>
    </cfRule>
  </conditionalFormatting>
  <conditionalFormatting sqref="F7 F9 F11 F13 F15 F17 F19 F21:F22">
    <cfRule type="cellIs" dxfId="82" priority="4" stopIfTrue="1" operator="equal">
      <formula>"Bye"</formula>
    </cfRule>
  </conditionalFormatting>
  <conditionalFormatting sqref="F24 F26 F28 F30 F32 F34 F36 F38 F40 F42 F44 F46 F48 F50">
    <cfRule type="cellIs" dxfId="8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80" priority="12" stopIfTrue="1">
      <formula>AND($E22&lt;9,$C22&gt;0)</formula>
    </cfRule>
  </conditionalFormatting>
  <conditionalFormatting sqref="H7 H9 H11 H13 H15 H17 H19 H21">
    <cfRule type="expression" dxfId="79" priority="17" stopIfTrue="1">
      <formula>AND($E7&lt;9,$C7&gt;0)</formula>
    </cfRule>
  </conditionalFormatting>
  <conditionalFormatting sqref="I8 K10 I12 M14 I16 K18 I20 I23 K25 I27 M29 I31 K33 I35 I39 K41 I43 M45 I47 K49 I51">
    <cfRule type="expression" dxfId="78" priority="14" stopIfTrue="1">
      <formula>AND($O$1="CU",I8="Umpire")</formula>
    </cfRule>
    <cfRule type="expression" dxfId="77" priority="15" stopIfTrue="1">
      <formula>AND($O$1="CU",I8&lt;&gt;"Umpire",J8&lt;&gt;"")</formula>
    </cfRule>
    <cfRule type="expression" dxfId="76" priority="16" stopIfTrue="1">
      <formula>AND($O$1="CU",I8&lt;&gt;"Umpire")</formula>
    </cfRule>
  </conditionalFormatting>
  <conditionalFormatting sqref="J8 L10 J12 N14 J16 L18 J20 R62">
    <cfRule type="expression" dxfId="75" priority="6" stopIfTrue="1">
      <formula>$O$1="CU"</formula>
    </cfRule>
  </conditionalFormatting>
  <conditionalFormatting sqref="K8 M10 K12 O14 K16 M18 K20 K23 M25 K27 O29 K31 M33 K35 K39 M41 K43 O45 K47 M49 K51">
    <cfRule type="expression" dxfId="74" priority="9" stopIfTrue="1">
      <formula>J8="as"</formula>
    </cfRule>
    <cfRule type="expression" dxfId="73" priority="10" stopIfTrue="1">
      <formula>J8="bs"</formula>
    </cfRule>
  </conditionalFormatting>
  <conditionalFormatting sqref="O16">
    <cfRule type="expression" dxfId="72" priority="1" stopIfTrue="1">
      <formula>AND($O$1="CU",O16="Umpire")</formula>
    </cfRule>
    <cfRule type="expression" dxfId="71" priority="2" stopIfTrue="1">
      <formula>AND($O$1="CU",O16&lt;&gt;"Umpire",P16&lt;&gt;"")</formula>
    </cfRule>
    <cfRule type="expression" dxfId="7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B1" sqref="B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72.44140625" style="40" bestFit="1" customWidth="1"/>
    <col min="5" max="5" width="12.109375" style="390" customWidth="1"/>
    <col min="6" max="6" width="6.109375" style="91" hidden="1" customWidth="1"/>
    <col min="7" max="7" width="29.8867187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Altalanos!$C$8</f>
        <v>Fiú 2 kcs A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4" t="s">
        <v>212</v>
      </c>
      <c r="C7" s="414" t="s">
        <v>213</v>
      </c>
      <c r="D7" s="414" t="s">
        <v>214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9" t="s">
        <v>215</v>
      </c>
      <c r="C8" s="414" t="s">
        <v>216</v>
      </c>
      <c r="D8" s="420" t="s">
        <v>217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9" t="s">
        <v>218</v>
      </c>
      <c r="C9" s="414" t="s">
        <v>219</v>
      </c>
      <c r="D9" s="420" t="s">
        <v>220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4" t="s">
        <v>59</v>
      </c>
      <c r="C10" s="421" t="s">
        <v>221</v>
      </c>
      <c r="D10" s="421" t="s">
        <v>222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223</v>
      </c>
      <c r="C11" s="414" t="s">
        <v>224</v>
      </c>
      <c r="D11" s="414" t="s">
        <v>225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25">
      <c r="A12" s="191">
        <v>6</v>
      </c>
      <c r="B12" s="425" t="s">
        <v>227</v>
      </c>
      <c r="C12" s="425" t="s">
        <v>228</v>
      </c>
      <c r="D12" s="426" t="s">
        <v>229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25">
      <c r="A13" s="191">
        <v>7</v>
      </c>
      <c r="B13" s="421" t="s">
        <v>230</v>
      </c>
      <c r="C13" s="421" t="s">
        <v>231</v>
      </c>
      <c r="D13" s="421" t="s">
        <v>232</v>
      </c>
      <c r="E13" s="204"/>
      <c r="F13" s="95"/>
      <c r="G13" s="95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23" t="s">
        <v>233</v>
      </c>
      <c r="C14" s="414" t="s">
        <v>234</v>
      </c>
      <c r="D14" s="414" t="s">
        <v>235</v>
      </c>
      <c r="E14" s="204"/>
      <c r="F14" s="95"/>
      <c r="G14" s="95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3">
      <c r="A15" s="191">
        <v>9</v>
      </c>
      <c r="B15" s="414" t="s">
        <v>236</v>
      </c>
      <c r="C15" s="414" t="s">
        <v>231</v>
      </c>
      <c r="D15" s="424" t="s">
        <v>211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3">
      <c r="A16" s="191">
        <v>10</v>
      </c>
      <c r="B16" s="414" t="s">
        <v>292</v>
      </c>
      <c r="C16" s="414" t="s">
        <v>293</v>
      </c>
      <c r="D16" s="42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14"/>
      <c r="C17" s="414"/>
      <c r="D17" s="42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17 A18:D156">
    <cfRule type="expression" dxfId="69" priority="20" stopIfTrue="1">
      <formula>$Q7&gt;=1</formula>
    </cfRule>
  </conditionalFormatting>
  <conditionalFormatting sqref="B10:D10">
    <cfRule type="expression" dxfId="68" priority="6" stopIfTrue="1">
      <formula>$S10&gt;=1</formula>
    </cfRule>
  </conditionalFormatting>
  <conditionalFormatting sqref="B12:D15">
    <cfRule type="expression" dxfId="67" priority="1" stopIfTrue="1">
      <formula>$S12&gt;=1</formula>
    </cfRule>
  </conditionalFormatting>
  <conditionalFormatting sqref="B18:D37">
    <cfRule type="expression" dxfId="66" priority="7" stopIfTrue="1">
      <formula>$Q18&gt;=1</formula>
    </cfRule>
  </conditionalFormatting>
  <conditionalFormatting sqref="E7:E14">
    <cfRule type="expression" dxfId="65" priority="12" stopIfTrue="1">
      <formula>AND(ROUNDDOWN(($A$4-E7)/365.25,0)&lt;=13,G7&lt;&gt;"OK")</formula>
    </cfRule>
    <cfRule type="expression" dxfId="64" priority="13" stopIfTrue="1">
      <formula>AND(ROUNDDOWN(($A$4-E7)/365.25,0)&lt;=14,G7&lt;&gt;"OK")</formula>
    </cfRule>
    <cfRule type="expression" dxfId="63" priority="14" stopIfTrue="1">
      <formula>AND(ROUNDDOWN(($A$4-E7)/365.25,0)&lt;=17,G7&lt;&gt;"OK")</formula>
    </cfRule>
    <cfRule type="expression" dxfId="62" priority="17" stopIfTrue="1">
      <formula>AND(ROUNDDOWN(($A$4-E7)/365.25,0)&lt;=13,G7&lt;&gt;"OK")</formula>
    </cfRule>
    <cfRule type="expression" dxfId="61" priority="18" stopIfTrue="1">
      <formula>AND(ROUNDDOWN(($A$4-E7)/365.25,0)&lt;=14,G7&lt;&gt;"OK")</formula>
    </cfRule>
    <cfRule type="expression" dxfId="60" priority="19" stopIfTrue="1">
      <formula>AND(ROUNDDOWN(($A$4-E7)/365.25,0)&lt;=17,G7&lt;&gt;"OK")</formula>
    </cfRule>
  </conditionalFormatting>
  <conditionalFormatting sqref="E7:E27 E29:E37">
    <cfRule type="expression" dxfId="59" priority="8" stopIfTrue="1">
      <formula>AND(ROUNDDOWN(($A$4-E7)/365.25,0)&lt;=13,G7&lt;&gt;"OK")</formula>
    </cfRule>
    <cfRule type="expression" dxfId="58" priority="9" stopIfTrue="1">
      <formula>AND(ROUNDDOWN(($A$4-E7)/365.25,0)&lt;=14,G7&lt;&gt;"OK")</formula>
    </cfRule>
    <cfRule type="expression" dxfId="57" priority="10" stopIfTrue="1">
      <formula>AND(ROUNDDOWN(($A$4-E7)/365.25,0)&lt;=17,G7&lt;&gt;"OK")</formula>
    </cfRule>
  </conditionalFormatting>
  <conditionalFormatting sqref="E7:E156">
    <cfRule type="expression" dxfId="56" priority="22" stopIfTrue="1">
      <formula>AND(ROUNDDOWN(($A$4-E7)/365.25,0)&lt;=13,G7&lt;&gt;"OK")</formula>
    </cfRule>
    <cfRule type="expression" dxfId="55" priority="23" stopIfTrue="1">
      <formula>AND(ROUNDDOWN(($A$4-E7)/365.25,0)&lt;=14,G7&lt;&gt;"OK")</formula>
    </cfRule>
    <cfRule type="expression" dxfId="54" priority="24" stopIfTrue="1">
      <formula>AND(ROUNDDOWN(($A$4-E7)/365.25,0)&lt;=17,G7&lt;&gt;"OK")</formula>
    </cfRule>
  </conditionalFormatting>
  <conditionalFormatting sqref="J7:J156">
    <cfRule type="cellIs" dxfId="53" priority="1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1"/>
  </sheetPr>
  <dimension ref="A1:AK41"/>
  <sheetViews>
    <sheetView workbookViewId="0">
      <selection activeCell="M16" sqref="M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10</v>
      </c>
      <c r="C7" s="331">
        <f>IF($B7="","",VLOOKUP($B7,'Fiú 2 kcs. A ELO'!$A$7:$O$22,5))</f>
        <v>0</v>
      </c>
      <c r="D7" s="331">
        <f>IF($B7="","",VLOOKUP($B7,'Fiú 2 kcs. A ELO'!$A$7:$O$22,15))</f>
        <v>0</v>
      </c>
      <c r="E7" s="440" t="str">
        <f>UPPER(IF($B7="","",VLOOKUP($B7,'Fiú 2 kcs. A ELO'!$A$7:$O$22,2)))</f>
        <v xml:space="preserve">VALKAI </v>
      </c>
      <c r="F7" s="440"/>
      <c r="G7" s="440" t="str">
        <f>IF($B7="","",VLOOKUP($B7,'Fiú 2 kcs. A ELO'!$A$7:$O$22,3))</f>
        <v>Attila</v>
      </c>
      <c r="H7" s="440"/>
      <c r="I7" s="332">
        <f>IF($B7="","",VLOOKUP($B7,'Fiú 2 kcs. A ELO'!$A$7:$O$22,4))</f>
        <v>0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</v>
      </c>
      <c r="C9" s="331">
        <f>IF($B9="","",VLOOKUP($B9,'Fiú 2 kcs. A ELO'!$A$7:$O$22,5))</f>
        <v>0</v>
      </c>
      <c r="D9" s="331">
        <f>IF($B9="","",VLOOKUP($B9,'Fiú 2 kcs. A ELO'!$A$7:$O$22,15))</f>
        <v>0</v>
      </c>
      <c r="E9" s="440" t="str">
        <f>UPPER(IF($B9="","",VLOOKUP($B9,'Fiú 2 kcs. A ELO'!$A$7:$O$22,2)))</f>
        <v xml:space="preserve">RÁCZ 	</v>
      </c>
      <c r="F9" s="440"/>
      <c r="G9" s="440" t="str">
        <f>IF($B9="","",VLOOKUP($B9,'Fiú 2 kcs. A ELO'!$A$7:$O$22,3))</f>
        <v>Levente</v>
      </c>
      <c r="H9" s="440"/>
      <c r="I9" s="332" t="str">
        <f>IF($B9="","",VLOOKUP($B9,'Fiú 2 kcs. A ELO'!$A$7:$O$22,4))</f>
        <v>Gyula Implom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4</v>
      </c>
      <c r="C11" s="331">
        <f>IF($B11="","",VLOOKUP($B11,'Fiú 2 kcs. A ELO'!$A$7:$O$22,5))</f>
        <v>0</v>
      </c>
      <c r="D11" s="331">
        <f>IF($B11="","",VLOOKUP($B11,'Fiú 2 kcs. A ELO'!$A$7:$O$22,15))</f>
        <v>0</v>
      </c>
      <c r="E11" s="440" t="str">
        <f>UPPER(IF($B11="","",VLOOKUP($B11,'Fiú 2 kcs. A ELO'!$A$7:$O$22,2)))</f>
        <v>BÍRÓ</v>
      </c>
      <c r="F11" s="440"/>
      <c r="G11" s="440" t="str">
        <f>IF($B11="","",VLOOKUP($B11,'Fiú 2 kcs. A ELO'!$A$7:$O$22,3))</f>
        <v>Ervin</v>
      </c>
      <c r="H11" s="440"/>
      <c r="I11" s="332" t="str">
        <f>IF($B11="","",VLOOKUP($B11,'Fiú 2 kcs. A ELO'!$A$7:$O$22,4))</f>
        <v>Szfvári Comenius Ált. Isk.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04" t="s">
        <v>71</v>
      </c>
      <c r="B13" s="329">
        <v>8</v>
      </c>
      <c r="C13" s="331">
        <f>IF($B13="","",VLOOKUP($B13,'Fiú 2 kcs. A ELO'!$A$7:$O$22,5))</f>
        <v>0</v>
      </c>
      <c r="D13" s="331">
        <f>IF($B13="","",VLOOKUP($B13,'Fiú 2 kcs. A ELO'!$A$7:$O$22,15))</f>
        <v>0</v>
      </c>
      <c r="E13" s="440" t="str">
        <f>UPPER(IF($B13="","",VLOOKUP($B13,'Fiú 2 kcs. A ELO'!$A$7:$O$22,2)))</f>
        <v>KERECSÉNYI</v>
      </c>
      <c r="F13" s="440"/>
      <c r="G13" s="440" t="str">
        <f>IF($B13="","",VLOOKUP($B13,'Fiú 2 kcs. A ELO'!$A$7:$O$22,3))</f>
        <v>Patrik</v>
      </c>
      <c r="H13" s="440"/>
      <c r="I13" s="332" t="str">
        <f>IF($B13="","",VLOOKUP($B13,'Fiú 2 kcs. A ELO'!$A$7:$O$22,4))</f>
        <v>Szombathelyi Derkovits Gyula Általános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 xml:space="preserve">VALKAI </v>
      </c>
      <c r="E18" s="439"/>
      <c r="F18" s="439" t="str">
        <f>E9</f>
        <v xml:space="preserve">RÁCZ 	</v>
      </c>
      <c r="G18" s="439"/>
      <c r="H18" s="439" t="str">
        <f>E11</f>
        <v>BÍRÓ</v>
      </c>
      <c r="I18" s="439"/>
      <c r="J18" s="439" t="str">
        <f>E13</f>
        <v>KERECSÉNYI</v>
      </c>
      <c r="K18" s="439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 xml:space="preserve">VALKAI </v>
      </c>
      <c r="C19" s="441"/>
      <c r="D19" s="442"/>
      <c r="E19" s="442"/>
      <c r="F19" s="443"/>
      <c r="G19" s="443"/>
      <c r="H19" s="443"/>
      <c r="I19" s="443"/>
      <c r="J19" s="439"/>
      <c r="K19" s="439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 xml:space="preserve">RÁCZ 	</v>
      </c>
      <c r="C20" s="441"/>
      <c r="D20" s="443"/>
      <c r="E20" s="443"/>
      <c r="F20" s="442"/>
      <c r="G20" s="442"/>
      <c r="H20" s="443"/>
      <c r="I20" s="443"/>
      <c r="J20" s="443"/>
      <c r="K20" s="443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>BÍRÓ</v>
      </c>
      <c r="C21" s="441"/>
      <c r="D21" s="443"/>
      <c r="E21" s="443"/>
      <c r="F21" s="443"/>
      <c r="G21" s="443"/>
      <c r="H21" s="442"/>
      <c r="I21" s="442"/>
      <c r="J21" s="443"/>
      <c r="K21" s="443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41" t="str">
        <f>E13</f>
        <v>KERECSÉNYI</v>
      </c>
      <c r="C22" s="441"/>
      <c r="D22" s="443"/>
      <c r="E22" s="443"/>
      <c r="F22" s="443"/>
      <c r="G22" s="443"/>
      <c r="H22" s="439"/>
      <c r="I22" s="439"/>
      <c r="J22" s="442"/>
      <c r="K22" s="442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52" priority="2" stopIfTrue="1" operator="equal">
      <formula>"Bye"</formula>
    </cfRule>
  </conditionalFormatting>
  <conditionalFormatting sqref="R41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indexed="11"/>
  </sheetPr>
  <dimension ref="A1:AK47"/>
  <sheetViews>
    <sheetView workbookViewId="0">
      <selection activeCell="O15" sqref="O1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5</v>
      </c>
      <c r="C7" s="298">
        <f>IF($B7="","",VLOOKUP($B7,'Fiú 2 kcs. A ELO'!$A$7:$O$22,5))</f>
        <v>0</v>
      </c>
      <c r="D7" s="298">
        <f>IF($B7="","",VLOOKUP($B7,'Fiú 2 kcs. A ELO'!$A$7:$O$22,15))</f>
        <v>0</v>
      </c>
      <c r="E7" s="294" t="str">
        <f>UPPER(IF($B7="","",VLOOKUP($B7,'Fiú 2 kcs. A ELO'!$A$7:$O$22,2)))</f>
        <v>ORBÁN - HAPP</v>
      </c>
      <c r="F7" s="297"/>
      <c r="G7" s="294" t="str">
        <f>IF($B7="","",VLOOKUP($B7,'Fiú 2 kcs. A ELO'!$A$7:$O$22,3))</f>
        <v>Gellért</v>
      </c>
      <c r="H7" s="297"/>
      <c r="I7" s="294" t="str">
        <f>IF($B7="","",VLOOKUP($B7,'Fiú 2 kcs. A ELO'!$A$7:$O$22,4))</f>
        <v xml:space="preserve">Győri Gárdonyi 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2</v>
      </c>
      <c r="C9" s="298">
        <f>IF($B9="","",VLOOKUP($B9,'Fiú 2 kcs. A ELO'!$A$7:$O$22,5))</f>
        <v>0</v>
      </c>
      <c r="D9" s="298">
        <f>IF($B9="","",VLOOKUP($B9,'Fiú 2 kcs. A ELO'!$A$7:$O$22,15))</f>
        <v>0</v>
      </c>
      <c r="E9" s="293" t="str">
        <f>UPPER(IF($B9="","",VLOOKUP($B9,'Fiú 2 kcs. A ELO'!$A$7:$O$22,2)))</f>
        <v xml:space="preserve">PÉTER </v>
      </c>
      <c r="F9" s="299"/>
      <c r="G9" s="293" t="str">
        <f>IF($B9="","",VLOOKUP($B9,'Fiú 2 kcs. A ELO'!$A$7:$O$22,3))</f>
        <v>Szilárd</v>
      </c>
      <c r="H9" s="299"/>
      <c r="I9" s="293" t="str">
        <f>IF($B9="","",VLOOKUP($B9,'Fiú 2 kcs. A ELO'!$A$7:$O$22,4))</f>
        <v>Kispesti Erkel Ferenc Általános Iskola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6</v>
      </c>
      <c r="C11" s="298">
        <f>IF($B11="","",VLOOKUP($B11,'Fiú 2 kcs. A ELO'!$A$7:$O$22,5))</f>
        <v>0</v>
      </c>
      <c r="D11" s="298">
        <f>IF($B11="","",VLOOKUP($B11,'Fiú 2 kcs. A ELO'!$A$7:$O$22,15))</f>
        <v>0</v>
      </c>
      <c r="E11" s="293" t="str">
        <f>UPPER(IF($B11="","",VLOOKUP($B11,'Fiú 2 kcs. A ELO'!$A$7:$O$22,2)))</f>
        <v>LENTE</v>
      </c>
      <c r="F11" s="299"/>
      <c r="G11" s="293" t="str">
        <f>IF($B11="","",VLOOKUP($B11,'Fiú 2 kcs. A ELO'!$A$7:$O$22,3))</f>
        <v>András Csaba</v>
      </c>
      <c r="H11" s="299"/>
      <c r="I11" s="293" t="str">
        <f>IF($B11="","",VLOOKUP($B11,'Fiú 2 kcs. A ELO'!$A$7:$O$22,4))</f>
        <v>Db., Kossuth L.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7</v>
      </c>
      <c r="C13" s="298">
        <f>IF($B13="","",VLOOKUP($B13,'Fiú 2 kcs. A ELO'!$A$7:$O$22,5))</f>
        <v>0</v>
      </c>
      <c r="D13" s="298">
        <f>IF($B13="","",VLOOKUP($B13,'Fiú 2 kcs. A ELO'!$A$7:$O$22,15))</f>
        <v>0</v>
      </c>
      <c r="E13" s="294" t="str">
        <f>UPPER(IF($B13="","",VLOOKUP($B13,'Fiú 2 kcs. A ELO'!$A$7:$O$22,2)))</f>
        <v>LAKATOS</v>
      </c>
      <c r="F13" s="297"/>
      <c r="G13" s="294" t="str">
        <f>IF($B13="","",VLOOKUP($B13,'Fiú 2 kcs. A ELO'!$A$7:$O$22,3))</f>
        <v>Dániel</v>
      </c>
      <c r="H13" s="297"/>
      <c r="I13" s="294" t="str">
        <f>IF($B13="","",VLOOKUP($B13,'Fiú 2 kcs. A ELO'!$A$7:$O$22,4))</f>
        <v>Fót Fáy András Á. I.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9</v>
      </c>
      <c r="C15" s="298">
        <f>IF($B15="","",VLOOKUP($B15,'Fiú 2 kcs. A ELO'!$A$7:$O$22,5))</f>
        <v>0</v>
      </c>
      <c r="D15" s="298">
        <f>IF($B15="","",VLOOKUP($B15,'Fiú 2 kcs. A ELO'!$A$7:$O$22,15))</f>
        <v>0</v>
      </c>
      <c r="E15" s="293" t="str">
        <f>UPPER(IF($B15="","",VLOOKUP($B15,'Fiú 2 kcs. A ELO'!$A$7:$O$22,2)))</f>
        <v xml:space="preserve">BARANYI </v>
      </c>
      <c r="F15" s="299"/>
      <c r="G15" s="293" t="str">
        <f>IF($B15="","",VLOOKUP($B15,'Fiú 2 kcs. A ELO'!$A$7:$O$22,3))</f>
        <v>Dániel</v>
      </c>
      <c r="H15" s="299"/>
      <c r="I15" s="293" t="str">
        <f>IF($B15="","",VLOOKUP($B15,'Fiú 2 kcs. A ELO'!$A$7:$O$22,4))</f>
        <v>Zalalövői Általános Iskola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3</v>
      </c>
      <c r="C17" s="298">
        <f>IF($B17="","",VLOOKUP($B17,'Fiú 2 kcs. A ELO'!$A$7:$O$22,5))</f>
        <v>0</v>
      </c>
      <c r="D17" s="298">
        <f>IF($B17="","",VLOOKUP($B17,'Fiú 2 kcs. A ELO'!$A$7:$O$22,15))</f>
        <v>0</v>
      </c>
      <c r="E17" s="293" t="str">
        <f>UPPER(IF($B17="","",VLOOKUP($B17,'Fiú 2 kcs. A ELO'!$A$7:$O$22,2)))</f>
        <v xml:space="preserve">SZENTKIRÁLYI-TÓTH </v>
      </c>
      <c r="F17" s="299"/>
      <c r="G17" s="293" t="str">
        <f>IF($B17="","",VLOOKUP($B17,'Fiú 2 kcs. A ELO'!$A$7:$O$22,3))</f>
        <v>Hunor</v>
      </c>
      <c r="H17" s="299"/>
      <c r="I17" s="293" t="str">
        <f>IF($B17="","",VLOOKUP($B17,'Fiú 2 kcs. A ELO'!$A$7:$O$22,4))</f>
        <v>Pasaréti Szabó Lőrinc Magyar-Angol Két Tanítási Nyelvű Általános Iskola és Gimnázium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>ORBÁN - HAPP</v>
      </c>
      <c r="E22" s="439"/>
      <c r="F22" s="439" t="str">
        <f>E9</f>
        <v xml:space="preserve">PÉTER </v>
      </c>
      <c r="G22" s="439"/>
      <c r="H22" s="439" t="str">
        <f>E11</f>
        <v>LENTE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>ORBÁN - HAPP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 xml:space="preserve">PÉTER 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>LENTE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>LAKATOS</v>
      </c>
      <c r="E27" s="439"/>
      <c r="F27" s="439" t="str">
        <f>E15</f>
        <v xml:space="preserve">BARANYI </v>
      </c>
      <c r="G27" s="439"/>
      <c r="H27" s="439" t="str">
        <f>E17</f>
        <v xml:space="preserve">SZENTKIRÁLYI-TÓTH </v>
      </c>
      <c r="I27" s="439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>LAKATOS</v>
      </c>
      <c r="C28" s="441"/>
      <c r="D28" s="442"/>
      <c r="E28" s="442"/>
      <c r="F28" s="443"/>
      <c r="G28" s="443"/>
      <c r="H28" s="443"/>
      <c r="I28" s="44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41" t="str">
        <f>E15</f>
        <v xml:space="preserve">BARANYI </v>
      </c>
      <c r="C29" s="441"/>
      <c r="D29" s="443"/>
      <c r="E29" s="443"/>
      <c r="F29" s="442"/>
      <c r="G29" s="442"/>
      <c r="H29" s="443"/>
      <c r="I29" s="44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41" t="str">
        <f>E17</f>
        <v xml:space="preserve">SZENTKIRÁLYI-TÓTH </v>
      </c>
      <c r="C30" s="441"/>
      <c r="D30" s="443"/>
      <c r="E30" s="443"/>
      <c r="F30" s="443"/>
      <c r="G30" s="443"/>
      <c r="H30" s="442"/>
      <c r="I30" s="442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4" t="str">
        <f>IF(D40&gt;$R$47,,UPPER(VLOOKUP(D40,'Fiú 2 kcs. A ELO'!$A$7:$Q$134,2)))</f>
        <v xml:space="preserve">RÁCZ 	</v>
      </c>
      <c r="F40" s="44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5" t="str">
        <f>IF(D41&gt;$R$47,,UPPER(VLOOKUP(D41,'Fiú 2 kcs. A ELO'!$A$7:$Q$134,2)))</f>
        <v xml:space="preserve">PÉTER </v>
      </c>
      <c r="F41" s="445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2 kcs. A ELO'!Q5)</f>
        <v>4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50" priority="1" stopIfTrue="1" operator="equal">
      <formula>"Bye"</formula>
    </cfRule>
  </conditionalFormatting>
  <conditionalFormatting sqref="R47">
    <cfRule type="expression" dxfId="4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1"/>
  </sheetPr>
  <dimension ref="A1:AK41"/>
  <sheetViews>
    <sheetView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/>
      <c r="C7" s="298" t="str">
        <f>IF($B7="","",VLOOKUP($B7,'Fiú 2 kcs. A ELO'!$A$7:$O$22,5))</f>
        <v/>
      </c>
      <c r="D7" s="298" t="str">
        <f>IF($B7="","",VLOOKUP($B7,'Fiú 2 kcs. A ELO'!$A$7:$O$22,15))</f>
        <v/>
      </c>
      <c r="E7" s="293" t="str">
        <f>UPPER(IF($B7="","",VLOOKUP($B7,'Fiú 2 kcs. A ELO'!$A$7:$O$22,2)))</f>
        <v/>
      </c>
      <c r="F7" s="299"/>
      <c r="G7" s="293" t="str">
        <f>IF($B7="","",VLOOKUP($B7,'Fiú 2 kcs. A ELO'!$A$7:$O$22,3))</f>
        <v/>
      </c>
      <c r="H7" s="299"/>
      <c r="I7" s="293" t="str">
        <f>IF($B7="","",VLOOKUP($B7,'Fiú 2 kcs. A ELO'!$A$7:$O$22,4))</f>
        <v/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/>
      <c r="C9" s="298" t="str">
        <f>IF($B9="","",VLOOKUP($B9,'Fiú 2 kcs. A ELO'!$A$7:$O$22,5))</f>
        <v/>
      </c>
      <c r="D9" s="298" t="str">
        <f>IF($B9="","",VLOOKUP($B9,'Fiú 2 kcs. A ELO'!$A$7:$O$22,15))</f>
        <v/>
      </c>
      <c r="E9" s="293" t="str">
        <f>UPPER(IF($B9="","",VLOOKUP($B9,'Fiú 2 kcs. A ELO'!$A$7:$O$22,2)))</f>
        <v/>
      </c>
      <c r="F9" s="299"/>
      <c r="G9" s="293" t="str">
        <f>IF($B9="","",VLOOKUP($B9,'Fiú 2 kcs. A ELO'!$A$7:$O$22,3))</f>
        <v/>
      </c>
      <c r="H9" s="299"/>
      <c r="I9" s="293" t="str">
        <f>IF($B9="","",VLOOKUP($B9,'Fiú 2 kcs. A ELO'!$A$7:$O$22,4))</f>
        <v/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/>
      <c r="C11" s="298" t="str">
        <f>IF($B11="","",VLOOKUP($B11,'Fiú 2 kcs. A ELO'!$A$7:$O$22,5))</f>
        <v/>
      </c>
      <c r="D11" s="298" t="str">
        <f>IF($B11="","",VLOOKUP($B11,'Fiú 2 kcs. A ELO'!$A$7:$O$22,15))</f>
        <v/>
      </c>
      <c r="E11" s="293" t="str">
        <f>UPPER(IF($B11="","",VLOOKUP($B11,'Fiú 2 kcs. A ELO'!$A$7:$O$22,2)))</f>
        <v/>
      </c>
      <c r="F11" s="299"/>
      <c r="G11" s="293" t="str">
        <f>IF($B11="","",VLOOKUP($B11,'Fiú 2 kcs. A ELO'!$A$7:$O$22,3))</f>
        <v/>
      </c>
      <c r="H11" s="299"/>
      <c r="I11" s="293" t="str">
        <f>IF($B11="","",VLOOKUP($B11,'Fiú 2 kcs. A ELO'!$A$7:$O$22,4))</f>
        <v/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/>
      </c>
      <c r="E18" s="439"/>
      <c r="F18" s="439" t="str">
        <f>E9</f>
        <v/>
      </c>
      <c r="G18" s="439"/>
      <c r="H18" s="439" t="str">
        <f>E11</f>
        <v/>
      </c>
      <c r="I18" s="439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/>
      </c>
      <c r="C19" s="441"/>
      <c r="D19" s="442"/>
      <c r="E19" s="442"/>
      <c r="F19" s="443"/>
      <c r="G19" s="443"/>
      <c r="H19" s="443"/>
      <c r="I19" s="443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/>
      </c>
      <c r="C20" s="441"/>
      <c r="D20" s="443"/>
      <c r="E20" s="443"/>
      <c r="F20" s="442"/>
      <c r="G20" s="442"/>
      <c r="H20" s="443"/>
      <c r="I20" s="443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/>
      </c>
      <c r="C21" s="441"/>
      <c r="D21" s="443"/>
      <c r="E21" s="443"/>
      <c r="F21" s="443"/>
      <c r="G21" s="443"/>
      <c r="H21" s="442"/>
      <c r="I21" s="442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48" priority="2" stopIfTrue="1" operator="equal">
      <formula>"Bye"</formula>
    </cfRule>
  </conditionalFormatting>
  <conditionalFormatting sqref="R41">
    <cfRule type="expression" dxfId="4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16" activePane="bottomLeft" state="frozen"/>
      <selection activeCell="F2" sqref="F2"/>
      <selection pane="bottomLeft" activeCell="D30" sqref="D30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87.77734375" style="40" bestFit="1" customWidth="1"/>
    <col min="5" max="5" width="12.109375" style="390" customWidth="1"/>
    <col min="6" max="6" width="6.109375" style="91" hidden="1" customWidth="1"/>
    <col min="7" max="7" width="31.441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Altalanos!$D$8</f>
        <v>Fiú 2 kcs B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6" t="s">
        <v>237</v>
      </c>
      <c r="C7" s="428" t="s">
        <v>238</v>
      </c>
      <c r="D7" s="416" t="s">
        <v>131</v>
      </c>
      <c r="E7" s="429"/>
      <c r="F7" s="417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5" t="s">
        <v>239</v>
      </c>
      <c r="C8" s="421" t="s">
        <v>240</v>
      </c>
      <c r="D8" s="414" t="s">
        <v>140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5" t="s">
        <v>241</v>
      </c>
      <c r="C9" s="421" t="s">
        <v>242</v>
      </c>
      <c r="D9" s="414" t="s">
        <v>140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4" t="s">
        <v>243</v>
      </c>
      <c r="C10" s="414" t="s">
        <v>244</v>
      </c>
      <c r="D10" s="414" t="s">
        <v>245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246</v>
      </c>
      <c r="C11" s="414" t="s">
        <v>247</v>
      </c>
      <c r="D11" s="414" t="s">
        <v>149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248</v>
      </c>
      <c r="C12" s="414" t="s">
        <v>231</v>
      </c>
      <c r="D12" s="414" t="s">
        <v>249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3">
      <c r="A13" s="191">
        <v>7</v>
      </c>
      <c r="B13" s="419" t="s">
        <v>250</v>
      </c>
      <c r="C13" s="414" t="s">
        <v>231</v>
      </c>
      <c r="D13" s="420" t="s">
        <v>251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19" t="s">
        <v>252</v>
      </c>
      <c r="C14" s="414" t="s">
        <v>253</v>
      </c>
      <c r="D14" s="420" t="s">
        <v>254</v>
      </c>
      <c r="E14" s="204"/>
      <c r="F14" s="95"/>
      <c r="G14" s="95"/>
      <c r="H14" s="94"/>
      <c r="I14" s="94"/>
      <c r="J14" s="188"/>
      <c r="K14" s="186"/>
      <c r="L14" s="190"/>
      <c r="M14" s="215"/>
      <c r="N14" s="183"/>
      <c r="O14" s="94"/>
      <c r="P14" s="95"/>
      <c r="Q14" s="95"/>
    </row>
    <row r="15" spans="1:17" s="11" customFormat="1" ht="18.899999999999999" customHeight="1" x14ac:dyDescent="0.3">
      <c r="A15" s="191">
        <v>9</v>
      </c>
      <c r="B15" s="414" t="s">
        <v>255</v>
      </c>
      <c r="C15" s="414" t="s">
        <v>256</v>
      </c>
      <c r="D15" s="414" t="s">
        <v>257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112"/>
      <c r="Q15" s="95"/>
    </row>
    <row r="16" spans="1:17" s="11" customFormat="1" ht="18.899999999999999" customHeight="1" x14ac:dyDescent="0.3">
      <c r="A16" s="191">
        <v>10</v>
      </c>
      <c r="B16" s="414" t="s">
        <v>258</v>
      </c>
      <c r="C16" s="414" t="s">
        <v>259</v>
      </c>
      <c r="D16" s="414" t="s">
        <v>260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421" t="s">
        <v>261</v>
      </c>
      <c r="C17" s="421" t="s">
        <v>262</v>
      </c>
      <c r="D17" s="422" t="s">
        <v>263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421" t="s">
        <v>129</v>
      </c>
      <c r="C18" s="421" t="s">
        <v>264</v>
      </c>
      <c r="D18" s="422" t="s">
        <v>265</v>
      </c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0" t="s">
        <v>266</v>
      </c>
      <c r="C19" s="414" t="s">
        <v>267</v>
      </c>
      <c r="D19" s="41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20" t="s">
        <v>268</v>
      </c>
      <c r="C20" s="414" t="s">
        <v>269</v>
      </c>
      <c r="D20" s="41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427" t="s">
        <v>270</v>
      </c>
      <c r="C21" s="427" t="s">
        <v>262</v>
      </c>
      <c r="D21" s="427" t="s">
        <v>271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427" t="s">
        <v>272</v>
      </c>
      <c r="C22" s="427" t="s">
        <v>273</v>
      </c>
      <c r="D22" s="427" t="s">
        <v>274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21" t="s">
        <v>275</v>
      </c>
      <c r="C23" s="421" t="s">
        <v>276</v>
      </c>
      <c r="D23" s="414" t="s">
        <v>277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421" t="s">
        <v>278</v>
      </c>
      <c r="C24" s="421" t="s">
        <v>279</v>
      </c>
      <c r="D24" s="421" t="s">
        <v>280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15" t="s">
        <v>281</v>
      </c>
      <c r="C25" s="414" t="s">
        <v>282</v>
      </c>
      <c r="D25" s="414" t="s">
        <v>283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15" t="s">
        <v>284</v>
      </c>
      <c r="C26" s="414" t="s">
        <v>226</v>
      </c>
      <c r="D26" s="414" t="s">
        <v>168</v>
      </c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14" t="s">
        <v>285</v>
      </c>
      <c r="C27" s="414" t="s">
        <v>286</v>
      </c>
      <c r="D27" s="415" t="s">
        <v>173</v>
      </c>
      <c r="E27" s="409"/>
      <c r="F27" s="394"/>
      <c r="G27" s="211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3">
      <c r="A28" s="191">
        <v>22</v>
      </c>
      <c r="B28" s="423" t="s">
        <v>287</v>
      </c>
      <c r="C28" s="414" t="s">
        <v>226</v>
      </c>
      <c r="D28" s="414" t="s">
        <v>205</v>
      </c>
      <c r="E28" s="204"/>
      <c r="F28" s="95"/>
      <c r="G28" s="95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3">
      <c r="A29" s="191">
        <v>23</v>
      </c>
      <c r="B29" s="423" t="s">
        <v>288</v>
      </c>
      <c r="C29" s="414" t="s">
        <v>289</v>
      </c>
      <c r="D29" s="414" t="s">
        <v>183</v>
      </c>
      <c r="E29" s="204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3">
      <c r="A30" s="191">
        <v>24</v>
      </c>
      <c r="B30" s="414" t="s">
        <v>290</v>
      </c>
      <c r="C30" s="414" t="s">
        <v>213</v>
      </c>
      <c r="D30" s="414" t="s">
        <v>291</v>
      </c>
      <c r="E30" s="391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3">
      <c r="A31" s="191">
        <v>25</v>
      </c>
      <c r="B31" s="414" t="s">
        <v>294</v>
      </c>
      <c r="C31" s="414" t="s">
        <v>295</v>
      </c>
      <c r="D31" s="414"/>
      <c r="E31" s="391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3">
      <c r="A32" s="191">
        <v>26</v>
      </c>
      <c r="B32" s="414"/>
      <c r="C32" s="414"/>
      <c r="D32" s="41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8:A32 A33:D156">
    <cfRule type="expression" dxfId="46" priority="18" stopIfTrue="1">
      <formula>$Q8&gt;=1</formula>
    </cfRule>
  </conditionalFormatting>
  <conditionalFormatting sqref="A7:D7 B33:D37">
    <cfRule type="expression" dxfId="45" priority="5" stopIfTrue="1">
      <formula>$Q7&gt;=1</formula>
    </cfRule>
  </conditionalFormatting>
  <conditionalFormatting sqref="B23:C25">
    <cfRule type="expression" dxfId="44" priority="2" stopIfTrue="1">
      <formula>$S23&gt;=1</formula>
    </cfRule>
  </conditionalFormatting>
  <conditionalFormatting sqref="C8:D9">
    <cfRule type="expression" dxfId="43" priority="4" stopIfTrue="1">
      <formula>$S8&gt;=1</formula>
    </cfRule>
  </conditionalFormatting>
  <conditionalFormatting sqref="D24:D25">
    <cfRule type="expression" dxfId="42" priority="1" stopIfTrue="1">
      <formula>$S23&gt;=1</formula>
    </cfRule>
  </conditionalFormatting>
  <conditionalFormatting sqref="E7:E14">
    <cfRule type="expression" dxfId="41" priority="10" stopIfTrue="1">
      <formula>AND(ROUNDDOWN(($A$4-E7)/365.25,0)&lt;=13,G7&lt;&gt;"OK")</formula>
    </cfRule>
    <cfRule type="expression" dxfId="40" priority="11" stopIfTrue="1">
      <formula>AND(ROUNDDOWN(($A$4-E7)/365.25,0)&lt;=14,G7&lt;&gt;"OK")</formula>
    </cfRule>
    <cfRule type="expression" dxfId="39" priority="12" stopIfTrue="1">
      <formula>AND(ROUNDDOWN(($A$4-E7)/365.25,0)&lt;=17,G7&lt;&gt;"OK")</formula>
    </cfRule>
    <cfRule type="expression" dxfId="38" priority="15" stopIfTrue="1">
      <formula>AND(ROUNDDOWN(($A$4-E7)/365.25,0)&lt;=13,G7&lt;&gt;"OK")</formula>
    </cfRule>
    <cfRule type="expression" dxfId="37" priority="16" stopIfTrue="1">
      <formula>AND(ROUNDDOWN(($A$4-E7)/365.25,0)&lt;=14,G7&lt;&gt;"OK")</formula>
    </cfRule>
    <cfRule type="expression" dxfId="36" priority="17" stopIfTrue="1">
      <formula>AND(ROUNDDOWN(($A$4-E7)/365.25,0)&lt;=17,G7&lt;&gt;"OK")</formula>
    </cfRule>
  </conditionalFormatting>
  <conditionalFormatting sqref="E7:E37">
    <cfRule type="expression" dxfId="35" priority="6" stopIfTrue="1">
      <formula>AND(ROUNDDOWN(($A$4-E7)/365.25,0)&lt;=13,G7&lt;&gt;"OK")</formula>
    </cfRule>
    <cfRule type="expression" dxfId="34" priority="7" stopIfTrue="1">
      <formula>AND(ROUNDDOWN(($A$4-E7)/365.25,0)&lt;=14,G7&lt;&gt;"OK")</formula>
    </cfRule>
    <cfRule type="expression" dxfId="33" priority="8" stopIfTrue="1">
      <formula>AND(ROUNDDOWN(($A$4-E7)/365.25,0)&lt;=17,G7&lt;&gt;"OK")</formula>
    </cfRule>
  </conditionalFormatting>
  <conditionalFormatting sqref="E7:E156">
    <cfRule type="expression" dxfId="32" priority="20" stopIfTrue="1">
      <formula>AND(ROUNDDOWN(($A$4-E7)/365.25,0)&lt;=13,G7&lt;&gt;"OK")</formula>
    </cfRule>
    <cfRule type="expression" dxfId="31" priority="21" stopIfTrue="1">
      <formula>AND(ROUNDDOWN(($A$4-E7)/365.25,0)&lt;=14,G7&lt;&gt;"OK")</formula>
    </cfRule>
    <cfRule type="expression" dxfId="30" priority="22" stopIfTrue="1">
      <formula>AND(ROUNDDOWN(($A$4-E7)/365.25,0)&lt;=17,G7&lt;&gt;"OK")</formula>
    </cfRule>
  </conditionalFormatting>
  <conditionalFormatting sqref="J7:J156">
    <cfRule type="cellIs" dxfId="29" priority="14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indexed="11"/>
  </sheetPr>
  <dimension ref="A1:AK41"/>
  <sheetViews>
    <sheetView workbookViewId="0">
      <selection activeCell="G30" sqref="G3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3.8" x14ac:dyDescent="0.3">
      <c r="A7" s="304" t="s">
        <v>64</v>
      </c>
      <c r="B7" s="329"/>
      <c r="C7" s="298">
        <v>0</v>
      </c>
      <c r="D7" s="298">
        <v>0</v>
      </c>
      <c r="E7" s="432" t="s">
        <v>318</v>
      </c>
      <c r="F7" s="299"/>
      <c r="G7" s="432" t="s">
        <v>226</v>
      </c>
      <c r="H7" s="299"/>
      <c r="I7" s="414" t="s">
        <v>205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3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 xml:space="preserve">ZÁMBÓ </v>
      </c>
      <c r="F9" s="299"/>
      <c r="G9" s="293" t="str">
        <f>IF($B9="","",VLOOKUP($B9,'Fiú 2 kcs. B. ELO'!$A$7:$O$22,3))</f>
        <v>Zénó</v>
      </c>
      <c r="H9" s="299"/>
      <c r="I9" s="293" t="str">
        <f>IF($B9="","",VLOOKUP($B9,'Fiú 2 kcs. B. ELO'!$A$7:$O$22,4))</f>
        <v>Koch V. - Pécs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/>
      <c r="C11" s="298">
        <v>0</v>
      </c>
      <c r="D11" s="298">
        <v>0</v>
      </c>
      <c r="E11" s="432" t="s">
        <v>319</v>
      </c>
      <c r="F11" s="299"/>
      <c r="G11" s="432" t="s">
        <v>295</v>
      </c>
      <c r="H11" s="299"/>
      <c r="I11" s="293" t="str">
        <f>IF($B11="","",VLOOKUP($B11,'Fiú 2 kcs. B. ELO'!$A$7:$O$22,4))</f>
        <v/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>ASZÓDI</v>
      </c>
      <c r="E18" s="439"/>
      <c r="F18" s="439" t="str">
        <f>E9</f>
        <v xml:space="preserve">ZÁMBÓ </v>
      </c>
      <c r="G18" s="439"/>
      <c r="H18" s="439" t="str">
        <f>E11</f>
        <v>MÉSZÁROS</v>
      </c>
      <c r="I18" s="439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>ASZÓDI</v>
      </c>
      <c r="C19" s="441"/>
      <c r="D19" s="442"/>
      <c r="E19" s="442"/>
      <c r="F19" s="443"/>
      <c r="G19" s="443"/>
      <c r="H19" s="443"/>
      <c r="I19" s="443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 xml:space="preserve">ZÁMBÓ </v>
      </c>
      <c r="C20" s="441"/>
      <c r="D20" s="443"/>
      <c r="E20" s="443"/>
      <c r="F20" s="442"/>
      <c r="G20" s="442"/>
      <c r="H20" s="443"/>
      <c r="I20" s="443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>MÉSZÁROS</v>
      </c>
      <c r="C21" s="441"/>
      <c r="D21" s="443"/>
      <c r="E21" s="443"/>
      <c r="F21" s="443"/>
      <c r="G21" s="443"/>
      <c r="H21" s="442"/>
      <c r="I21" s="442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8" priority="2" stopIfTrue="1" operator="equal">
      <formula>"Bye"</formula>
    </cfRule>
  </conditionalFormatting>
  <conditionalFormatting sqref="R41">
    <cfRule type="expression" dxfId="2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tabColor indexed="11"/>
  </sheetPr>
  <dimension ref="A1:AK41"/>
  <sheetViews>
    <sheetView workbookViewId="0">
      <selection activeCell="G13" sqref="G13:H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10</v>
      </c>
      <c r="C7" s="331">
        <f>IF($B7="","",VLOOKUP($B7,'Fiú 2 kcs. B. ELO'!$A$7:$O$22,5))</f>
        <v>0</v>
      </c>
      <c r="D7" s="331">
        <f>IF($B7="","",VLOOKUP($B7,'Fiú 2 kcs. B. ELO'!$A$7:$O$22,15))</f>
        <v>0</v>
      </c>
      <c r="E7" s="440" t="str">
        <f>UPPER(IF($B7="","",VLOOKUP($B7,'Fiú 2 kcs. B. ELO'!$A$7:$O$22,2)))</f>
        <v>HATÁR</v>
      </c>
      <c r="F7" s="440"/>
      <c r="G7" s="440" t="str">
        <f>IF($B7="","",VLOOKUP($B7,'Fiú 2 kcs. B. ELO'!$A$7:$O$22,3))</f>
        <v>Ábel</v>
      </c>
      <c r="H7" s="440"/>
      <c r="I7" s="332" t="str">
        <f>IF($B7="","",VLOOKUP($B7,'Fiú 2 kcs. B. ELO'!$A$7:$O$22,4))</f>
        <v>Szfvári Teleki B. Gimn.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29">
        <v>17</v>
      </c>
      <c r="C9" s="331">
        <f>IF($B9="","",VLOOKUP($B9,'Fiú 2 kcs. B. ELO'!$A$7:$O$22,5))</f>
        <v>0</v>
      </c>
      <c r="D9" s="331">
        <f>IF($B9="","",VLOOKUP($B9,'Fiú 2 kcs. B. ELO'!$A$7:$O$22,15))</f>
        <v>0</v>
      </c>
      <c r="E9" s="451" t="s">
        <v>316</v>
      </c>
      <c r="F9" s="440"/>
      <c r="G9" s="451" t="s">
        <v>276</v>
      </c>
      <c r="H9" s="440"/>
      <c r="I9" s="414" t="s">
        <v>277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12</v>
      </c>
      <c r="C11" s="331">
        <f>IF($B11="","",VLOOKUP($B11,'Fiú 2 kcs. B. ELO'!$A$7:$O$22,5))</f>
        <v>0</v>
      </c>
      <c r="D11" s="331">
        <f>IF($B11="","",VLOOKUP($B11,'Fiú 2 kcs. B. ELO'!$A$7:$O$22,15))</f>
        <v>0</v>
      </c>
      <c r="E11" s="440" t="str">
        <f>UPPER(IF($B11="","",VLOOKUP($B11,'Fiú 2 kcs. B. ELO'!$A$7:$O$22,2)))</f>
        <v>KOVÁCS</v>
      </c>
      <c r="F11" s="440"/>
      <c r="G11" s="440" t="str">
        <f>IF($B11="","",VLOOKUP($B11,'Fiú 2 kcs. B. ELO'!$A$7:$O$22,3))</f>
        <v>Áron Gábor</v>
      </c>
      <c r="H11" s="440"/>
      <c r="I11" s="332" t="str">
        <f>IF($B11="","",VLOOKUP($B11,'Fiú 2 kcs. B. ELO'!$A$7:$O$22,4))</f>
        <v>Db., Hatvani I.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04" t="s">
        <v>71</v>
      </c>
      <c r="B13" s="329"/>
      <c r="C13" s="331">
        <v>0</v>
      </c>
      <c r="D13" s="331">
        <v>0</v>
      </c>
      <c r="E13" s="451" t="s">
        <v>317</v>
      </c>
      <c r="F13" s="440"/>
      <c r="G13" s="451" t="s">
        <v>226</v>
      </c>
      <c r="H13" s="440"/>
      <c r="I13" s="414" t="s">
        <v>168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>HATÁR</v>
      </c>
      <c r="E18" s="439"/>
      <c r="F18" s="439" t="str">
        <f>E9</f>
        <v>AKILI</v>
      </c>
      <c r="G18" s="439"/>
      <c r="H18" s="439" t="str">
        <f>E11</f>
        <v>KOVÁCS</v>
      </c>
      <c r="I18" s="439"/>
      <c r="J18" s="439" t="str">
        <f>E13</f>
        <v>SZITA</v>
      </c>
      <c r="K18" s="439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>HATÁR</v>
      </c>
      <c r="C19" s="441"/>
      <c r="D19" s="442"/>
      <c r="E19" s="442"/>
      <c r="F19" s="443"/>
      <c r="G19" s="443"/>
      <c r="H19" s="443"/>
      <c r="I19" s="443"/>
      <c r="J19" s="439"/>
      <c r="K19" s="439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>AKILI</v>
      </c>
      <c r="C20" s="441"/>
      <c r="D20" s="443"/>
      <c r="E20" s="443"/>
      <c r="F20" s="442"/>
      <c r="G20" s="442"/>
      <c r="H20" s="443"/>
      <c r="I20" s="443"/>
      <c r="J20" s="443"/>
      <c r="K20" s="443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>KOVÁCS</v>
      </c>
      <c r="C21" s="441"/>
      <c r="D21" s="443"/>
      <c r="E21" s="443"/>
      <c r="F21" s="443"/>
      <c r="G21" s="443"/>
      <c r="H21" s="442"/>
      <c r="I21" s="442"/>
      <c r="J21" s="443"/>
      <c r="K21" s="443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41" t="str">
        <f>E13</f>
        <v>SZITA</v>
      </c>
      <c r="C22" s="441"/>
      <c r="D22" s="443"/>
      <c r="E22" s="443"/>
      <c r="F22" s="443"/>
      <c r="G22" s="443"/>
      <c r="H22" s="439"/>
      <c r="I22" s="439"/>
      <c r="J22" s="442"/>
      <c r="K22" s="442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6" priority="2" stopIfTrue="1" operator="equal">
      <formula>"Bye"</formula>
    </cfRule>
  </conditionalFormatting>
  <conditionalFormatting sqref="R41">
    <cfRule type="expression" dxfId="2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2025.05.26-06-01.</v>
      </c>
      <c r="B5" s="54" t="str">
        <f>Altalanos!$C$10</f>
        <v>Balatonboglár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35" t="s">
        <v>25</v>
      </c>
      <c r="B6" s="435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4" t="s">
        <v>26</v>
      </c>
      <c r="B20" s="17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7"/>
  <sheetViews>
    <sheetView workbookViewId="0">
      <selection activeCell="P15" sqref="P1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14">
        <f>Altalanos!$E$8</f>
        <v>0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3.8" x14ac:dyDescent="0.3">
      <c r="A7" s="335" t="s">
        <v>64</v>
      </c>
      <c r="B7" s="348">
        <v>6</v>
      </c>
      <c r="C7" s="298" t="e">
        <f>IF($B7="","",VLOOKUP($B7,#REF!,5))</f>
        <v>#REF!</v>
      </c>
      <c r="D7" s="298" t="e">
        <f>IF($B7="","",VLOOKUP($B7,#REF!,15))</f>
        <v>#REF!</v>
      </c>
      <c r="E7" s="431" t="s">
        <v>310</v>
      </c>
      <c r="F7" s="297"/>
      <c r="G7" s="431" t="s">
        <v>231</v>
      </c>
      <c r="H7" s="297"/>
      <c r="I7" s="414" t="s">
        <v>249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50">
        <v>21</v>
      </c>
      <c r="C9" s="298" t="e">
        <f>IF($B9="","",VLOOKUP($B9,#REF!,5))</f>
        <v>#REF!</v>
      </c>
      <c r="D9" s="298" t="e">
        <f>IF($B9="","",VLOOKUP($B9,#REF!,15))</f>
        <v>#REF!</v>
      </c>
      <c r="E9" s="433" t="s">
        <v>311</v>
      </c>
      <c r="F9" s="434"/>
      <c r="G9" s="433" t="s">
        <v>286</v>
      </c>
      <c r="H9" s="299"/>
      <c r="I9" s="415" t="s">
        <v>173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3.8" x14ac:dyDescent="0.25">
      <c r="A11" s="304" t="s">
        <v>66</v>
      </c>
      <c r="B11" s="350">
        <v>18</v>
      </c>
      <c r="C11" s="298" t="e">
        <f>IF($B11="","",VLOOKUP($B11,#REF!,5))</f>
        <v>#REF!</v>
      </c>
      <c r="D11" s="298" t="e">
        <f>IF($B11="","",VLOOKUP($B11,#REF!,15))</f>
        <v>#REF!</v>
      </c>
      <c r="E11" s="433" t="s">
        <v>312</v>
      </c>
      <c r="F11" s="434"/>
      <c r="G11" s="433" t="s">
        <v>279</v>
      </c>
      <c r="H11" s="299"/>
      <c r="I11" s="421" t="s">
        <v>280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35" t="s">
        <v>71</v>
      </c>
      <c r="B13" s="348">
        <v>19</v>
      </c>
      <c r="C13" s="298" t="e">
        <f>IF($B13="","",VLOOKUP($B13,#REF!,5))</f>
        <v>#REF!</v>
      </c>
      <c r="D13" s="298" t="e">
        <f>IF($B13="","",VLOOKUP($B13,#REF!,15))</f>
        <v>#REF!</v>
      </c>
      <c r="E13" s="431" t="s">
        <v>313</v>
      </c>
      <c r="F13" s="297"/>
      <c r="G13" s="431" t="s">
        <v>282</v>
      </c>
      <c r="H13" s="297"/>
      <c r="I13" s="414" t="s">
        <v>283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ht="14.4" x14ac:dyDescent="0.3">
      <c r="A15" s="304" t="s">
        <v>72</v>
      </c>
      <c r="B15" s="350">
        <v>7</v>
      </c>
      <c r="C15" s="298" t="e">
        <f>IF($B15="","",VLOOKUP($B15,#REF!,5))</f>
        <v>#REF!</v>
      </c>
      <c r="D15" s="298" t="e">
        <f>IF($B15="","",VLOOKUP($B15,#REF!,15))</f>
        <v>#REF!</v>
      </c>
      <c r="E15" s="433" t="s">
        <v>315</v>
      </c>
      <c r="F15" s="434"/>
      <c r="G15" s="433" t="s">
        <v>231</v>
      </c>
      <c r="H15" s="299"/>
      <c r="I15" s="420" t="s">
        <v>251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ht="13.8" x14ac:dyDescent="0.3">
      <c r="A17" s="304" t="s">
        <v>73</v>
      </c>
      <c r="B17" s="350">
        <v>23</v>
      </c>
      <c r="C17" s="298" t="e">
        <f>IF($B17="","",VLOOKUP($B17,#REF!,5))</f>
        <v>#REF!</v>
      </c>
      <c r="D17" s="298" t="e">
        <f>IF($B17="","",VLOOKUP($B17,#REF!,15))</f>
        <v>#REF!</v>
      </c>
      <c r="E17" s="433" t="s">
        <v>314</v>
      </c>
      <c r="F17" s="434"/>
      <c r="G17" s="433" t="s">
        <v>289</v>
      </c>
      <c r="H17" s="299"/>
      <c r="I17" s="414" t="s">
        <v>183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>GYŐRFI</v>
      </c>
      <c r="E22" s="439"/>
      <c r="F22" s="439" t="str">
        <f>E9</f>
        <v>PAPP</v>
      </c>
      <c r="G22" s="439"/>
      <c r="H22" s="439" t="str">
        <f>E11</f>
        <v>SZŐCS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>GYŐRFI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>PAPP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>SZŐCS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>JOHANCSIK</v>
      </c>
      <c r="E27" s="439"/>
      <c r="F27" s="439" t="str">
        <f>E15</f>
        <v>SIMON</v>
      </c>
      <c r="G27" s="439"/>
      <c r="H27" s="439" t="str">
        <f>E17</f>
        <v>IMRE</v>
      </c>
      <c r="I27" s="439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>JOHANCSIK</v>
      </c>
      <c r="C28" s="441"/>
      <c r="D28" s="442"/>
      <c r="E28" s="442"/>
      <c r="F28" s="443"/>
      <c r="G28" s="443"/>
      <c r="H28" s="443"/>
      <c r="I28" s="44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41" t="str">
        <f>E15</f>
        <v>SIMON</v>
      </c>
      <c r="C29" s="441"/>
      <c r="D29" s="443"/>
      <c r="E29" s="443"/>
      <c r="F29" s="442"/>
      <c r="G29" s="442"/>
      <c r="H29" s="443"/>
      <c r="I29" s="44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41" t="str">
        <f>E17</f>
        <v>IMRE</v>
      </c>
      <c r="C30" s="441"/>
      <c r="D30" s="443"/>
      <c r="E30" s="443"/>
      <c r="F30" s="443"/>
      <c r="G30" s="443"/>
      <c r="H30" s="442"/>
      <c r="I30" s="442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4" t="e">
        <f>IF(D40&gt;$R$47,,UPPER(VLOOKUP(D40,#REF!,2)))</f>
        <v>#REF!</v>
      </c>
      <c r="F40" s="44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5" t="e">
        <f>IF(D41&gt;$R$47,,UPPER(VLOOKUP(D41,#REF!,2)))</f>
        <v>#REF!</v>
      </c>
      <c r="F41" s="445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24" priority="3" stopIfTrue="1" operator="equal">
      <formula>"Bye"</formula>
    </cfRule>
  </conditionalFormatting>
  <conditionalFormatting sqref="I11">
    <cfRule type="expression" dxfId="23" priority="2" stopIfTrue="1">
      <formula>$S10&gt;=1</formula>
    </cfRule>
  </conditionalFormatting>
  <conditionalFormatting sqref="I13">
    <cfRule type="expression" dxfId="22" priority="1" stopIfTrue="1">
      <formula>$S12&gt;=1</formula>
    </cfRule>
  </conditionalFormatting>
  <conditionalFormatting sqref="R47">
    <cfRule type="expression" dxfId="21" priority="4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indexed="11"/>
  </sheetPr>
  <dimension ref="A1:AK47"/>
  <sheetViews>
    <sheetView workbookViewId="0">
      <selection activeCell="P22" sqref="P2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11</v>
      </c>
      <c r="C7" s="298">
        <f>IF($B7="","",VLOOKUP($B7,'Fiú 2 kcs. B. ELO'!$A$7:$O$22,5))</f>
        <v>0</v>
      </c>
      <c r="D7" s="298">
        <f>IF($B7="","",VLOOKUP($B7,'Fiú 2 kcs. B. ELO'!$A$7:$O$22,15))</f>
        <v>0</v>
      </c>
      <c r="E7" s="294" t="str">
        <f>UPPER(IF($B7="","",VLOOKUP($B7,'Fiú 2 kcs. B. ELO'!$A$7:$O$22,2)))</f>
        <v>MÉHES</v>
      </c>
      <c r="F7" s="297"/>
      <c r="G7" s="294" t="str">
        <f>IF($B7="","",VLOOKUP($B7,'Fiú 2 kcs. B. ELO'!$A$7:$O$22,3))</f>
        <v>Ákos</v>
      </c>
      <c r="H7" s="297"/>
      <c r="I7" s="294" t="str">
        <f>IF($B7="","",VLOOKUP($B7,'Fiú 2 kcs. B. ELO'!$A$7:$O$22,4))</f>
        <v>Db., Lilla T.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16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>ÁBRAHÁM</v>
      </c>
      <c r="F9" s="299"/>
      <c r="G9" s="293" t="str">
        <f>IF($B9="","",VLOOKUP($B9,'Fiú 2 kcs. B. ELO'!$A$7:$O$22,3))</f>
        <v>Zoltán</v>
      </c>
      <c r="H9" s="299"/>
      <c r="I9" s="293" t="str">
        <f>IF($B9="","",VLOOKUP($B9,'Fiú 2 kcs. B. ELO'!$A$7:$O$22,4))</f>
        <v>Szent István Katolikus Általános Iskola és Óvoda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5</v>
      </c>
      <c r="C11" s="298">
        <f>IF($B11="","",VLOOKUP($B11,'Fiú 2 kcs. B. ELO'!$A$7:$O$22,5))</f>
        <v>0</v>
      </c>
      <c r="D11" s="298">
        <f>IF($B11="","",VLOOKUP($B11,'Fiú 2 kcs. B. ELO'!$A$7:$O$22,15))</f>
        <v>0</v>
      </c>
      <c r="E11" s="293" t="str">
        <f>UPPER(IF($B11="","",VLOOKUP($B11,'Fiú 2 kcs. B. ELO'!$A$7:$O$22,2)))</f>
        <v xml:space="preserve">BUKÓ </v>
      </c>
      <c r="F11" s="299"/>
      <c r="G11" s="293" t="str">
        <f>IF($B11="","",VLOOKUP($B11,'Fiú 2 kcs. B. ELO'!$A$7:$O$22,3))</f>
        <v>Dávid</v>
      </c>
      <c r="H11" s="299"/>
      <c r="I11" s="293" t="str">
        <f>IF($B11="","",VLOOKUP($B11,'Fiú 2 kcs. B. ELO'!$A$7:$O$22,4))</f>
        <v>Kazincbarcikai Pollack Mihály Általános Iskola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</v>
      </c>
      <c r="C13" s="298">
        <f>IF($B13="","",VLOOKUP($B13,'Fiú 2 kcs. B. ELO'!$A$7:$O$22,5))</f>
        <v>0</v>
      </c>
      <c r="D13" s="298">
        <f>IF($B13="","",VLOOKUP($B13,'Fiú 2 kcs. B. ELO'!$A$7:$O$22,15))</f>
        <v>0</v>
      </c>
      <c r="E13" s="294" t="str">
        <f>UPPER(IF($B13="","",VLOOKUP($B13,'Fiú 2 kcs. B. ELO'!$A$7:$O$22,2)))</f>
        <v xml:space="preserve">SZÁNTÓ </v>
      </c>
      <c r="F13" s="297"/>
      <c r="G13" s="294" t="str">
        <f>IF($B13="","",VLOOKUP($B13,'Fiú 2 kcs. B. ELO'!$A$7:$O$22,3))</f>
        <v>Hunor Tamás</v>
      </c>
      <c r="H13" s="297"/>
      <c r="I13" s="294" t="str">
        <f>IF($B13="","",VLOOKUP($B13,'Fiú 2 kcs. B. ELO'!$A$7:$O$22,4))</f>
        <v xml:space="preserve"> Petőfi Sándor Katolikus Általános Iskola és Óvoda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14</v>
      </c>
      <c r="C15" s="298">
        <f>IF($B15="","",VLOOKUP($B15,'Fiú 2 kcs. B. ELO'!$A$7:$O$22,5))</f>
        <v>0</v>
      </c>
      <c r="D15" s="298">
        <f>IF($B15="","",VLOOKUP($B15,'Fiú 2 kcs. B. ELO'!$A$7:$O$22,15))</f>
        <v>0</v>
      </c>
      <c r="E15" s="293" t="str">
        <f>UPPER(IF($B15="","",VLOOKUP($B15,'Fiú 2 kcs. B. ELO'!$A$7:$O$22,2)))</f>
        <v xml:space="preserve">PAP </v>
      </c>
      <c r="F15" s="299"/>
      <c r="G15" s="293" t="str">
        <f>IF($B15="","",VLOOKUP($B15,'Fiú 2 kcs. B. ELO'!$A$7:$O$22,3))</f>
        <v>Benedek</v>
      </c>
      <c r="H15" s="299"/>
      <c r="I15" s="293">
        <f>IF($B15="","",VLOOKUP($B15,'Fiú 2 kcs. B. ELO'!$A$7:$O$22,4))</f>
        <v>0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4</v>
      </c>
      <c r="C17" s="298">
        <f>IF($B17="","",VLOOKUP($B17,'Fiú 2 kcs. B. ELO'!$A$7:$O$22,5))</f>
        <v>0</v>
      </c>
      <c r="D17" s="298">
        <f>IF($B17="","",VLOOKUP($B17,'Fiú 2 kcs. B. ELO'!$A$7:$O$22,15))</f>
        <v>0</v>
      </c>
      <c r="E17" s="293" t="str">
        <f>UPPER(IF($B17="","",VLOOKUP($B17,'Fiú 2 kcs. B. ELO'!$A$7:$O$22,2)))</f>
        <v xml:space="preserve">SOLTI </v>
      </c>
      <c r="F17" s="299"/>
      <c r="G17" s="293" t="str">
        <f>IF($B17="","",VLOOKUP($B17,'Fiú 2 kcs. B. ELO'!$A$7:$O$22,3))</f>
        <v>Olivér</v>
      </c>
      <c r="H17" s="299"/>
      <c r="I17" s="293" t="str">
        <f>IF($B17="","",VLOOKUP($B17,'Fiú 2 kcs. B. ELO'!$A$7:$O$22,4))</f>
        <v>Békéscsaba Petőfi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>MÉHES</v>
      </c>
      <c r="E22" s="439"/>
      <c r="F22" s="439" t="str">
        <f>E9</f>
        <v>ÁBRAHÁM</v>
      </c>
      <c r="G22" s="439"/>
      <c r="H22" s="439" t="str">
        <f>E11</f>
        <v xml:space="preserve">BUKÓ 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>MÉHES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>ÁBRAHÁM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 xml:space="preserve">BUKÓ 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 xml:space="preserve">SZÁNTÓ </v>
      </c>
      <c r="E27" s="439"/>
      <c r="F27" s="439" t="str">
        <f>E15</f>
        <v xml:space="preserve">PAP </v>
      </c>
      <c r="G27" s="439"/>
      <c r="H27" s="439" t="str">
        <f>E17</f>
        <v xml:space="preserve">SOLTI </v>
      </c>
      <c r="I27" s="439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 xml:space="preserve">SZÁNTÓ </v>
      </c>
      <c r="C28" s="441"/>
      <c r="D28" s="442"/>
      <c r="E28" s="442"/>
      <c r="F28" s="443"/>
      <c r="G28" s="443"/>
      <c r="H28" s="443"/>
      <c r="I28" s="44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41" t="str">
        <f>E15</f>
        <v xml:space="preserve">PAP </v>
      </c>
      <c r="C29" s="441"/>
      <c r="D29" s="443"/>
      <c r="E29" s="443"/>
      <c r="F29" s="442"/>
      <c r="G29" s="442"/>
      <c r="H29" s="443"/>
      <c r="I29" s="44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41" t="str">
        <f>E17</f>
        <v xml:space="preserve">SOLTI </v>
      </c>
      <c r="C30" s="441"/>
      <c r="D30" s="443"/>
      <c r="E30" s="443"/>
      <c r="F30" s="443"/>
      <c r="G30" s="443"/>
      <c r="H30" s="442"/>
      <c r="I30" s="442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4" t="str">
        <f>IF(D40&gt;$R$47,,UPPER(VLOOKUP(D40,'Fiú 2 kcs. B. ELO'!$A$7:$Q$134,2)))</f>
        <v xml:space="preserve">SZÁNTÓ </v>
      </c>
      <c r="F40" s="44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5" t="str">
        <f>IF(D41&gt;$R$47,,UPPER(VLOOKUP(D41,'Fiú 2 kcs. B. ELO'!$A$7:$Q$134,2)))</f>
        <v xml:space="preserve">SZEBÉNYI </v>
      </c>
      <c r="F41" s="445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2 kcs. B. ELO'!Q5)</f>
        <v>4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20" priority="1" stopIfTrue="1" operator="equal">
      <formula>"Bye"</formula>
    </cfRule>
  </conditionalFormatting>
  <conditionalFormatting sqref="R47">
    <cfRule type="expression" dxfId="1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tabColor indexed="11"/>
  </sheetPr>
  <dimension ref="A1:AK49"/>
  <sheetViews>
    <sheetView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8</v>
      </c>
      <c r="C7" s="298">
        <f>IF($B7="","",VLOOKUP($B7,'Fiú 2 kcs. B. ELO'!$A$7:$O$22,5))</f>
        <v>0</v>
      </c>
      <c r="D7" s="298">
        <f>IF($B7="","",VLOOKUP($B7,'Fiú 2 kcs. B. ELO'!$A$7:$O$22,15))</f>
        <v>0</v>
      </c>
      <c r="E7" s="294" t="str">
        <f>UPPER(IF($B7="","",VLOOKUP($B7,'Fiú 2 kcs. B. ELO'!$A$7:$O$22,2)))</f>
        <v xml:space="preserve">KALUHA </v>
      </c>
      <c r="F7" s="297"/>
      <c r="G7" s="294" t="str">
        <f>IF($B7="","",VLOOKUP($B7,'Fiú 2 kcs. B. ELO'!$A$7:$O$22,3))</f>
        <v>Máté</v>
      </c>
      <c r="H7" s="297"/>
      <c r="I7" s="294" t="str">
        <f>IF($B7="","",VLOOKUP($B7,'Fiú 2 kcs. B. ELO'!$A$7:$O$22,4))</f>
        <v>Grosics Gyula Katolikus Sport Általános Iskola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110</v>
      </c>
      <c r="S7" s="404" t="s">
        <v>112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111</v>
      </c>
      <c r="S8" s="405" t="s">
        <v>113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13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 xml:space="preserve">ROSICZKY </v>
      </c>
      <c r="F9" s="299"/>
      <c r="G9" s="293" t="str">
        <f>IF($B9="","",VLOOKUP($B9,'Fiú 2 kcs. B. ELO'!$A$7:$O$22,3))</f>
        <v>Ronin</v>
      </c>
      <c r="H9" s="299"/>
      <c r="I9" s="293">
        <f>IF($B9="","",VLOOKUP($B9,'Fiú 2 kcs. B. ELO'!$A$7:$O$22,4))</f>
        <v>0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87</v>
      </c>
      <c r="S9" s="406" t="s">
        <v>114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3.8" x14ac:dyDescent="0.3">
      <c r="A11" s="304" t="s">
        <v>66</v>
      </c>
      <c r="B11" s="350">
        <v>24</v>
      </c>
      <c r="C11" s="298">
        <f>IF($B11="","",VLOOKUP($B11,'Fiú 2 kcs. B. ELO'!$A$7:$O$22,5))</f>
        <v>0</v>
      </c>
      <c r="D11" s="298">
        <f>IF($B11="","",VLOOKUP($B11,'Fiú 2 kcs. B. ELO'!$A$7:$O$22,15))</f>
        <v>0</v>
      </c>
      <c r="E11" s="432" t="s">
        <v>320</v>
      </c>
      <c r="F11" s="299"/>
      <c r="G11" s="432" t="s">
        <v>213</v>
      </c>
      <c r="H11" s="299"/>
      <c r="I11" s="414" t="s">
        <v>291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2</v>
      </c>
      <c r="C13" s="298">
        <f>IF($B13="","",VLOOKUP($B13,'Fiú 2 kcs. B. ELO'!$A$7:$O$22,5))</f>
        <v>0</v>
      </c>
      <c r="D13" s="298">
        <f>IF($B13="","",VLOOKUP($B13,'Fiú 2 kcs. B. ELO'!$A$7:$O$22,15))</f>
        <v>0</v>
      </c>
      <c r="E13" s="294" t="str">
        <f>UPPER(IF($B13="","",VLOOKUP($B13,'Fiú 2 kcs. B. ELO'!$A$7:$O$22,2)))</f>
        <v xml:space="preserve">SZEBÉNYI </v>
      </c>
      <c r="F13" s="297"/>
      <c r="G13" s="294" t="str">
        <f>IF($B13="","",VLOOKUP($B13,'Fiú 2 kcs. B. ELO'!$A$7:$O$22,3))</f>
        <v>Alexander</v>
      </c>
      <c r="H13" s="297"/>
      <c r="I13" s="294" t="str">
        <f>IF($B13="","",VLOOKUP($B13,'Fiú 2 kcs. B. ELO'!$A$7:$O$22,4))</f>
        <v>Koch V. - Pécs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9</v>
      </c>
      <c r="C15" s="298">
        <f>IF($B15="","",VLOOKUP($B15,'Fiú 2 kcs. B. ELO'!$A$7:$O$22,5))</f>
        <v>0</v>
      </c>
      <c r="D15" s="298">
        <f>IF($B15="","",VLOOKUP($B15,'Fiú 2 kcs. B. ELO'!$A$7:$O$22,15))</f>
        <v>0</v>
      </c>
      <c r="E15" s="293" t="str">
        <f>UPPER(IF($B15="","",VLOOKUP($B15,'Fiú 2 kcs. B. ELO'!$A$7:$O$22,2)))</f>
        <v>PASZICSNYEK-ZSADÁNY</v>
      </c>
      <c r="F15" s="299"/>
      <c r="G15" s="293" t="str">
        <f>IF($B15="","",VLOOKUP($B15,'Fiú 2 kcs. B. ELO'!$A$7:$O$22,3))</f>
        <v>Zsolt</v>
      </c>
      <c r="H15" s="299"/>
      <c r="I15" s="293" t="str">
        <f>IF($B15="","",VLOOKUP($B15,'Fiú 2 kcs. B. ELO'!$A$7:$O$22,4))</f>
        <v>Szt. László Ált Isk Bicske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15</v>
      </c>
      <c r="C17" s="298">
        <f>IF($B17="","",VLOOKUP($B17,'Fiú 2 kcs. B. ELO'!$A$7:$O$22,5))</f>
        <v>0</v>
      </c>
      <c r="D17" s="298">
        <f>IF($B17="","",VLOOKUP($B17,'Fiú 2 kcs. B. ELO'!$A$7:$O$22,15))</f>
        <v>0</v>
      </c>
      <c r="E17" s="293" t="str">
        <f>UPPER(IF($B17="","",VLOOKUP($B17,'Fiú 2 kcs. B. ELO'!$A$7:$O$22,2)))</f>
        <v>KOCZKA</v>
      </c>
      <c r="F17" s="299"/>
      <c r="G17" s="293" t="str">
        <f>IF($B17="","",VLOOKUP($B17,'Fiú 2 kcs. B. ELO'!$A$7:$O$22,3))</f>
        <v>Ákos</v>
      </c>
      <c r="H17" s="299"/>
      <c r="I17" s="293" t="str">
        <f>IF($B17="","",VLOOKUP($B17,'Fiú 2 kcs. B. ELO'!$A$7:$O$22,4))</f>
        <v>Szent István Sport Általános Iskola és Gimnázium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04" t="s">
        <v>73</v>
      </c>
      <c r="B19" s="350"/>
      <c r="C19" s="298" t="str">
        <f>IF($B19="","",VLOOKUP($B19,'Fiú 2 kcs. B. ELO'!$A$7:$O$22,5))</f>
        <v/>
      </c>
      <c r="D19" s="298" t="str">
        <f>IF($B19="","",VLOOKUP($B19,'Fiú 2 kcs. B. ELO'!$A$7:$O$22,15))</f>
        <v/>
      </c>
      <c r="E19" s="293" t="str">
        <f>UPPER(IF($B19="","",VLOOKUP($B19,'Fiú 2 kcs. B. ELO'!$A$7:$O$22,2)))</f>
        <v/>
      </c>
      <c r="F19" s="299"/>
      <c r="G19" s="293" t="str">
        <f>IF($B19="","",VLOOKUP($B19,'Fiú 2 kcs. B. ELO'!$A$7:$O$22,3))</f>
        <v/>
      </c>
      <c r="H19" s="299"/>
      <c r="I19" s="293" t="str">
        <f>IF($B19="","",VLOOKUP($B19,'Fiú 2 kcs. B. ELO'!$A$7:$O$22,4))</f>
        <v/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 xml:space="preserve">KALUHA </v>
      </c>
      <c r="E22" s="439"/>
      <c r="F22" s="439" t="str">
        <f>E9</f>
        <v xml:space="preserve">ROSICZKY </v>
      </c>
      <c r="G22" s="439"/>
      <c r="H22" s="439" t="str">
        <f>E11</f>
        <v>BAA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 xml:space="preserve">KALUHA 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 xml:space="preserve">ROSICZKY 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>BAA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 xml:space="preserve">SZEBÉNYI </v>
      </c>
      <c r="E27" s="439"/>
      <c r="F27" s="439" t="str">
        <f>E15</f>
        <v>PASZICSNYEK-ZSADÁNY</v>
      </c>
      <c r="G27" s="439"/>
      <c r="H27" s="439" t="str">
        <f>E17</f>
        <v>KOCZKA</v>
      </c>
      <c r="I27" s="439"/>
      <c r="J27" s="439" t="str">
        <f>E19</f>
        <v/>
      </c>
      <c r="K27" s="439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 xml:space="preserve">SZEBÉNYI </v>
      </c>
      <c r="C28" s="441"/>
      <c r="D28" s="442"/>
      <c r="E28" s="442"/>
      <c r="F28" s="443"/>
      <c r="G28" s="443"/>
      <c r="H28" s="443"/>
      <c r="I28" s="443"/>
      <c r="J28" s="439"/>
      <c r="K28" s="439"/>
      <c r="L28" s="274"/>
      <c r="M28" s="337"/>
    </row>
    <row r="29" spans="1:37" ht="18.75" customHeight="1" x14ac:dyDescent="0.25">
      <c r="A29" s="334" t="s">
        <v>72</v>
      </c>
      <c r="B29" s="441" t="str">
        <f>E15</f>
        <v>PASZICSNYEK-ZSADÁNY</v>
      </c>
      <c r="C29" s="441"/>
      <c r="D29" s="443"/>
      <c r="E29" s="443"/>
      <c r="F29" s="442"/>
      <c r="G29" s="442"/>
      <c r="H29" s="443"/>
      <c r="I29" s="443"/>
      <c r="J29" s="443"/>
      <c r="K29" s="443"/>
      <c r="L29" s="274"/>
      <c r="M29" s="337"/>
    </row>
    <row r="30" spans="1:37" ht="18.75" customHeight="1" x14ac:dyDescent="0.25">
      <c r="A30" s="334" t="s">
        <v>73</v>
      </c>
      <c r="B30" s="441" t="str">
        <f>E17</f>
        <v>KOCZKA</v>
      </c>
      <c r="C30" s="441"/>
      <c r="D30" s="443"/>
      <c r="E30" s="443"/>
      <c r="F30" s="443"/>
      <c r="G30" s="443"/>
      <c r="H30" s="442"/>
      <c r="I30" s="442"/>
      <c r="J30" s="443"/>
      <c r="K30" s="443"/>
      <c r="L30" s="274"/>
      <c r="M30" s="337"/>
    </row>
    <row r="31" spans="1:37" ht="18.75" customHeight="1" x14ac:dyDescent="0.25">
      <c r="A31" s="334" t="s">
        <v>77</v>
      </c>
      <c r="B31" s="441" t="str">
        <f>E19</f>
        <v/>
      </c>
      <c r="C31" s="441"/>
      <c r="D31" s="443"/>
      <c r="E31" s="443"/>
      <c r="F31" s="443"/>
      <c r="G31" s="443"/>
      <c r="H31" s="439"/>
      <c r="I31" s="439"/>
      <c r="J31" s="442"/>
      <c r="K31" s="442"/>
      <c r="L31" s="274"/>
      <c r="M31" s="337"/>
    </row>
    <row r="32" spans="1:37" ht="18.75" customHeight="1" x14ac:dyDescent="0.25">
      <c r="A32" s="339"/>
      <c r="B32" s="340"/>
      <c r="C32" s="340"/>
      <c r="D32" s="339"/>
      <c r="E32" s="339"/>
      <c r="F32" s="339"/>
      <c r="G32" s="339"/>
      <c r="H32" s="339"/>
      <c r="I32" s="339"/>
      <c r="J32" s="274"/>
      <c r="K32" s="274"/>
      <c r="L32" s="274"/>
      <c r="M32" s="341"/>
    </row>
    <row r="33" spans="1:18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8" x14ac:dyDescent="0.25">
      <c r="A34" s="274" t="s">
        <v>58</v>
      </c>
      <c r="B34" s="274"/>
      <c r="C34" s="446" t="str">
        <f>IF(M23=1,B23,IF(M24=1,B24,IF(M25=1,B25,"")))</f>
        <v/>
      </c>
      <c r="D34" s="446"/>
      <c r="E34" s="304" t="s">
        <v>75</v>
      </c>
      <c r="F34" s="446" t="str">
        <f>IF(M28=1,B28,IF(M29=1,B29,IF(M30=1,B30,IF(M31=1,B31,""))))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46" t="str">
        <f>IF(M23=2,B23,IF(M24=2,B24,IF(M25=2,B25,"")))</f>
        <v/>
      </c>
      <c r="D36" s="446"/>
      <c r="E36" s="304" t="s">
        <v>75</v>
      </c>
      <c r="F36" s="446" t="str">
        <f>IF(M28=2,B28,IF(M29=2,B29,IF(M30=2,B30,IF(M31=2,B31,""))))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46" t="str">
        <f>IF(M23=3,B23,IF(M24=3,B24,IF(M25=3,B25,"")))</f>
        <v/>
      </c>
      <c r="D38" s="446"/>
      <c r="E38" s="304" t="s">
        <v>75</v>
      </c>
      <c r="F38" s="446" t="str">
        <f>IF(M28=3,B28,IF(M29=3,B29,IF(M30=3,B30,IF(M31=3,B31,""))))</f>
        <v/>
      </c>
      <c r="G38" s="446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44" t="str">
        <f>IF(D42&gt;$R$44,,UPPER(VLOOKUP(D42,'Fiú 2 kcs. B. ELO'!$A$7:$Q$134,2)))</f>
        <v xml:space="preserve">SZÁNTÓ </v>
      </c>
      <c r="F42" s="444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45" t="str">
        <f>IF(D43&gt;$R$44,,UPPER(VLOOKUP(D43,'Fiú 2 kcs. B. ELO'!$A$7:$Q$134,2)))</f>
        <v xml:space="preserve">SZEBÉNYI </v>
      </c>
      <c r="F43" s="445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MIN(4,'Fiú 2 kcs. B.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8" priority="1" stopIfTrue="1" operator="equal">
      <formula>"Bye"</formula>
    </cfRule>
  </conditionalFormatting>
  <conditionalFormatting sqref="R44 R49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9">
    <tabColor indexed="11"/>
  </sheetPr>
  <dimension ref="A1:AS140"/>
  <sheetViews>
    <sheetView workbookViewId="0">
      <selection activeCell="X21" sqref="X2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0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63" t="e">
        <f>IF($Y$5=1,CONCATENATE(VLOOKUP($Y$3,$AA$2:$AH$14,2)),CONCATENATE(VLOOKUP($Y$3,$AA$16:$AH$25,2)))</f>
        <v>#N/A</v>
      </c>
      <c r="AC1" s="363" t="e">
        <f>IF($Y$5=1,CONCATENATE(VLOOKUP($Y$3,$AA$2:$AH$14,3)),CONCATENATE(VLOOKUP($Y$3,$AA$16:$AH$25,3)))</f>
        <v>#N/A</v>
      </c>
      <c r="AD1" s="363" t="e">
        <f>IF($Y$5=1,CONCATENATE(VLOOKUP($Y$3,$AA$2:$AH$14,4)),CONCATENATE(VLOOKUP($Y$3,$AA$16:$AH$25,4)))</f>
        <v>#N/A</v>
      </c>
      <c r="AE1" s="363" t="e">
        <f>IF($Y$5=1,CONCATENATE(VLOOKUP($Y$3,$AA$2:$AH$14,5)),CONCATENATE(VLOOKUP($Y$3,$AA$16:$AH$25,5)))</f>
        <v>#N/A</v>
      </c>
      <c r="AF1" s="363" t="e">
        <f>IF($Y$5=1,CONCATENATE(VLOOKUP($Y$3,$AA$2:$AH$14,6)),CONCATENATE(VLOOKUP($Y$3,$AA$16:$AH$25,6)))</f>
        <v>#N/A</v>
      </c>
      <c r="AG1" s="363" t="e">
        <f>IF($Y$5=1,CONCATENATE(VLOOKUP($Y$3,$AA$2:$AH$14,7)),CONCATENATE(VLOOKUP($Y$3,$AA$16:$AH$25,7)))</f>
        <v>#N/A</v>
      </c>
      <c r="AH1" s="363" t="e">
        <f>IF($Y$5=1,CONCATENATE(VLOOKUP($Y$3,$AA$2:$AH$14,8)),CONCATENATE(VLOOKUP($Y$3,$AA$16:$AH$25,8)))</f>
        <v>#N/A</v>
      </c>
      <c r="AI1" s="367"/>
      <c r="AJ1" s="367"/>
      <c r="AK1" s="367"/>
    </row>
    <row r="2" spans="1:45" s="96" customFormat="1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3"/>
      <c r="Z2" s="352"/>
      <c r="AA2" s="352" t="s">
        <v>64</v>
      </c>
      <c r="AB2" s="343">
        <v>300</v>
      </c>
      <c r="AC2" s="343">
        <v>250</v>
      </c>
      <c r="AD2" s="343">
        <v>200</v>
      </c>
      <c r="AE2" s="343">
        <v>150</v>
      </c>
      <c r="AF2" s="343">
        <v>120</v>
      </c>
      <c r="AG2" s="343">
        <v>90</v>
      </c>
      <c r="AH2" s="343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52" t="str">
        <f>IF(K4="OB","A",IF(K4="IX","W",IF(K4="","",K4)))</f>
        <v/>
      </c>
      <c r="Z3" s="352"/>
      <c r="AA3" s="352" t="s">
        <v>65</v>
      </c>
      <c r="AB3" s="343">
        <v>280</v>
      </c>
      <c r="AC3" s="343">
        <v>230</v>
      </c>
      <c r="AD3" s="343">
        <v>180</v>
      </c>
      <c r="AE3" s="343">
        <v>140</v>
      </c>
      <c r="AF3" s="343">
        <v>80</v>
      </c>
      <c r="AG3" s="343">
        <v>0</v>
      </c>
      <c r="AH3" s="343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37" t="str">
        <f>Altalanos!$A$10</f>
        <v>2025.05.26-06-01.</v>
      </c>
      <c r="B4" s="437"/>
      <c r="C4" s="437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52"/>
      <c r="Z4" s="352"/>
      <c r="AA4" s="352" t="s">
        <v>88</v>
      </c>
      <c r="AB4" s="343">
        <v>250</v>
      </c>
      <c r="AC4" s="343">
        <v>200</v>
      </c>
      <c r="AD4" s="343">
        <v>150</v>
      </c>
      <c r="AE4" s="343">
        <v>120</v>
      </c>
      <c r="AF4" s="343">
        <v>90</v>
      </c>
      <c r="AG4" s="343">
        <v>60</v>
      </c>
      <c r="AH4" s="343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52">
        <f>IF(OR(Altalanos!$A$8="F1",Altalanos!$A$8="F2",Altalanos!$A$8="N1",Altalanos!$A$8="N2"),1,2)</f>
        <v>2</v>
      </c>
      <c r="Z5" s="352"/>
      <c r="AA5" s="352" t="s">
        <v>89</v>
      </c>
      <c r="AB5" s="343">
        <v>200</v>
      </c>
      <c r="AC5" s="343">
        <v>150</v>
      </c>
      <c r="AD5" s="343">
        <v>120</v>
      </c>
      <c r="AE5" s="343">
        <v>90</v>
      </c>
      <c r="AF5" s="343">
        <v>60</v>
      </c>
      <c r="AG5" s="343">
        <v>40</v>
      </c>
      <c r="AH5" s="343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7"/>
      <c r="B6" s="358"/>
      <c r="C6" s="358"/>
      <c r="D6" s="358"/>
      <c r="E6" s="358"/>
      <c r="F6" s="357" t="str">
        <f>IF(Y3="","",CONCATENATE(VLOOKUP(Y3,AB1:AH1,4)," pont"))</f>
        <v/>
      </c>
      <c r="G6" s="359"/>
      <c r="H6" s="5"/>
      <c r="I6" s="359"/>
      <c r="J6" s="360"/>
      <c r="K6" s="358" t="str">
        <f>IF(Y3="","",CONCATENATE(VLOOKUP(Y3,AB1:AH1,3)," pont"))</f>
        <v/>
      </c>
      <c r="L6" s="360"/>
      <c r="M6" s="358" t="str">
        <f>IF(Y3="","",CONCATENATE(VLOOKUP(Y3,AB1:AH1,2)," pont"))</f>
        <v/>
      </c>
      <c r="N6" s="360"/>
      <c r="O6" s="358" t="str">
        <f>IF(Y3="","",CONCATENATE(VLOOKUP(Y3,AB1:AH1,1)," pont"))</f>
        <v/>
      </c>
      <c r="P6" s="360"/>
      <c r="Q6" s="358"/>
      <c r="R6" s="361"/>
      <c r="T6" s="269"/>
      <c r="U6" s="269"/>
      <c r="V6" s="269"/>
      <c r="W6" s="269"/>
      <c r="X6" s="269"/>
      <c r="Y6" s="352"/>
      <c r="Z6" s="352"/>
      <c r="AA6" s="352" t="s">
        <v>90</v>
      </c>
      <c r="AB6" s="343">
        <v>150</v>
      </c>
      <c r="AC6" s="343">
        <v>120</v>
      </c>
      <c r="AD6" s="343">
        <v>90</v>
      </c>
      <c r="AE6" s="343">
        <v>60</v>
      </c>
      <c r="AF6" s="343">
        <v>40</v>
      </c>
      <c r="AG6" s="343">
        <v>25</v>
      </c>
      <c r="AH6" s="343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IF($E7="","",VLOOKUP($E7,'Fiú 2 kcs. B. ELO'!$A$7:$O$22,14))</f>
        <v/>
      </c>
      <c r="C7" s="242" t="str">
        <f>IF($E7="","",VLOOKUP($E7,'Fiú 2 kcs. B. ELO'!$A$7:$O$22,15))</f>
        <v/>
      </c>
      <c r="D7" s="242" t="str">
        <f>IF($E7="","",VLOOKUP($E7,'Fiú 2 kcs. B. ELO'!$A$7:$O$22,5))</f>
        <v/>
      </c>
      <c r="E7" s="243"/>
      <c r="F7" s="244" t="str">
        <f>UPPER(IF($E7="","",VLOOKUP($E7,'Fiú 2 kcs. B. ELO'!$A$7:$O$22,2)))</f>
        <v/>
      </c>
      <c r="G7" s="244" t="str">
        <f>IF($E7="","",VLOOKUP($E7,'Fiú 2 kcs. B. ELO'!$A$7:$O$22,3))</f>
        <v/>
      </c>
      <c r="H7" s="244"/>
      <c r="I7" s="244" t="str">
        <f>IF($E7="","",VLOOKUP($E7,'Fiú 2 kcs. B. ELO'!$A$7:$O$22,4))</f>
        <v/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52"/>
      <c r="Z7" s="352"/>
      <c r="AA7" s="352" t="s">
        <v>91</v>
      </c>
      <c r="AB7" s="343">
        <v>120</v>
      </c>
      <c r="AC7" s="343">
        <v>90</v>
      </c>
      <c r="AD7" s="343">
        <v>60</v>
      </c>
      <c r="AE7" s="343">
        <v>40</v>
      </c>
      <c r="AF7" s="343">
        <v>25</v>
      </c>
      <c r="AG7" s="343">
        <v>10</v>
      </c>
      <c r="AH7" s="343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5" t="s">
        <v>0</v>
      </c>
      <c r="J8" s="132"/>
      <c r="K8" s="251" t="str">
        <f>UPPER(IF(OR(J8="a",J8="as"),F7,IF(OR(J8="b",J8="bs"),F9,)))</f>
        <v/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52"/>
      <c r="Z8" s="352"/>
      <c r="AA8" s="352" t="s">
        <v>92</v>
      </c>
      <c r="AB8" s="343">
        <v>90</v>
      </c>
      <c r="AC8" s="343">
        <v>60</v>
      </c>
      <c r="AD8" s="343">
        <v>40</v>
      </c>
      <c r="AE8" s="343">
        <v>25</v>
      </c>
      <c r="AF8" s="343">
        <v>10</v>
      </c>
      <c r="AG8" s="343">
        <v>5</v>
      </c>
      <c r="AH8" s="343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IF($E9="","",VLOOKUP($E9,'Fiú 2 kcs. B. ELO'!$A$7:$O$22,14))</f>
        <v/>
      </c>
      <c r="C9" s="242" t="str">
        <f>IF($E9="","",VLOOKUP($E9,'Fiú 2 kcs. B. ELO'!$A$7:$O$22,15))</f>
        <v/>
      </c>
      <c r="D9" s="242" t="str">
        <f>IF($E9="","",VLOOKUP($E9,'Fiú 2 kcs. B. ELO'!$A$7:$O$22,5))</f>
        <v/>
      </c>
      <c r="E9" s="386"/>
      <c r="F9" s="293" t="str">
        <f>UPPER(IF($E9="","",VLOOKUP($E9,'Fiú 2 kcs. B. ELO'!$A$7:$O$22,2)))</f>
        <v/>
      </c>
      <c r="G9" s="293" t="str">
        <f>IF($E9="","",VLOOKUP($E9,'Fiú 2 kcs. B. ELO'!$A$7:$O$22,3))</f>
        <v/>
      </c>
      <c r="H9" s="293"/>
      <c r="I9" s="293" t="str">
        <f>IF($E9="","",VLOOKUP($E9,'Fiú 2 kcs. B. ELO'!$A$7:$O$22,4))</f>
        <v/>
      </c>
      <c r="J9" s="253"/>
      <c r="K9" s="246"/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52"/>
      <c r="Z9" s="352"/>
      <c r="AA9" s="352" t="s">
        <v>93</v>
      </c>
      <c r="AB9" s="343">
        <v>60</v>
      </c>
      <c r="AC9" s="343">
        <v>40</v>
      </c>
      <c r="AD9" s="343">
        <v>25</v>
      </c>
      <c r="AE9" s="343">
        <v>10</v>
      </c>
      <c r="AF9" s="343">
        <v>5</v>
      </c>
      <c r="AG9" s="343">
        <v>2</v>
      </c>
      <c r="AH9" s="343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7"/>
      <c r="F10" s="388"/>
      <c r="G10" s="388"/>
      <c r="H10" s="389"/>
      <c r="I10" s="388"/>
      <c r="J10" s="255"/>
      <c r="K10" s="395" t="s">
        <v>0</v>
      </c>
      <c r="L10" s="133"/>
      <c r="M10" s="251" t="str">
        <f>UPPER(IF(OR(L10="a",L10="as"),K8,IF(OR(L10="b",L10="bs"),K12,)))</f>
        <v/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52"/>
      <c r="Z10" s="352"/>
      <c r="AA10" s="352" t="s">
        <v>94</v>
      </c>
      <c r="AB10" s="343">
        <v>40</v>
      </c>
      <c r="AC10" s="343">
        <v>25</v>
      </c>
      <c r="AD10" s="343">
        <v>15</v>
      </c>
      <c r="AE10" s="343">
        <v>7</v>
      </c>
      <c r="AF10" s="343">
        <v>4</v>
      </c>
      <c r="AG10" s="343">
        <v>1</v>
      </c>
      <c r="AH10" s="343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IF($E11="","",VLOOKUP($E11,'Fiú 2 kcs. B. ELO'!$A$7:$O$22,14))</f>
        <v/>
      </c>
      <c r="C11" s="242" t="str">
        <f>IF($E11="","",VLOOKUP($E11,'Fiú 2 kcs. B. ELO'!$A$7:$O$22,15))</f>
        <v/>
      </c>
      <c r="D11" s="242" t="str">
        <f>IF($E11="","",VLOOKUP($E11,'Fiú 2 kcs. B. ELO'!$A$7:$O$22,5))</f>
        <v/>
      </c>
      <c r="E11" s="386"/>
      <c r="F11" s="293" t="str">
        <f>UPPER(IF($E11="","",VLOOKUP($E11,'Fiú 2 kcs. B. ELO'!$A$7:$O$22,2)))</f>
        <v/>
      </c>
      <c r="G11" s="293" t="str">
        <f>IF($E11="","",VLOOKUP($E11,'Fiú 2 kcs. B. ELO'!$A$7:$O$22,3))</f>
        <v/>
      </c>
      <c r="H11" s="293"/>
      <c r="I11" s="293" t="str">
        <f>IF($E11="","",VLOOKUP($E11,'Fiú 2 kcs. B. ELO'!$A$7:$O$22,4))</f>
        <v/>
      </c>
      <c r="J11" s="245"/>
      <c r="K11" s="246"/>
      <c r="L11" s="258"/>
      <c r="M11" s="246"/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52"/>
      <c r="Z11" s="352"/>
      <c r="AA11" s="352" t="s">
        <v>95</v>
      </c>
      <c r="AB11" s="343">
        <v>25</v>
      </c>
      <c r="AC11" s="343">
        <v>15</v>
      </c>
      <c r="AD11" s="343">
        <v>10</v>
      </c>
      <c r="AE11" s="343">
        <v>6</v>
      </c>
      <c r="AF11" s="343">
        <v>3</v>
      </c>
      <c r="AG11" s="343">
        <v>1</v>
      </c>
      <c r="AH11" s="343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7"/>
      <c r="F12" s="388"/>
      <c r="G12" s="388"/>
      <c r="H12" s="389"/>
      <c r="I12" s="395" t="s">
        <v>0</v>
      </c>
      <c r="J12" s="132"/>
      <c r="K12" s="251" t="str">
        <f>UPPER(IF(OR(J12="a",J12="as"),F11,IF(OR(J12="b",J12="bs"),F13,)))</f>
        <v/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52"/>
      <c r="Z12" s="352"/>
      <c r="AA12" s="352" t="s">
        <v>100</v>
      </c>
      <c r="AB12" s="343">
        <v>15</v>
      </c>
      <c r="AC12" s="343">
        <v>10</v>
      </c>
      <c r="AD12" s="343">
        <v>6</v>
      </c>
      <c r="AE12" s="343">
        <v>3</v>
      </c>
      <c r="AF12" s="343">
        <v>1</v>
      </c>
      <c r="AG12" s="343">
        <v>0</v>
      </c>
      <c r="AH12" s="343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IF($E13="","",VLOOKUP($E13,'Fiú 2 kcs. B. ELO'!$A$7:$O$22,14))</f>
        <v/>
      </c>
      <c r="C13" s="242" t="str">
        <f>IF($E13="","",VLOOKUP($E13,'Fiú 2 kcs. B. ELO'!$A$7:$O$22,15))</f>
        <v/>
      </c>
      <c r="D13" s="242" t="str">
        <f>IF($E13="","",VLOOKUP($E13,'Fiú 2 kcs. B. ELO'!$A$7:$O$22,5))</f>
        <v/>
      </c>
      <c r="E13" s="386"/>
      <c r="F13" s="293" t="str">
        <f>UPPER(IF($E13="","",VLOOKUP($E13,'Fiú 2 kcs. B. ELO'!$A$7:$O$22,2)))</f>
        <v/>
      </c>
      <c r="G13" s="293" t="str">
        <f>IF($E13="","",VLOOKUP($E13,'Fiú 2 kcs. B. ELO'!$A$7:$O$22,3))</f>
        <v/>
      </c>
      <c r="H13" s="293"/>
      <c r="I13" s="293" t="str">
        <f>IF($E13="","",VLOOKUP($E13,'Fiú 2 kcs. B.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52"/>
      <c r="Z13" s="352"/>
      <c r="AA13" s="352" t="s">
        <v>96</v>
      </c>
      <c r="AB13" s="343">
        <v>10</v>
      </c>
      <c r="AC13" s="343">
        <v>6</v>
      </c>
      <c r="AD13" s="343">
        <v>3</v>
      </c>
      <c r="AE13" s="343">
        <v>1</v>
      </c>
      <c r="AF13" s="343">
        <v>0</v>
      </c>
      <c r="AG13" s="343">
        <v>0</v>
      </c>
      <c r="AH13" s="343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7"/>
      <c r="F14" s="388"/>
      <c r="G14" s="388"/>
      <c r="H14" s="389"/>
      <c r="I14" s="388"/>
      <c r="J14" s="255"/>
      <c r="K14" s="246"/>
      <c r="L14" s="246"/>
      <c r="M14" s="395" t="s">
        <v>0</v>
      </c>
      <c r="N14" s="133"/>
      <c r="O14" s="251" t="str">
        <f>UPPER(IF(OR(N14="a",N14="as"),M10,IF(OR(N14="b",N14="bs"),M18,)))</f>
        <v/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52"/>
      <c r="Z14" s="352"/>
      <c r="AA14" s="352" t="s">
        <v>97</v>
      </c>
      <c r="AB14" s="343">
        <v>3</v>
      </c>
      <c r="AC14" s="343">
        <v>2</v>
      </c>
      <c r="AD14" s="343">
        <v>1</v>
      </c>
      <c r="AE14" s="343">
        <v>0</v>
      </c>
      <c r="AF14" s="343">
        <v>0</v>
      </c>
      <c r="AG14" s="343">
        <v>0</v>
      </c>
      <c r="AH14" s="343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IF($E15="","",VLOOKUP($E15,'Fiú 2 kcs. B. ELO'!$A$7:$O$22,14))</f>
        <v/>
      </c>
      <c r="C15" s="242" t="str">
        <f>IF($E15="","",VLOOKUP($E15,'Fiú 2 kcs. B. ELO'!$A$7:$O$22,15))</f>
        <v/>
      </c>
      <c r="D15" s="242" t="str">
        <f>IF($E15="","",VLOOKUP($E15,'Fiú 2 kcs. B. ELO'!$A$7:$O$22,5))</f>
        <v/>
      </c>
      <c r="E15" s="386"/>
      <c r="F15" s="293" t="str">
        <f>UPPER(IF($E15="","",VLOOKUP($E15,'Fiú 2 kcs. B. ELO'!$A$7:$O$22,2)))</f>
        <v/>
      </c>
      <c r="G15" s="293" t="str">
        <f>IF($E15="","",VLOOKUP($E15,'Fiú 2 kcs. B. ELO'!$A$7:$O$22,3))</f>
        <v/>
      </c>
      <c r="H15" s="293"/>
      <c r="I15" s="293" t="str">
        <f>IF($E15="","",VLOOKUP($E15,'Fiú 2 kcs. B. ELO'!$A$7:$O$22,4))</f>
        <v/>
      </c>
      <c r="J15" s="263"/>
      <c r="K15" s="246"/>
      <c r="L15" s="246"/>
      <c r="M15" s="246"/>
      <c r="N15" s="259"/>
      <c r="O15" s="246"/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7"/>
      <c r="F16" s="388"/>
      <c r="G16" s="388"/>
      <c r="H16" s="389"/>
      <c r="I16" s="395" t="s">
        <v>0</v>
      </c>
      <c r="J16" s="132"/>
      <c r="K16" s="251" t="str">
        <f>UPPER(IF(OR(J16="a",J16="as"),F15,IF(OR(J16="b",J16="bs"),F17,)))</f>
        <v/>
      </c>
      <c r="L16" s="251"/>
      <c r="M16" s="246"/>
      <c r="N16" s="259"/>
      <c r="O16" s="395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52"/>
      <c r="Z16" s="352"/>
      <c r="AA16" s="352" t="s">
        <v>64</v>
      </c>
      <c r="AB16" s="343">
        <v>150</v>
      </c>
      <c r="AC16" s="343">
        <v>120</v>
      </c>
      <c r="AD16" s="343">
        <v>90</v>
      </c>
      <c r="AE16" s="343">
        <v>60</v>
      </c>
      <c r="AF16" s="343">
        <v>40</v>
      </c>
      <c r="AG16" s="343">
        <v>25</v>
      </c>
      <c r="AH16" s="343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IF($E17="","",VLOOKUP($E17,'Fiú 2 kcs. B. ELO'!$A$7:$O$22,14))</f>
        <v/>
      </c>
      <c r="C17" s="242" t="str">
        <f>IF($E17="","",VLOOKUP($E17,'Fiú 2 kcs. B. ELO'!$A$7:$O$22,15))</f>
        <v/>
      </c>
      <c r="D17" s="242" t="str">
        <f>IF($E17="","",VLOOKUP($E17,'Fiú 2 kcs. B. ELO'!$A$7:$O$22,5))</f>
        <v/>
      </c>
      <c r="E17" s="386"/>
      <c r="F17" s="293" t="str">
        <f>UPPER(IF($E17="","",VLOOKUP($E17,'Fiú 2 kcs. B. ELO'!$A$7:$O$22,2)))</f>
        <v/>
      </c>
      <c r="G17" s="293" t="str">
        <f>IF($E17="","",VLOOKUP($E17,'Fiú 2 kcs. B. ELO'!$A$7:$O$22,3))</f>
        <v/>
      </c>
      <c r="H17" s="293"/>
      <c r="I17" s="293" t="str">
        <f>IF($E17="","",VLOOKUP($E17,'Fiú 2 kcs. B. ELO'!$A$7:$O$22,4))</f>
        <v/>
      </c>
      <c r="J17" s="253"/>
      <c r="K17" s="246"/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52"/>
      <c r="Z17" s="352"/>
      <c r="AA17" s="352" t="s">
        <v>88</v>
      </c>
      <c r="AB17" s="343">
        <v>120</v>
      </c>
      <c r="AC17" s="343">
        <v>90</v>
      </c>
      <c r="AD17" s="343">
        <v>60</v>
      </c>
      <c r="AE17" s="343">
        <v>40</v>
      </c>
      <c r="AF17" s="343">
        <v>25</v>
      </c>
      <c r="AG17" s="343">
        <v>15</v>
      </c>
      <c r="AH17" s="343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7"/>
      <c r="F18" s="388"/>
      <c r="G18" s="388"/>
      <c r="H18" s="389"/>
      <c r="I18" s="388"/>
      <c r="J18" s="255"/>
      <c r="K18" s="395" t="s">
        <v>0</v>
      </c>
      <c r="L18" s="133"/>
      <c r="M18" s="251" t="str">
        <f>UPPER(IF(OR(L18="a",L18="as"),K16,IF(OR(L18="b",L18="bs"),K20,)))</f>
        <v/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52"/>
      <c r="Z18" s="352"/>
      <c r="AA18" s="352" t="s">
        <v>89</v>
      </c>
      <c r="AB18" s="343">
        <v>90</v>
      </c>
      <c r="AC18" s="343">
        <v>60</v>
      </c>
      <c r="AD18" s="343">
        <v>40</v>
      </c>
      <c r="AE18" s="343">
        <v>25</v>
      </c>
      <c r="AF18" s="343">
        <v>15</v>
      </c>
      <c r="AG18" s="343">
        <v>8</v>
      </c>
      <c r="AH18" s="343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IF($E19="","",VLOOKUP($E19,'Fiú 2 kcs. B. ELO'!$A$7:$O$22,14))</f>
        <v/>
      </c>
      <c r="C19" s="242" t="str">
        <f>IF($E19="","",VLOOKUP($E19,'Fiú 2 kcs. B. ELO'!$A$7:$O$22,15))</f>
        <v/>
      </c>
      <c r="D19" s="242" t="str">
        <f>IF($E19="","",VLOOKUP($E19,'Fiú 2 kcs. B. ELO'!$A$7:$O$22,5))</f>
        <v/>
      </c>
      <c r="E19" s="386"/>
      <c r="F19" s="293" t="str">
        <f>UPPER(IF($E19="","",VLOOKUP($E19,'Fiú 2 kcs. B. ELO'!$A$7:$O$22,2)))</f>
        <v/>
      </c>
      <c r="G19" s="293" t="str">
        <f>IF($E19="","",VLOOKUP($E19,'Fiú 2 kcs. B. ELO'!$A$7:$O$22,3))</f>
        <v/>
      </c>
      <c r="H19" s="293"/>
      <c r="I19" s="293" t="str">
        <f>IF($E19="","",VLOOKUP($E19,'Fiú 2 kcs. B. ELO'!$A$7:$O$22,4))</f>
        <v/>
      </c>
      <c r="J19" s="245"/>
      <c r="K19" s="246"/>
      <c r="L19" s="258"/>
      <c r="M19" s="246"/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52"/>
      <c r="Z19" s="352"/>
      <c r="AA19" s="352" t="s">
        <v>90</v>
      </c>
      <c r="AB19" s="343">
        <v>60</v>
      </c>
      <c r="AC19" s="343">
        <v>40</v>
      </c>
      <c r="AD19" s="343">
        <v>25</v>
      </c>
      <c r="AE19" s="343">
        <v>15</v>
      </c>
      <c r="AF19" s="343">
        <v>8</v>
      </c>
      <c r="AG19" s="343">
        <v>4</v>
      </c>
      <c r="AH19" s="343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5" t="s">
        <v>0</v>
      </c>
      <c r="J20" s="132"/>
      <c r="K20" s="251" t="str">
        <f>UPPER(IF(OR(J20="a",J20="as"),F19,IF(OR(J20="b",J20="bs"),F21,)))</f>
        <v/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52"/>
      <c r="Z20" s="352"/>
      <c r="AA20" s="352" t="s">
        <v>91</v>
      </c>
      <c r="AB20" s="343">
        <v>40</v>
      </c>
      <c r="AC20" s="343">
        <v>25</v>
      </c>
      <c r="AD20" s="343">
        <v>15</v>
      </c>
      <c r="AE20" s="343">
        <v>8</v>
      </c>
      <c r="AF20" s="343">
        <v>4</v>
      </c>
      <c r="AG20" s="343">
        <v>2</v>
      </c>
      <c r="AH20" s="343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IF($E21="","",VLOOKUP($E21,'Fiú 2 kcs. B. ELO'!$A$7:$O$22,14))</f>
        <v/>
      </c>
      <c r="C21" s="242" t="str">
        <f>IF($E21="","",VLOOKUP($E21,'Fiú 2 kcs. B. ELO'!$A$7:$O$22,15))</f>
        <v/>
      </c>
      <c r="D21" s="242" t="str">
        <f>IF($E21="","",VLOOKUP($E21,'Fiú 2 kcs. B. ELO'!$A$7:$O$22,5))</f>
        <v/>
      </c>
      <c r="E21" s="243"/>
      <c r="F21" s="294" t="str">
        <f>UPPER(IF($E21="","",VLOOKUP($E21,'Fiú 2 kcs. B. ELO'!$A$7:$O$22,2)))</f>
        <v/>
      </c>
      <c r="G21" s="294" t="str">
        <f>IF($E21="","",VLOOKUP($E21,'Fiú 2 kcs. B. ELO'!$A$7:$O$22,3))</f>
        <v/>
      </c>
      <c r="H21" s="294"/>
      <c r="I21" s="294" t="str">
        <f>IF($E21="","",VLOOKUP($E21,'Fiú 2 kcs. B. ELO'!$A$7:$O$22,4))</f>
        <v/>
      </c>
      <c r="J21" s="261"/>
      <c r="K21" s="246"/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52"/>
      <c r="Z21" s="352"/>
      <c r="AA21" s="352" t="s">
        <v>92</v>
      </c>
      <c r="AB21" s="343">
        <v>25</v>
      </c>
      <c r="AC21" s="343">
        <v>15</v>
      </c>
      <c r="AD21" s="343">
        <v>10</v>
      </c>
      <c r="AE21" s="343">
        <v>6</v>
      </c>
      <c r="AF21" s="343">
        <v>3</v>
      </c>
      <c r="AG21" s="343">
        <v>1</v>
      </c>
      <c r="AH21" s="343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52"/>
      <c r="Z22" s="352"/>
      <c r="AA22" s="352" t="s">
        <v>93</v>
      </c>
      <c r="AB22" s="343">
        <v>15</v>
      </c>
      <c r="AC22" s="343">
        <v>10</v>
      </c>
      <c r="AD22" s="343">
        <v>6</v>
      </c>
      <c r="AE22" s="343">
        <v>3</v>
      </c>
      <c r="AF22" s="343">
        <v>1</v>
      </c>
      <c r="AG22" s="343">
        <v>0</v>
      </c>
      <c r="AH22" s="343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52"/>
      <c r="Z23" s="352"/>
      <c r="AA23" s="352" t="s">
        <v>94</v>
      </c>
      <c r="AB23" s="343">
        <v>10</v>
      </c>
      <c r="AC23" s="343">
        <v>6</v>
      </c>
      <c r="AD23" s="343">
        <v>3</v>
      </c>
      <c r="AE23" s="343">
        <v>1</v>
      </c>
      <c r="AF23" s="343">
        <v>0</v>
      </c>
      <c r="AG23" s="343">
        <v>0</v>
      </c>
      <c r="AH23" s="343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52"/>
      <c r="Z24" s="352"/>
      <c r="AA24" s="352" t="s">
        <v>95</v>
      </c>
      <c r="AB24" s="343">
        <v>6</v>
      </c>
      <c r="AC24" s="343">
        <v>3</v>
      </c>
      <c r="AD24" s="343">
        <v>1</v>
      </c>
      <c r="AE24" s="343">
        <v>0</v>
      </c>
      <c r="AF24" s="343">
        <v>0</v>
      </c>
      <c r="AG24" s="343">
        <v>0</v>
      </c>
      <c r="AH24" s="343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52"/>
      <c r="Z25" s="352"/>
      <c r="AA25" s="352" t="s">
        <v>100</v>
      </c>
      <c r="AB25" s="343">
        <v>3</v>
      </c>
      <c r="AC25" s="343">
        <v>2</v>
      </c>
      <c r="AD25" s="343">
        <v>1</v>
      </c>
      <c r="AE25" s="343">
        <v>0</v>
      </c>
      <c r="AF25" s="343">
        <v>0</v>
      </c>
      <c r="AG25" s="343">
        <v>0</v>
      </c>
      <c r="AH25" s="343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8"/>
      <c r="AJ28" s="368"/>
      <c r="AK28" s="368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8"/>
      <c r="AJ29" s="368"/>
      <c r="AK29" s="368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8"/>
      <c r="AJ30" s="368"/>
      <c r="AK30" s="368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8"/>
      <c r="AJ31" s="368"/>
      <c r="AK31" s="368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8"/>
      <c r="AJ32" s="368"/>
      <c r="AK32" s="368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8"/>
      <c r="AJ33" s="368"/>
      <c r="AK33" s="368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8"/>
      <c r="AJ34" s="368"/>
      <c r="AK34" s="368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8"/>
      <c r="AJ35" s="368"/>
      <c r="AK35" s="368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8"/>
      <c r="AJ36" s="368"/>
      <c r="AK36" s="368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8"/>
      <c r="AJ37" s="368"/>
      <c r="AK37" s="368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8"/>
      <c r="AJ38" s="368"/>
      <c r="AK38" s="368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8"/>
      <c r="AJ39" s="368"/>
      <c r="AK39" s="368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8"/>
      <c r="AJ40" s="368"/>
      <c r="AK40" s="368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8"/>
      <c r="AJ41" s="368"/>
      <c r="AK41" s="368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8"/>
      <c r="AJ42" s="368"/>
      <c r="AK42" s="368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8"/>
      <c r="AJ43" s="368"/>
      <c r="AK43" s="368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8"/>
      <c r="AJ44" s="368"/>
      <c r="AK44" s="368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8"/>
      <c r="AJ45" s="368"/>
      <c r="AK45" s="368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8"/>
      <c r="AJ46" s="368"/>
      <c r="AK46" s="368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8"/>
      <c r="AJ47" s="368"/>
      <c r="AK47" s="368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8"/>
      <c r="AJ48" s="368"/>
      <c r="AK48" s="368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8"/>
      <c r="AJ49" s="368"/>
      <c r="AK49" s="368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8"/>
      <c r="AJ50" s="368"/>
      <c r="AK50" s="368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8"/>
      <c r="AJ51" s="368"/>
      <c r="AK51" s="368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7"/>
      <c r="G52" s="407"/>
      <c r="H52" s="407"/>
      <c r="I52" s="407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8"/>
      <c r="AJ52" s="368"/>
      <c r="AK52" s="368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8"/>
      <c r="G53" s="408"/>
      <c r="H53" s="408"/>
      <c r="I53" s="408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8"/>
      <c r="AJ53" s="368"/>
      <c r="AK53" s="368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9"/>
      <c r="AJ54" s="369"/>
      <c r="AK54" s="369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IF(E55&gt;$R$62,,UPPER(VLOOKUP(E55,'Fiú 2 kcs. B. ELO'!$A$7:$Q$134,2)))</f>
        <v xml:space="preserve">SZÁNTÓ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9"/>
      <c r="AJ55" s="369"/>
      <c r="AK55" s="369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IF(E56&gt;$R$62,,UPPER(VLOOKUP(E56,'Fiú 2 kcs. B. ELO'!$A$7:$Q$134,2)))</f>
        <v xml:space="preserve">SZEBÉNYI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9"/>
      <c r="AJ56" s="369"/>
      <c r="AK56" s="369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9"/>
      <c r="AJ57" s="369"/>
      <c r="AK57" s="369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9"/>
      <c r="AJ58" s="369"/>
      <c r="AK58" s="369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9"/>
      <c r="AJ59" s="369"/>
      <c r="AK59" s="369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9"/>
      <c r="AJ60" s="369"/>
      <c r="AK60" s="369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9"/>
      <c r="AJ61" s="369"/>
      <c r="AK61" s="369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MIN(4,'Fiú 2 kcs. B.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9"/>
      <c r="AJ62" s="369"/>
      <c r="AK62" s="369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9" sqref="B9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62.6640625" style="40" bestFit="1" customWidth="1"/>
    <col min="5" max="5" width="10.5546875" style="390" customWidth="1"/>
    <col min="6" max="6" width="6.109375" style="91" hidden="1" customWidth="1"/>
    <col min="7" max="7" width="28.66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88" t="str">
        <f>Altalanos!$A$8</f>
        <v>Lány 2 kcs A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5" t="s">
        <v>184</v>
      </c>
      <c r="C7" s="414" t="s">
        <v>185</v>
      </c>
      <c r="D7" s="415" t="s">
        <v>186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4" t="s">
        <v>321</v>
      </c>
      <c r="C8" s="414" t="s">
        <v>187</v>
      </c>
      <c r="D8" s="414" t="s">
        <v>188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9" t="s">
        <v>189</v>
      </c>
      <c r="C9" s="414" t="s">
        <v>190</v>
      </c>
      <c r="D9" s="420" t="s">
        <v>191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9" t="s">
        <v>192</v>
      </c>
      <c r="C10" s="414" t="s">
        <v>193</v>
      </c>
      <c r="D10" s="420" t="s">
        <v>194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195</v>
      </c>
      <c r="C11" s="414" t="s">
        <v>196</v>
      </c>
      <c r="D11" s="414" t="s">
        <v>197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198</v>
      </c>
      <c r="C12" s="414" t="s">
        <v>199</v>
      </c>
      <c r="D12" s="414" t="s">
        <v>200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25">
      <c r="A13" s="191">
        <v>7</v>
      </c>
      <c r="B13" s="421" t="s">
        <v>201</v>
      </c>
      <c r="C13" s="421" t="s">
        <v>157</v>
      </c>
      <c r="D13" s="421" t="s">
        <v>202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23" t="s">
        <v>203</v>
      </c>
      <c r="C14" s="414" t="s">
        <v>204</v>
      </c>
      <c r="D14" s="414" t="s">
        <v>205</v>
      </c>
      <c r="E14" s="204"/>
      <c r="F14" s="376"/>
      <c r="G14" s="216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3">
      <c r="A15" s="191">
        <v>9</v>
      </c>
      <c r="B15" s="414" t="s">
        <v>206</v>
      </c>
      <c r="C15" s="414" t="s">
        <v>207</v>
      </c>
      <c r="D15" s="414" t="s">
        <v>208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3">
      <c r="A16" s="191">
        <v>10</v>
      </c>
      <c r="B16" s="414" t="s">
        <v>209</v>
      </c>
      <c r="C16" s="414" t="s">
        <v>210</v>
      </c>
      <c r="D16" s="424" t="s">
        <v>211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14" t="s">
        <v>141</v>
      </c>
      <c r="C17" s="414" t="s">
        <v>142</v>
      </c>
      <c r="D17" s="414" t="s">
        <v>143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14" t="s">
        <v>296</v>
      </c>
      <c r="C18" s="414" t="s">
        <v>297</v>
      </c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71" si="0">IF(Q40="",999,Q40)</f>
        <v>999</v>
      </c>
      <c r="M40" s="215">
        <f t="shared" ref="M40:M71" si="1">IF(P40=999,999,1)</f>
        <v>999</v>
      </c>
      <c r="N40" s="211"/>
      <c r="O40" s="95"/>
      <c r="P40" s="112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ref="L72:L100" si="3">IF(Q72="",999,Q72)</f>
        <v>999</v>
      </c>
      <c r="M72" s="215">
        <f t="shared" ref="M72:M100" si="4">IF(P72=999,999,1)</f>
        <v>999</v>
      </c>
      <c r="N72" s="211"/>
      <c r="O72" s="95"/>
      <c r="P72" s="112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3"/>
        <v>999</v>
      </c>
      <c r="M73" s="215">
        <f t="shared" si="4"/>
        <v>999</v>
      </c>
      <c r="N73" s="211"/>
      <c r="O73" s="95"/>
      <c r="P73" s="112">
        <f t="shared" si="5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3"/>
        <v>999</v>
      </c>
      <c r="M74" s="215">
        <f t="shared" si="4"/>
        <v>999</v>
      </c>
      <c r="N74" s="211"/>
      <c r="O74" s="95"/>
      <c r="P74" s="112">
        <f t="shared" si="5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3"/>
        <v>999</v>
      </c>
      <c r="M75" s="215">
        <f t="shared" si="4"/>
        <v>999</v>
      </c>
      <c r="N75" s="211"/>
      <c r="O75" s="95"/>
      <c r="P75" s="112">
        <f t="shared" si="5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3"/>
        <v>999</v>
      </c>
      <c r="M76" s="215">
        <f t="shared" si="4"/>
        <v>999</v>
      </c>
      <c r="N76" s="211"/>
      <c r="O76" s="95"/>
      <c r="P76" s="112">
        <f t="shared" si="5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3"/>
        <v>999</v>
      </c>
      <c r="M77" s="215">
        <f t="shared" si="4"/>
        <v>999</v>
      </c>
      <c r="N77" s="211"/>
      <c r="O77" s="95"/>
      <c r="P77" s="112">
        <f t="shared" si="5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3"/>
        <v>999</v>
      </c>
      <c r="M78" s="215">
        <f t="shared" si="4"/>
        <v>999</v>
      </c>
      <c r="N78" s="211"/>
      <c r="O78" s="95"/>
      <c r="P78" s="112">
        <f t="shared" si="5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3"/>
        <v>999</v>
      </c>
      <c r="M79" s="215">
        <f t="shared" si="4"/>
        <v>999</v>
      </c>
      <c r="N79" s="211"/>
      <c r="O79" s="95"/>
      <c r="P79" s="112">
        <f t="shared" si="5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3"/>
        <v>999</v>
      </c>
      <c r="M80" s="215">
        <f t="shared" si="4"/>
        <v>999</v>
      </c>
      <c r="N80" s="211"/>
      <c r="O80" s="95"/>
      <c r="P80" s="112">
        <f t="shared" si="5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3"/>
        <v>999</v>
      </c>
      <c r="M81" s="215">
        <f t="shared" si="4"/>
        <v>999</v>
      </c>
      <c r="N81" s="211"/>
      <c r="O81" s="95"/>
      <c r="P81" s="112">
        <f t="shared" si="5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3"/>
        <v>999</v>
      </c>
      <c r="M82" s="215">
        <f t="shared" si="4"/>
        <v>999</v>
      </c>
      <c r="N82" s="211"/>
      <c r="O82" s="95"/>
      <c r="P82" s="112">
        <f t="shared" si="5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3"/>
        <v>999</v>
      </c>
      <c r="M83" s="215">
        <f t="shared" si="4"/>
        <v>999</v>
      </c>
      <c r="N83" s="211"/>
      <c r="O83" s="95"/>
      <c r="P83" s="112">
        <f t="shared" si="5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3"/>
        <v>999</v>
      </c>
      <c r="M84" s="215">
        <f t="shared" si="4"/>
        <v>999</v>
      </c>
      <c r="N84" s="211"/>
      <c r="O84" s="95"/>
      <c r="P84" s="112">
        <f t="shared" si="5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3"/>
        <v>999</v>
      </c>
      <c r="M85" s="215">
        <f t="shared" si="4"/>
        <v>999</v>
      </c>
      <c r="N85" s="211"/>
      <c r="O85" s="95"/>
      <c r="P85" s="112">
        <f t="shared" si="5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3"/>
        <v>999</v>
      </c>
      <c r="M86" s="215">
        <f t="shared" si="4"/>
        <v>999</v>
      </c>
      <c r="N86" s="211"/>
      <c r="O86" s="95"/>
      <c r="P86" s="112">
        <f t="shared" si="5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3"/>
        <v>999</v>
      </c>
      <c r="M87" s="215">
        <f t="shared" si="4"/>
        <v>999</v>
      </c>
      <c r="N87" s="211"/>
      <c r="O87" s="95"/>
      <c r="P87" s="112">
        <f t="shared" si="5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3"/>
        <v>999</v>
      </c>
      <c r="M88" s="215">
        <f t="shared" si="4"/>
        <v>999</v>
      </c>
      <c r="N88" s="211"/>
      <c r="O88" s="95"/>
      <c r="P88" s="112">
        <f t="shared" si="5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3"/>
        <v>999</v>
      </c>
      <c r="M89" s="215">
        <f t="shared" si="4"/>
        <v>999</v>
      </c>
      <c r="N89" s="211"/>
      <c r="O89" s="95"/>
      <c r="P89" s="112">
        <f t="shared" si="5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3"/>
        <v>999</v>
      </c>
      <c r="M90" s="215">
        <f t="shared" si="4"/>
        <v>999</v>
      </c>
      <c r="N90" s="211"/>
      <c r="O90" s="95"/>
      <c r="P90" s="112">
        <f t="shared" si="5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3"/>
        <v>999</v>
      </c>
      <c r="M91" s="215">
        <f t="shared" si="4"/>
        <v>999</v>
      </c>
      <c r="N91" s="211"/>
      <c r="O91" s="95"/>
      <c r="P91" s="112">
        <f t="shared" si="5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3"/>
        <v>999</v>
      </c>
      <c r="M92" s="215">
        <f t="shared" si="4"/>
        <v>999</v>
      </c>
      <c r="N92" s="211"/>
      <c r="O92" s="95"/>
      <c r="P92" s="112">
        <f t="shared" si="5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3"/>
        <v>999</v>
      </c>
      <c r="M93" s="215">
        <f t="shared" si="4"/>
        <v>999</v>
      </c>
      <c r="N93" s="211"/>
      <c r="O93" s="95"/>
      <c r="P93" s="112">
        <f t="shared" si="5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3"/>
        <v>999</v>
      </c>
      <c r="M94" s="215">
        <f t="shared" si="4"/>
        <v>999</v>
      </c>
      <c r="N94" s="211"/>
      <c r="O94" s="95"/>
      <c r="P94" s="112">
        <f t="shared" si="5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3"/>
        <v>999</v>
      </c>
      <c r="M95" s="215">
        <f t="shared" si="4"/>
        <v>999</v>
      </c>
      <c r="N95" s="211"/>
      <c r="O95" s="95"/>
      <c r="P95" s="112">
        <f t="shared" si="5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3"/>
        <v>999</v>
      </c>
      <c r="M96" s="215">
        <f t="shared" si="4"/>
        <v>999</v>
      </c>
      <c r="N96" s="211"/>
      <c r="O96" s="95"/>
      <c r="P96" s="112">
        <f t="shared" si="5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3"/>
        <v>999</v>
      </c>
      <c r="M97" s="215">
        <f t="shared" si="4"/>
        <v>999</v>
      </c>
      <c r="N97" s="211"/>
      <c r="O97" s="95"/>
      <c r="P97" s="112">
        <f t="shared" si="5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3"/>
        <v>999</v>
      </c>
      <c r="M98" s="215">
        <f t="shared" si="4"/>
        <v>999</v>
      </c>
      <c r="N98" s="211"/>
      <c r="O98" s="95"/>
      <c r="P98" s="112">
        <f t="shared" si="5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3"/>
        <v>999</v>
      </c>
      <c r="M99" s="215">
        <f t="shared" si="4"/>
        <v>999</v>
      </c>
      <c r="N99" s="211"/>
      <c r="O99" s="95"/>
      <c r="P99" s="112">
        <f t="shared" si="5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3"/>
        <v>999</v>
      </c>
      <c r="M100" s="215">
        <f t="shared" si="4"/>
        <v>999</v>
      </c>
      <c r="N100" s="211"/>
      <c r="O100" s="95"/>
      <c r="P100" s="112">
        <f t="shared" si="5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ref="L101:L134" si="6">IF(Q101="",999,Q101)</f>
        <v>999</v>
      </c>
      <c r="M101" s="215">
        <f t="shared" ref="M101:M134" si="7">IF(P101=999,999,1)</f>
        <v>999</v>
      </c>
      <c r="N101" s="211"/>
      <c r="O101" s="95"/>
      <c r="P101" s="112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6"/>
        <v>999</v>
      </c>
      <c r="M102" s="215">
        <f t="shared" si="7"/>
        <v>999</v>
      </c>
      <c r="N102" s="211"/>
      <c r="O102" s="95"/>
      <c r="P102" s="112">
        <f t="shared" si="8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6"/>
        <v>999</v>
      </c>
      <c r="M103" s="215">
        <f t="shared" si="7"/>
        <v>999</v>
      </c>
      <c r="N103" s="211"/>
      <c r="O103" s="95"/>
      <c r="P103" s="112">
        <f t="shared" si="8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si="6"/>
        <v>999</v>
      </c>
      <c r="M104" s="215">
        <f t="shared" si="7"/>
        <v>999</v>
      </c>
      <c r="N104" s="211"/>
      <c r="O104" s="95"/>
      <c r="P104" s="112">
        <f t="shared" si="8"/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6"/>
        <v>999</v>
      </c>
      <c r="M105" s="215">
        <f t="shared" si="7"/>
        <v>999</v>
      </c>
      <c r="N105" s="211"/>
      <c r="O105" s="95"/>
      <c r="P105" s="112">
        <f t="shared" si="8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6"/>
        <v>999</v>
      </c>
      <c r="M106" s="215">
        <f t="shared" si="7"/>
        <v>999</v>
      </c>
      <c r="N106" s="211"/>
      <c r="O106" s="95"/>
      <c r="P106" s="112">
        <f t="shared" si="8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6"/>
        <v>999</v>
      </c>
      <c r="M107" s="215">
        <f t="shared" si="7"/>
        <v>999</v>
      </c>
      <c r="N107" s="211"/>
      <c r="O107" s="95"/>
      <c r="P107" s="112">
        <f t="shared" si="8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6"/>
        <v>999</v>
      </c>
      <c r="M108" s="215">
        <f t="shared" si="7"/>
        <v>999</v>
      </c>
      <c r="N108" s="211"/>
      <c r="O108" s="95"/>
      <c r="P108" s="112">
        <f t="shared" si="8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6"/>
        <v>999</v>
      </c>
      <c r="M109" s="215">
        <f t="shared" si="7"/>
        <v>999</v>
      </c>
      <c r="N109" s="211"/>
      <c r="O109" s="95"/>
      <c r="P109" s="112">
        <f t="shared" si="8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6"/>
        <v>999</v>
      </c>
      <c r="M110" s="215">
        <f t="shared" si="7"/>
        <v>999</v>
      </c>
      <c r="N110" s="211"/>
      <c r="O110" s="95"/>
      <c r="P110" s="112">
        <f t="shared" si="8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6"/>
        <v>999</v>
      </c>
      <c r="M111" s="215">
        <f t="shared" si="7"/>
        <v>999</v>
      </c>
      <c r="N111" s="211"/>
      <c r="O111" s="95"/>
      <c r="P111" s="112">
        <f t="shared" si="8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6"/>
        <v>999</v>
      </c>
      <c r="M112" s="215">
        <f t="shared" si="7"/>
        <v>999</v>
      </c>
      <c r="N112" s="211"/>
      <c r="O112" s="95"/>
      <c r="P112" s="112">
        <f t="shared" si="8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6"/>
        <v>999</v>
      </c>
      <c r="M113" s="215">
        <f t="shared" si="7"/>
        <v>999</v>
      </c>
      <c r="N113" s="211"/>
      <c r="O113" s="95"/>
      <c r="P113" s="112">
        <f t="shared" si="8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6"/>
        <v>999</v>
      </c>
      <c r="M114" s="215">
        <f t="shared" si="7"/>
        <v>999</v>
      </c>
      <c r="N114" s="211"/>
      <c r="O114" s="95"/>
      <c r="P114" s="112">
        <f t="shared" si="8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6"/>
        <v>999</v>
      </c>
      <c r="M115" s="215">
        <f t="shared" si="7"/>
        <v>999</v>
      </c>
      <c r="N115" s="211"/>
      <c r="O115" s="95"/>
      <c r="P115" s="112">
        <f t="shared" si="8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6"/>
        <v>999</v>
      </c>
      <c r="M116" s="215">
        <f t="shared" si="7"/>
        <v>999</v>
      </c>
      <c r="N116" s="211"/>
      <c r="O116" s="95"/>
      <c r="P116" s="112">
        <f t="shared" si="8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6"/>
        <v>999</v>
      </c>
      <c r="M117" s="215">
        <f t="shared" si="7"/>
        <v>999</v>
      </c>
      <c r="N117" s="211"/>
      <c r="O117" s="95"/>
      <c r="P117" s="112">
        <f t="shared" si="8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6"/>
        <v>999</v>
      </c>
      <c r="M118" s="215">
        <f t="shared" si="7"/>
        <v>999</v>
      </c>
      <c r="N118" s="211"/>
      <c r="O118" s="95"/>
      <c r="P118" s="112">
        <f t="shared" si="8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6"/>
        <v>999</v>
      </c>
      <c r="M119" s="215">
        <f t="shared" si="7"/>
        <v>999</v>
      </c>
      <c r="N119" s="211"/>
      <c r="O119" s="95"/>
      <c r="P119" s="112">
        <f t="shared" si="8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6"/>
        <v>999</v>
      </c>
      <c r="M120" s="215">
        <f t="shared" si="7"/>
        <v>999</v>
      </c>
      <c r="N120" s="211"/>
      <c r="O120" s="95"/>
      <c r="P120" s="112">
        <f t="shared" si="8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6"/>
        <v>999</v>
      </c>
      <c r="M121" s="215">
        <f t="shared" si="7"/>
        <v>999</v>
      </c>
      <c r="N121" s="211"/>
      <c r="O121" s="95"/>
      <c r="P121" s="112">
        <f t="shared" si="8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6"/>
        <v>999</v>
      </c>
      <c r="M122" s="215">
        <f t="shared" si="7"/>
        <v>999</v>
      </c>
      <c r="N122" s="211"/>
      <c r="O122" s="95"/>
      <c r="P122" s="112">
        <f t="shared" si="8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6"/>
        <v>999</v>
      </c>
      <c r="M123" s="215">
        <f t="shared" si="7"/>
        <v>999</v>
      </c>
      <c r="N123" s="211"/>
      <c r="O123" s="95"/>
      <c r="P123" s="112">
        <f t="shared" si="8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6"/>
        <v>999</v>
      </c>
      <c r="M124" s="215">
        <f t="shared" si="7"/>
        <v>999</v>
      </c>
      <c r="N124" s="211"/>
      <c r="O124" s="95"/>
      <c r="P124" s="112">
        <f t="shared" si="8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6"/>
        <v>999</v>
      </c>
      <c r="M125" s="215">
        <f t="shared" si="7"/>
        <v>999</v>
      </c>
      <c r="N125" s="211"/>
      <c r="O125" s="95"/>
      <c r="P125" s="112">
        <f t="shared" si="8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6"/>
        <v>999</v>
      </c>
      <c r="M126" s="215">
        <f t="shared" si="7"/>
        <v>999</v>
      </c>
      <c r="N126" s="211"/>
      <c r="O126" s="95"/>
      <c r="P126" s="112">
        <f t="shared" si="8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6"/>
        <v>999</v>
      </c>
      <c r="M127" s="215">
        <f t="shared" si="7"/>
        <v>999</v>
      </c>
      <c r="N127" s="211"/>
      <c r="O127" s="95"/>
      <c r="P127" s="112">
        <f t="shared" si="8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6"/>
        <v>999</v>
      </c>
      <c r="M128" s="215">
        <f t="shared" si="7"/>
        <v>999</v>
      </c>
      <c r="N128" s="211"/>
      <c r="O128" s="95"/>
      <c r="P128" s="112">
        <f t="shared" si="8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6"/>
        <v>999</v>
      </c>
      <c r="M129" s="215">
        <f t="shared" si="7"/>
        <v>999</v>
      </c>
      <c r="N129" s="211"/>
      <c r="O129" s="95"/>
      <c r="P129" s="112">
        <f t="shared" si="8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6"/>
        <v>999</v>
      </c>
      <c r="M130" s="215">
        <f t="shared" si="7"/>
        <v>999</v>
      </c>
      <c r="N130" s="211"/>
      <c r="O130" s="95"/>
      <c r="P130" s="112">
        <f t="shared" si="8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6"/>
        <v>999</v>
      </c>
      <c r="M131" s="215">
        <f t="shared" si="7"/>
        <v>999</v>
      </c>
      <c r="N131" s="211"/>
      <c r="O131" s="95"/>
      <c r="P131" s="112">
        <f t="shared" si="8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6"/>
        <v>999</v>
      </c>
      <c r="M132" s="215">
        <f t="shared" si="7"/>
        <v>999</v>
      </c>
      <c r="N132" s="211"/>
      <c r="O132" s="95"/>
      <c r="P132" s="112">
        <f t="shared" si="8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6"/>
        <v>999</v>
      </c>
      <c r="M133" s="215">
        <f t="shared" si="7"/>
        <v>999</v>
      </c>
      <c r="N133" s="211"/>
      <c r="O133" s="95"/>
      <c r="P133" s="112">
        <f t="shared" si="8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6"/>
        <v>999</v>
      </c>
      <c r="M134" s="215">
        <f t="shared" si="7"/>
        <v>999</v>
      </c>
      <c r="N134" s="211"/>
      <c r="O134" s="216"/>
      <c r="P134" s="217">
        <f t="shared" si="8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ref="L135:L156" si="9">IF(Q135="",999,Q135)</f>
        <v>999</v>
      </c>
      <c r="M135" s="215">
        <f t="shared" ref="M135:M156" si="10">IF(P135=999,999,1)</f>
        <v>999</v>
      </c>
      <c r="N135" s="211"/>
      <c r="O135" s="95"/>
      <c r="P135" s="112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9"/>
        <v>999</v>
      </c>
      <c r="M136" s="215">
        <f t="shared" si="10"/>
        <v>999</v>
      </c>
      <c r="N136" s="211"/>
      <c r="O136" s="95"/>
      <c r="P136" s="112">
        <f t="shared" si="11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9"/>
        <v>999</v>
      </c>
      <c r="M137" s="215">
        <f t="shared" si="10"/>
        <v>999</v>
      </c>
      <c r="N137" s="211"/>
      <c r="O137" s="95"/>
      <c r="P137" s="112">
        <f t="shared" si="11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9"/>
        <v>999</v>
      </c>
      <c r="M138" s="215">
        <f t="shared" si="10"/>
        <v>999</v>
      </c>
      <c r="N138" s="211"/>
      <c r="O138" s="95"/>
      <c r="P138" s="112">
        <f t="shared" si="11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9"/>
        <v>999</v>
      </c>
      <c r="M139" s="215">
        <f t="shared" si="10"/>
        <v>999</v>
      </c>
      <c r="N139" s="211"/>
      <c r="O139" s="95"/>
      <c r="P139" s="112">
        <f t="shared" si="11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9"/>
        <v>999</v>
      </c>
      <c r="M140" s="215">
        <f t="shared" si="10"/>
        <v>999</v>
      </c>
      <c r="N140" s="211"/>
      <c r="O140" s="95"/>
      <c r="P140" s="112">
        <f t="shared" si="11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9"/>
        <v>999</v>
      </c>
      <c r="M141" s="215">
        <f t="shared" si="10"/>
        <v>999</v>
      </c>
      <c r="N141" s="211"/>
      <c r="O141" s="216"/>
      <c r="P141" s="217">
        <f t="shared" si="11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9"/>
        <v>999</v>
      </c>
      <c r="M142" s="215">
        <f t="shared" si="10"/>
        <v>999</v>
      </c>
      <c r="N142" s="211"/>
      <c r="O142" s="95"/>
      <c r="P142" s="112">
        <f t="shared" si="11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9"/>
        <v>999</v>
      </c>
      <c r="M143" s="215">
        <f t="shared" si="10"/>
        <v>999</v>
      </c>
      <c r="N143" s="211"/>
      <c r="O143" s="95"/>
      <c r="P143" s="112">
        <f t="shared" si="11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9"/>
        <v>999</v>
      </c>
      <c r="M144" s="215">
        <f t="shared" si="10"/>
        <v>999</v>
      </c>
      <c r="N144" s="211"/>
      <c r="O144" s="95"/>
      <c r="P144" s="112">
        <f t="shared" si="11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9"/>
        <v>999</v>
      </c>
      <c r="M145" s="215">
        <f t="shared" si="10"/>
        <v>999</v>
      </c>
      <c r="N145" s="211"/>
      <c r="O145" s="95"/>
      <c r="P145" s="112">
        <f t="shared" si="11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9"/>
        <v>999</v>
      </c>
      <c r="M146" s="215">
        <f t="shared" si="10"/>
        <v>999</v>
      </c>
      <c r="N146" s="211"/>
      <c r="O146" s="95"/>
      <c r="P146" s="112">
        <f t="shared" si="11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9"/>
        <v>999</v>
      </c>
      <c r="M147" s="215">
        <f t="shared" si="10"/>
        <v>999</v>
      </c>
      <c r="N147" s="211"/>
      <c r="O147" s="95"/>
      <c r="P147" s="112">
        <f t="shared" si="11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9"/>
        <v>999</v>
      </c>
      <c r="M148" s="215">
        <f t="shared" si="10"/>
        <v>999</v>
      </c>
      <c r="N148" s="211"/>
      <c r="O148" s="216"/>
      <c r="P148" s="217">
        <f t="shared" si="11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9"/>
        <v>999</v>
      </c>
      <c r="M149" s="215">
        <f t="shared" si="10"/>
        <v>999</v>
      </c>
      <c r="N149" s="211"/>
      <c r="O149" s="95"/>
      <c r="P149" s="112">
        <f t="shared" si="11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9"/>
        <v>999</v>
      </c>
      <c r="M150" s="215">
        <f t="shared" si="10"/>
        <v>999</v>
      </c>
      <c r="N150" s="211"/>
      <c r="O150" s="95"/>
      <c r="P150" s="112">
        <f t="shared" si="11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9"/>
        <v>999</v>
      </c>
      <c r="M151" s="215">
        <f t="shared" si="10"/>
        <v>999</v>
      </c>
      <c r="N151" s="211"/>
      <c r="O151" s="95"/>
      <c r="P151" s="112">
        <f t="shared" si="11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9"/>
        <v>999</v>
      </c>
      <c r="M152" s="215">
        <f t="shared" si="10"/>
        <v>999</v>
      </c>
      <c r="N152" s="211"/>
      <c r="O152" s="95"/>
      <c r="P152" s="112">
        <f t="shared" si="11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9"/>
        <v>999</v>
      </c>
      <c r="M153" s="215">
        <f t="shared" si="10"/>
        <v>999</v>
      </c>
      <c r="N153" s="211"/>
      <c r="O153" s="95"/>
      <c r="P153" s="112">
        <f t="shared" si="11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9"/>
        <v>999</v>
      </c>
      <c r="M154" s="215">
        <f t="shared" si="10"/>
        <v>999</v>
      </c>
      <c r="N154" s="211"/>
      <c r="O154" s="95"/>
      <c r="P154" s="112">
        <f t="shared" si="11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9"/>
        <v>999</v>
      </c>
      <c r="M155" s="215">
        <f t="shared" si="10"/>
        <v>999</v>
      </c>
      <c r="N155" s="211"/>
      <c r="O155" s="95"/>
      <c r="P155" s="112">
        <f t="shared" si="11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9"/>
        <v>999</v>
      </c>
      <c r="M156" s="215">
        <f t="shared" si="10"/>
        <v>999</v>
      </c>
      <c r="N156" s="211"/>
      <c r="O156" s="95"/>
      <c r="P156" s="112">
        <f t="shared" si="11"/>
        <v>999</v>
      </c>
      <c r="Q156" s="95"/>
    </row>
  </sheetData>
  <phoneticPr fontId="60" type="noConversion"/>
  <conditionalFormatting sqref="A7:A18 A19:D156">
    <cfRule type="expression" dxfId="145" priority="32" stopIfTrue="1">
      <formula>$Q7&gt;=1</formula>
    </cfRule>
  </conditionalFormatting>
  <conditionalFormatting sqref="B13:D13">
    <cfRule type="expression" dxfId="144" priority="1" stopIfTrue="1">
      <formula>$S13&gt;=1</formula>
    </cfRule>
  </conditionalFormatting>
  <conditionalFormatting sqref="D18 B19:D37">
    <cfRule type="expression" dxfId="143" priority="15" stopIfTrue="1">
      <formula>$Q18&gt;=1</formula>
    </cfRule>
  </conditionalFormatting>
  <conditionalFormatting sqref="E7:E11 E13:E14">
    <cfRule type="expression" dxfId="142" priority="20" stopIfTrue="1">
      <formula>AND(ROUNDDOWN(($A$4-E7)/365.25,0)&lt;=13,G7&lt;&gt;"OK")</formula>
    </cfRule>
    <cfRule type="expression" dxfId="141" priority="21" stopIfTrue="1">
      <formula>AND(ROUNDDOWN(($A$4-E7)/365.25,0)&lt;=14,G7&lt;&gt;"OK")</formula>
    </cfRule>
    <cfRule type="expression" dxfId="140" priority="22" stopIfTrue="1">
      <formula>AND(ROUNDDOWN(($A$4-E7)/365.25,0)&lt;=17,G7&lt;&gt;"OK")</formula>
    </cfRule>
    <cfRule type="expression" dxfId="139" priority="25" stopIfTrue="1">
      <formula>AND(ROUNDDOWN(($A$4-E7)/365.25,0)&lt;=13,G7&lt;&gt;"OK")</formula>
    </cfRule>
    <cfRule type="expression" dxfId="138" priority="26" stopIfTrue="1">
      <formula>AND(ROUNDDOWN(($A$4-E7)/365.25,0)&lt;=14,G7&lt;&gt;"OK")</formula>
    </cfRule>
    <cfRule type="expression" dxfId="137" priority="27" stopIfTrue="1">
      <formula>AND(ROUNDDOWN(($A$4-E7)/365.25,0)&lt;=17,G7&lt;&gt;"OK")</formula>
    </cfRule>
  </conditionalFormatting>
  <conditionalFormatting sqref="E7:E11 E13:E156">
    <cfRule type="expression" dxfId="136" priority="28" stopIfTrue="1">
      <formula>AND(ROUNDDOWN(($A$4-E7)/365.25,0)&lt;=13,G7&lt;&gt;"OK")</formula>
    </cfRule>
    <cfRule type="expression" dxfId="135" priority="29" stopIfTrue="1">
      <formula>AND(ROUNDDOWN(($A$4-E7)/365.25,0)&lt;=14,G7&lt;&gt;"OK")</formula>
    </cfRule>
    <cfRule type="expression" dxfId="134" priority="30" stopIfTrue="1">
      <formula>AND(ROUNDDOWN(($A$4-E7)/365.25,0)&lt;=17,G7&lt;&gt;"OK")</formula>
    </cfRule>
  </conditionalFormatting>
  <conditionalFormatting sqref="E7:E27">
    <cfRule type="expression" dxfId="133" priority="11" stopIfTrue="1">
      <formula>AND(ROUNDDOWN(($A$4-E7)/365.25,0)&lt;=13,G7&lt;&gt;"OK")</formula>
    </cfRule>
    <cfRule type="expression" dxfId="132" priority="12" stopIfTrue="1">
      <formula>AND(ROUNDDOWN(($A$4-E7)/365.25,0)&lt;=14,G7&lt;&gt;"OK")</formula>
    </cfRule>
    <cfRule type="expression" dxfId="131" priority="13" stopIfTrue="1">
      <formula>AND(ROUNDDOWN(($A$4-E7)/365.25,0)&lt;=17,G7&lt;&gt;"OK")</formula>
    </cfRule>
  </conditionalFormatting>
  <conditionalFormatting sqref="E12">
    <cfRule type="expression" dxfId="130" priority="2" stopIfTrue="1">
      <formula>AND(ROUNDDOWN(($A$4-E12)/365.25,0)&lt;=13,G12&lt;&gt;"OK")</formula>
    </cfRule>
    <cfRule type="expression" dxfId="129" priority="3" stopIfTrue="1">
      <formula>AND(ROUNDDOWN(($A$4-E12)/365.25,0)&lt;=14,G12&lt;&gt;"OK")</formula>
    </cfRule>
    <cfRule type="expression" dxfId="128" priority="4" stopIfTrue="1">
      <formula>AND(ROUNDDOWN(($A$4-E12)/365.25,0)&lt;=17,G12&lt;&gt;"OK")</formula>
    </cfRule>
    <cfRule type="expression" dxfId="127" priority="5" stopIfTrue="1">
      <formula>AND(ROUNDDOWN(($A$4-E12)/365.25,0)&lt;=13,G12&lt;&gt;"OK")</formula>
    </cfRule>
    <cfRule type="expression" dxfId="126" priority="6" stopIfTrue="1">
      <formula>AND(ROUNDDOWN(($A$4-E12)/365.25,0)&lt;=14,G12&lt;&gt;"OK")</formula>
    </cfRule>
    <cfRule type="expression" dxfId="125" priority="7" stopIfTrue="1">
      <formula>AND(ROUNDDOWN(($A$4-E12)/365.25,0)&lt;=17,G12&lt;&gt;"OK")</formula>
    </cfRule>
    <cfRule type="expression" dxfId="124" priority="8" stopIfTrue="1">
      <formula>AND(ROUNDDOWN(($A$4-E12)/365.25,0)&lt;=13,G12&lt;&gt;"OK")</formula>
    </cfRule>
    <cfRule type="expression" dxfId="123" priority="9" stopIfTrue="1">
      <formula>AND(ROUNDDOWN(($A$4-E12)/365.25,0)&lt;=14,G12&lt;&gt;"OK")</formula>
    </cfRule>
    <cfRule type="expression" dxfId="122" priority="10" stopIfTrue="1">
      <formula>AND(ROUNDDOWN(($A$4-E12)/365.25,0)&lt;=17,G12&lt;&gt;"OK")</formula>
    </cfRule>
  </conditionalFormatting>
  <conditionalFormatting sqref="E29:E37">
    <cfRule type="expression" dxfId="121" priority="16" stopIfTrue="1">
      <formula>AND(ROUNDDOWN(($A$4-E29)/365.25,0)&lt;=13,G29&lt;&gt;"OK")</formula>
    </cfRule>
    <cfRule type="expression" dxfId="120" priority="17" stopIfTrue="1">
      <formula>AND(ROUNDDOWN(($A$4-E29)/365.25,0)&lt;=14,G29&lt;&gt;"OK")</formula>
    </cfRule>
    <cfRule type="expression" dxfId="119" priority="18" stopIfTrue="1">
      <formula>AND(ROUNDDOWN(($A$4-E29)/365.25,0)&lt;=17,G29&lt;&gt;"OK")</formula>
    </cfRule>
  </conditionalFormatting>
  <conditionalFormatting sqref="J7:J156">
    <cfRule type="cellIs" dxfId="118" priority="24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1"/>
  <sheetViews>
    <sheetView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9</v>
      </c>
      <c r="C7" s="331">
        <f>IF($B7="","",VLOOKUP($B7,'Lány 2 kcs. A ELO'!$A$7:$O$22,5))</f>
        <v>0</v>
      </c>
      <c r="D7" s="331">
        <f>IF($B7="","",VLOOKUP($B7,'Lány 2 kcs. A ELO'!$A$7:$O$22,15))</f>
        <v>0</v>
      </c>
      <c r="E7" s="440" t="str">
        <f>UPPER(IF($B7="","",VLOOKUP($B7,'Lány 2 kcs. A ELO'!$A$7:$O$22,2)))</f>
        <v>VÖRÖS</v>
      </c>
      <c r="F7" s="440"/>
      <c r="G7" s="440" t="str">
        <f>IF($B7="","",VLOOKUP($B7,'Lány 2 kcs. A ELO'!$A$7:$O$22,3))</f>
        <v>Panna</v>
      </c>
      <c r="H7" s="440"/>
      <c r="I7" s="332" t="str">
        <f>IF($B7="","",VLOOKUP($B7,'Lány 2 kcs. A ELO'!$A$7:$O$22,4))</f>
        <v>Zalaegerszegi Petőfi Sándor Magyar-Angol Két Tanítási Nyelvű Általános Iskola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</v>
      </c>
      <c r="C9" s="331">
        <f>IF($B9="","",VLOOKUP($B9,'Lány 2 kcs. A ELO'!$A$7:$O$22,5))</f>
        <v>0</v>
      </c>
      <c r="D9" s="331">
        <f>IF($B9="","",VLOOKUP($B9,'Lány 2 kcs. A ELO'!$A$7:$O$22,15))</f>
        <v>0</v>
      </c>
      <c r="E9" s="440" t="str">
        <f>UPPER(IF($B9="","",VLOOKUP($B9,'Lány 2 kcs. A ELO'!$A$7:$O$22,2)))</f>
        <v xml:space="preserve">TAKÁCS </v>
      </c>
      <c r="F9" s="440"/>
      <c r="G9" s="440" t="str">
        <f>IF($B9="","",VLOOKUP($B9,'Lány 2 kcs. A ELO'!$A$7:$O$22,3))</f>
        <v>Zara</v>
      </c>
      <c r="H9" s="440"/>
      <c r="I9" s="332" t="str">
        <f>IF($B9="","",VLOOKUP($B9,'Lány 2 kcs. A ELO'!$A$7:$O$22,4))</f>
        <v>Cserepka - Pécs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6</v>
      </c>
      <c r="C11" s="331">
        <f>IF($B11="","",VLOOKUP($B11,'Lány 2 kcs. A ELO'!$A$7:$O$22,5))</f>
        <v>0</v>
      </c>
      <c r="D11" s="331">
        <f>IF($B11="","",VLOOKUP($B11,'Lány 2 kcs. A ELO'!$A$7:$O$22,15))</f>
        <v>0</v>
      </c>
      <c r="E11" s="440" t="str">
        <f>UPPER(IF($B11="","",VLOOKUP($B11,'Lány 2 kcs. A ELO'!$A$7:$O$22,2)))</f>
        <v>KISS</v>
      </c>
      <c r="F11" s="440"/>
      <c r="G11" s="440" t="str">
        <f>IF($B11="","",VLOOKUP($B11,'Lány 2 kcs. A ELO'!$A$7:$O$22,3))</f>
        <v>Sára</v>
      </c>
      <c r="H11" s="440"/>
      <c r="I11" s="332" t="str">
        <f>IF($B11="","",VLOOKUP($B11,'Lány 2 kcs. A ELO'!$A$7:$O$22,4))</f>
        <v>Péterfy S Ált Isk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04" t="s">
        <v>71</v>
      </c>
      <c r="B13" s="329">
        <v>2</v>
      </c>
      <c r="C13" s="331">
        <f>IF($B13="","",VLOOKUP($B13,'Lány 2 kcs. A ELO'!$A$7:$O$22,5))</f>
        <v>0</v>
      </c>
      <c r="D13" s="331">
        <f>IF($B13="","",VLOOKUP($B13,'Lány 2 kcs. A ELO'!$A$7:$O$22,15))</f>
        <v>0</v>
      </c>
      <c r="E13" s="440" t="str">
        <f>UPPER(IF($B13="","",VLOOKUP($B13,'Lány 2 kcs. A ELO'!$A$7:$O$22,2)))</f>
        <v xml:space="preserve">LESTYÁN </v>
      </c>
      <c r="F13" s="440"/>
      <c r="G13" s="440" t="str">
        <f>IF($B13="","",VLOOKUP($B13,'Lány 2 kcs. A ELO'!$A$7:$O$22,3))</f>
        <v>Zoé</v>
      </c>
      <c r="H13" s="440"/>
      <c r="I13" s="332" t="str">
        <f>IF($B13="","",VLOOKUP($B13,'Lány 2 kcs. A ELO'!$A$7:$O$22,4))</f>
        <v>Mezőberény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>VÖRÖS</v>
      </c>
      <c r="E18" s="439"/>
      <c r="F18" s="439" t="str">
        <f>E9</f>
        <v xml:space="preserve">TAKÁCS </v>
      </c>
      <c r="G18" s="439"/>
      <c r="H18" s="439" t="str">
        <f>E11</f>
        <v>KISS</v>
      </c>
      <c r="I18" s="439"/>
      <c r="J18" s="439" t="str">
        <f>E13</f>
        <v xml:space="preserve">LESTYÁN </v>
      </c>
      <c r="K18" s="439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>VÖRÖS</v>
      </c>
      <c r="C19" s="441"/>
      <c r="D19" s="442"/>
      <c r="E19" s="442"/>
      <c r="F19" s="443"/>
      <c r="G19" s="443"/>
      <c r="H19" s="443"/>
      <c r="I19" s="443"/>
      <c r="J19" s="439"/>
      <c r="K19" s="439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 xml:space="preserve">TAKÁCS </v>
      </c>
      <c r="C20" s="441"/>
      <c r="D20" s="443"/>
      <c r="E20" s="443"/>
      <c r="F20" s="442"/>
      <c r="G20" s="442"/>
      <c r="H20" s="443"/>
      <c r="I20" s="443"/>
      <c r="J20" s="443"/>
      <c r="K20" s="443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>KISS</v>
      </c>
      <c r="C21" s="441"/>
      <c r="D21" s="443"/>
      <c r="E21" s="443"/>
      <c r="F21" s="443"/>
      <c r="G21" s="443"/>
      <c r="H21" s="442"/>
      <c r="I21" s="442"/>
      <c r="J21" s="443"/>
      <c r="K21" s="443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41" t="str">
        <f>E13</f>
        <v xml:space="preserve">LESTYÁN </v>
      </c>
      <c r="C22" s="441"/>
      <c r="D22" s="443"/>
      <c r="E22" s="443"/>
      <c r="F22" s="443"/>
      <c r="G22" s="443"/>
      <c r="H22" s="439"/>
      <c r="I22" s="439"/>
      <c r="J22" s="442"/>
      <c r="K22" s="442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60" type="noConversion"/>
  <conditionalFormatting sqref="E7 E9 E11 E13">
    <cfRule type="cellIs" dxfId="117" priority="1" stopIfTrue="1" operator="equal">
      <formula>"Bye"</formula>
    </cfRule>
  </conditionalFormatting>
  <conditionalFormatting sqref="R41">
    <cfRule type="expression" dxfId="11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6">
    <tabColor indexed="11"/>
  </sheetPr>
  <dimension ref="A1:AK53"/>
  <sheetViews>
    <sheetView workbookViewId="0">
      <selection activeCell="N16" sqref="N1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IF(Y5=1,CONCATENATE(VLOOKUP(Y3,AA16:AH30,2)),CONCATENATE(VLOOKUP(Y3,AA2:AK13,2)))</f>
        <v>#N/A</v>
      </c>
      <c r="AC1" s="363" t="e">
        <f>IF(Y5=1,CONCATENATE(VLOOKUP(Y3,AA16:AK30,3)),CONCATENATE(VLOOKUP(Y3,AA2:AK13,3)))</f>
        <v>#N/A</v>
      </c>
      <c r="AD1" s="363" t="e">
        <f>IF(Y5=1,CONCATENATE(VLOOKUP(Y3,AA16:AK30,4)),CONCATENATE(VLOOKUP(Y3,AA2:AK13,4)))</f>
        <v>#N/A</v>
      </c>
      <c r="AE1" s="363" t="e">
        <f>IF(Y5=1,CONCATENATE(VLOOKUP(Y3,AA16:AK30,5)),CONCATENATE(VLOOKUP(Y3,AA2:AK13,5)))</f>
        <v>#N/A</v>
      </c>
      <c r="AF1" s="363" t="e">
        <f>IF(Y5=1,CONCATENATE(VLOOKUP(Y3,AA16:AK30,6)),CONCATENATE(VLOOKUP(Y3,AA2:AK13,6)))</f>
        <v>#N/A</v>
      </c>
      <c r="AG1" s="363" t="e">
        <f>IF(Y5=1,CONCATENATE(VLOOKUP(Y3,AA16:AK30,7)),CONCATENATE(VLOOKUP(Y3,AA2:AK13,7)))</f>
        <v>#N/A</v>
      </c>
      <c r="AH1" s="363" t="e">
        <f>IF(Y5=1,CONCATENATE(VLOOKUP(Y3,AA16:AK30,8)),CONCATENATE(VLOOKUP(Y3,AA2:AK13,8)))</f>
        <v>#N/A</v>
      </c>
      <c r="AI1" s="363" t="e">
        <f>IF(Y5=1,CONCATENATE(VLOOKUP(Y3,AA16:AK30,9)),CONCATENATE(VLOOKUP(Y3,AA2:AK13,9)))</f>
        <v>#N/A</v>
      </c>
      <c r="AJ1" s="363" t="e">
        <f>IF(Y5=1,CONCATENATE(VLOOKUP(Y3,AA16:AK30,10)),CONCATENATE(VLOOKUP(Y3,AA2:AK13,10)))</f>
        <v>#N/A</v>
      </c>
      <c r="AK1" s="363" t="e">
        <f>IF(Y5=1,CONCATENATE(VLOOKUP(Y3,AA16:AK30,11)),CONCATENATE(VLOOKUP(Y3,AA2:AK13,11)))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4</v>
      </c>
      <c r="C7" s="298">
        <f>IF($B7="","",VLOOKUP($B7,'Lány 2 kcs. A ELO'!$A$7:$O$22,5))</f>
        <v>0</v>
      </c>
      <c r="D7" s="298">
        <f>IF($B7="","",VLOOKUP($B7,'Lány 2 kcs. A ELO'!$A$7:$O$22,15))</f>
        <v>0</v>
      </c>
      <c r="E7" s="294" t="str">
        <f>UPPER(IF($B7="","",VLOOKUP($B7,'Lány 2 kcs. A ELO'!$A$7:$O$22,2)))</f>
        <v xml:space="preserve">MÁRTON </v>
      </c>
      <c r="F7" s="297"/>
      <c r="G7" s="294" t="str">
        <f>IF($B7="","",VLOOKUP($B7,'Lány 2 kcs. A ELO'!$A$7:$O$22,3))</f>
        <v>Natali</v>
      </c>
      <c r="H7" s="297"/>
      <c r="I7" s="294" t="str">
        <f>IF($B7="","",VLOOKUP($B7,'Lány 2 kcs. A ELO'!$A$7:$O$22,4))</f>
        <v>Alternatív Közgazdasági Gimnázium, Szakgimnázium és Általános Iskola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115</v>
      </c>
      <c r="S7" s="404" t="s">
        <v>116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113</v>
      </c>
      <c r="S8" s="405" t="s">
        <v>117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11</v>
      </c>
      <c r="C9" s="298">
        <f>IF($B9="","",VLOOKUP($B9,'Lány 2 kcs. A ELO'!$A$7:$O$22,5))</f>
        <v>0</v>
      </c>
      <c r="D9" s="298">
        <f>IF($B9="","",VLOOKUP($B9,'Lány 2 kcs. A ELO'!$A$7:$O$22,15))</f>
        <v>0</v>
      </c>
      <c r="E9" s="293" t="str">
        <f>UPPER(IF($B9="","",VLOOKUP($B9,'Lány 2 kcs. A ELO'!$A$7:$O$22,2)))</f>
        <v xml:space="preserve">HUNDZSA </v>
      </c>
      <c r="F9" s="299"/>
      <c r="G9" s="293" t="str">
        <f>IF($B9="","",VLOOKUP($B9,'Lány 2 kcs. A ELO'!$A$7:$O$22,3))</f>
        <v>Dóra</v>
      </c>
      <c r="H9" s="299"/>
      <c r="I9" s="293" t="str">
        <f>IF($B9="","",VLOOKUP($B9,'Lány 2 kcs. A ELO'!$A$7:$O$22,4))</f>
        <v>Sarkad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110</v>
      </c>
      <c r="S9" s="406" t="s">
        <v>118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7</v>
      </c>
      <c r="C11" s="298">
        <f>IF($B11="","",VLOOKUP($B11,'Lány 2 kcs. A ELO'!$A$7:$O$22,5))</f>
        <v>0</v>
      </c>
      <c r="D11" s="298">
        <f>IF($B11="","",VLOOKUP($B11,'Lány 2 kcs. A ELO'!$A$7:$O$22,15))</f>
        <v>0</v>
      </c>
      <c r="E11" s="293" t="str">
        <f>UPPER(IF($B11="","",VLOOKUP($B11,'Lány 2 kcs. A ELO'!$A$7:$O$22,2)))</f>
        <v>MÁTYÁS</v>
      </c>
      <c r="F11" s="299"/>
      <c r="G11" s="293" t="str">
        <f>IF($B11="","",VLOOKUP($B11,'Lány 2 kcs. A ELO'!$A$7:$O$22,3))</f>
        <v>Zsófia</v>
      </c>
      <c r="H11" s="299"/>
      <c r="I11" s="293" t="str">
        <f>IF($B11="","",VLOOKUP($B11,'Lány 2 kcs. A ELO'!$A$7:$O$22,4))</f>
        <v>Nagykovácsi Á. I.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97" t="s">
        <v>71</v>
      </c>
      <c r="B13" s="400">
        <v>10</v>
      </c>
      <c r="C13" s="298">
        <f>IF($B13="","",VLOOKUP($B13,'Lány 2 kcs. A ELO'!$A$7:$O$22,5))</f>
        <v>0</v>
      </c>
      <c r="D13" s="298">
        <f>IF($B13="","",VLOOKUP($B13,'Lány 2 kcs. A ELO'!$A$7:$O$22,15))</f>
        <v>0</v>
      </c>
      <c r="E13" s="293" t="str">
        <f>UPPER(IF($B13="","",VLOOKUP($B13,'Lány 2 kcs. A ELO'!$A$7:$O$22,2)))</f>
        <v>HEFFENTRÄGER</v>
      </c>
      <c r="F13" s="299"/>
      <c r="G13" s="293" t="str">
        <f>IF($B13="","",VLOOKUP($B13,'Lány 2 kcs. A ELO'!$A$7:$O$22,3))</f>
        <v>Dorottya</v>
      </c>
      <c r="H13" s="299"/>
      <c r="I13" s="293" t="str">
        <f>IF($B13="","",VLOOKUP($B13,'Lány 2 kcs. A ELO'!$A$7:$O$22,4))</f>
        <v>Zalalövői Általános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35" t="s">
        <v>72</v>
      </c>
      <c r="B15" s="399">
        <v>3</v>
      </c>
      <c r="C15" s="298">
        <f>IF($B15="","",VLOOKUP($B15,'Lány 2 kcs. A ELO'!$A$7:$O$22,5))</f>
        <v>0</v>
      </c>
      <c r="D15" s="398">
        <f>IF($B15="","",VLOOKUP($B15,'Lány 2 kcs. A ELO'!$A$7:$O$22,15))</f>
        <v>0</v>
      </c>
      <c r="E15" s="294" t="str">
        <f>UPPER(IF($B15="","",VLOOKUP($B15,'Lány 2 kcs. A ELO'!$A$7:$O$22,2)))</f>
        <v xml:space="preserve">CHEN </v>
      </c>
      <c r="F15" s="297"/>
      <c r="G15" s="294" t="str">
        <f>IF($B15="","",VLOOKUP($B15,'Lány 2 kcs. A ELO'!$A$7:$O$22,3))</f>
        <v>Zixin</v>
      </c>
      <c r="H15" s="297"/>
      <c r="I15" s="294" t="str">
        <f>IF($B15="","",VLOOKUP($B15,'Lány 2 kcs. A ELO'!$A$7:$O$22,4))</f>
        <v>Budapest XVI. Kerületi Lemhényi Dezső Általános Iskola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12</v>
      </c>
      <c r="C17" s="298">
        <f>IF($B17="","",VLOOKUP($B17,'Lány 2 kcs. A ELO'!$A$7:$O$22,5))</f>
        <v>0</v>
      </c>
      <c r="D17" s="298">
        <f>IF($B17="","",VLOOKUP($B17,'Lány 2 kcs. A ELO'!$A$7:$O$22,15))</f>
        <v>0</v>
      </c>
      <c r="E17" s="293" t="str">
        <f>UPPER(IF($B17="","",VLOOKUP($B17,'Lány 2 kcs. A ELO'!$A$7:$O$22,2)))</f>
        <v xml:space="preserve">SZŐKE </v>
      </c>
      <c r="F17" s="299"/>
      <c r="G17" s="293" t="str">
        <f>IF($B17="","",VLOOKUP($B17,'Lány 2 kcs. A ELO'!$A$7:$O$22,3))</f>
        <v>Szofi</v>
      </c>
      <c r="H17" s="299"/>
      <c r="I17" s="293">
        <f>IF($B17="","",VLOOKUP($B17,'Lány 2 kcs. A ELO'!$A$7:$O$22,4))</f>
        <v>0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97" t="s">
        <v>77</v>
      </c>
      <c r="B19" s="350">
        <v>5</v>
      </c>
      <c r="C19" s="298">
        <f>IF($B19="","",VLOOKUP($B19,'Lány 2 kcs. A ELO'!$A$7:$O$22,5))</f>
        <v>0</v>
      </c>
      <c r="D19" s="298">
        <f>IF($B19="","",VLOOKUP($B19,'Lány 2 kcs. A ELO'!$A$7:$O$22,15))</f>
        <v>0</v>
      </c>
      <c r="E19" s="293" t="str">
        <f>UPPER(IF($B19="","",VLOOKUP($B19,'Lány 2 kcs. A ELO'!$A$7:$O$22,2)))</f>
        <v>SZUNA</v>
      </c>
      <c r="F19" s="299"/>
      <c r="G19" s="293" t="str">
        <f>IF($B19="","",VLOOKUP($B19,'Lány 2 kcs. A ELO'!$A$7:$O$22,3))</f>
        <v>Dorina</v>
      </c>
      <c r="H19" s="299"/>
      <c r="I19" s="293" t="str">
        <f>IF($B19="","",VLOOKUP($B19,'Lány 2 kcs. A ELO'!$A$7:$O$22,4))</f>
        <v>Szfvári Kossuth L. Ált Isk.</v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304"/>
      <c r="B20" s="349"/>
      <c r="C20" s="305"/>
      <c r="D20" s="305"/>
      <c r="E20" s="305"/>
      <c r="F20" s="305"/>
      <c r="G20" s="305"/>
      <c r="H20" s="305"/>
      <c r="I20" s="305"/>
      <c r="J20" s="274"/>
      <c r="K20" s="304"/>
      <c r="L20" s="304"/>
      <c r="M20" s="366"/>
      <c r="Y20" s="352"/>
      <c r="Z20" s="352"/>
      <c r="AA20" s="352" t="s">
        <v>89</v>
      </c>
      <c r="AB20" s="352">
        <v>200</v>
      </c>
      <c r="AC20" s="352">
        <v>150</v>
      </c>
      <c r="AD20" s="352">
        <v>130</v>
      </c>
      <c r="AE20" s="352">
        <v>110</v>
      </c>
      <c r="AF20" s="352">
        <v>95</v>
      </c>
      <c r="AG20" s="352">
        <v>80</v>
      </c>
      <c r="AH20" s="352">
        <v>70</v>
      </c>
      <c r="AI20" s="352">
        <v>60</v>
      </c>
      <c r="AJ20" s="352">
        <v>55</v>
      </c>
      <c r="AK20" s="352">
        <v>50</v>
      </c>
    </row>
    <row r="21" spans="1:37" x14ac:dyDescent="0.25">
      <c r="A21" s="397" t="s">
        <v>108</v>
      </c>
      <c r="B21" s="350">
        <v>8</v>
      </c>
      <c r="C21" s="298">
        <f>IF($B21="","",VLOOKUP($B21,'Lány 2 kcs. A ELO'!$A$7:$O$22,5))</f>
        <v>0</v>
      </c>
      <c r="D21" s="298">
        <f>IF($B21="","",VLOOKUP($B21,'Lány 2 kcs. A ELO'!$A$7:$O$22,15))</f>
        <v>0</v>
      </c>
      <c r="E21" s="293" t="str">
        <f>UPPER(IF($B21="","",VLOOKUP($B21,'Lány 2 kcs. A ELO'!$A$7:$O$22,2)))</f>
        <v>DEUTSCH SZALAI</v>
      </c>
      <c r="F21" s="299"/>
      <c r="G21" s="293" t="str">
        <f>IF($B21="","",VLOOKUP($B21,'Lány 2 kcs. A ELO'!$A$7:$O$22,3))</f>
        <v>Mira</v>
      </c>
      <c r="H21" s="299"/>
      <c r="I21" s="293" t="str">
        <f>IF($B21="","",VLOOKUP($B21,'Lány 2 kcs. A ELO'!$A$7:$O$22,4))</f>
        <v>Gothard Jenő Általános Iskola</v>
      </c>
      <c r="J21" s="274"/>
      <c r="K21" s="364"/>
      <c r="L21" s="354" t="str">
        <f>IF(K21="","",CONCATENATE(VLOOKUP($Y$3,$AB$1:$AK$1,K21)," pont"))</f>
        <v/>
      </c>
      <c r="M21" s="365"/>
      <c r="Y21" s="352"/>
      <c r="Z21" s="352"/>
      <c r="AA21" s="352" t="s">
        <v>90</v>
      </c>
      <c r="AB21" s="352">
        <v>150</v>
      </c>
      <c r="AC21" s="352">
        <v>120</v>
      </c>
      <c r="AD21" s="352">
        <v>100</v>
      </c>
      <c r="AE21" s="352">
        <v>80</v>
      </c>
      <c r="AF21" s="352">
        <v>70</v>
      </c>
      <c r="AG21" s="352">
        <v>60</v>
      </c>
      <c r="AH21" s="352">
        <v>55</v>
      </c>
      <c r="AI21" s="352">
        <v>50</v>
      </c>
      <c r="AJ21" s="352">
        <v>45</v>
      </c>
      <c r="AK21" s="352">
        <v>40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91</v>
      </c>
      <c r="AB22" s="352">
        <v>120</v>
      </c>
      <c r="AC22" s="352">
        <v>90</v>
      </c>
      <c r="AD22" s="352">
        <v>65</v>
      </c>
      <c r="AE22" s="352">
        <v>55</v>
      </c>
      <c r="AF22" s="352">
        <v>50</v>
      </c>
      <c r="AG22" s="352">
        <v>45</v>
      </c>
      <c r="AH22" s="352">
        <v>40</v>
      </c>
      <c r="AI22" s="352">
        <v>35</v>
      </c>
      <c r="AJ22" s="352">
        <v>25</v>
      </c>
      <c r="AK22" s="352">
        <v>20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92</v>
      </c>
      <c r="AB23" s="352">
        <v>90</v>
      </c>
      <c r="AC23" s="352">
        <v>60</v>
      </c>
      <c r="AD23" s="352">
        <v>45</v>
      </c>
      <c r="AE23" s="352">
        <v>34</v>
      </c>
      <c r="AF23" s="352">
        <v>27</v>
      </c>
      <c r="AG23" s="352">
        <v>22</v>
      </c>
      <c r="AH23" s="352">
        <v>18</v>
      </c>
      <c r="AI23" s="352">
        <v>15</v>
      </c>
      <c r="AJ23" s="352">
        <v>12</v>
      </c>
      <c r="AK23" s="352">
        <v>9</v>
      </c>
    </row>
    <row r="24" spans="1:37" ht="18.75" customHeight="1" x14ac:dyDescent="0.25">
      <c r="A24" s="274"/>
      <c r="B24" s="438"/>
      <c r="C24" s="438"/>
      <c r="D24" s="439" t="str">
        <f>E7</f>
        <v xml:space="preserve">MÁRTON </v>
      </c>
      <c r="E24" s="439"/>
      <c r="F24" s="439" t="str">
        <f>E9</f>
        <v xml:space="preserve">HUNDZSA </v>
      </c>
      <c r="G24" s="439"/>
      <c r="H24" s="439" t="str">
        <f>E11</f>
        <v>MÁTYÁS</v>
      </c>
      <c r="I24" s="439"/>
      <c r="J24" s="439" t="str">
        <f>E13</f>
        <v>HEFFENTRÄGER</v>
      </c>
      <c r="K24" s="439"/>
      <c r="L24" s="274"/>
      <c r="M24" s="336" t="s">
        <v>68</v>
      </c>
      <c r="Y24" s="352"/>
      <c r="Z24" s="352"/>
      <c r="AA24" s="352" t="s">
        <v>93</v>
      </c>
      <c r="AB24" s="352">
        <v>60</v>
      </c>
      <c r="AC24" s="352">
        <v>40</v>
      </c>
      <c r="AD24" s="352">
        <v>30</v>
      </c>
      <c r="AE24" s="352">
        <v>20</v>
      </c>
      <c r="AF24" s="352">
        <v>18</v>
      </c>
      <c r="AG24" s="352">
        <v>15</v>
      </c>
      <c r="AH24" s="352">
        <v>12</v>
      </c>
      <c r="AI24" s="352">
        <v>10</v>
      </c>
      <c r="AJ24" s="352">
        <v>8</v>
      </c>
      <c r="AK24" s="352">
        <v>6</v>
      </c>
    </row>
    <row r="25" spans="1:37" ht="18.75" customHeight="1" x14ac:dyDescent="0.25">
      <c r="A25" s="334" t="s">
        <v>64</v>
      </c>
      <c r="B25" s="441" t="str">
        <f>E7</f>
        <v xml:space="preserve">MÁRTON </v>
      </c>
      <c r="C25" s="441"/>
      <c r="D25" s="442"/>
      <c r="E25" s="442"/>
      <c r="F25" s="443"/>
      <c r="G25" s="443"/>
      <c r="H25" s="443"/>
      <c r="I25" s="443"/>
      <c r="J25" s="439"/>
      <c r="K25" s="439"/>
      <c r="L25" s="274"/>
      <c r="M25" s="337"/>
      <c r="Y25" s="352"/>
      <c r="Z25" s="352"/>
      <c r="AA25" s="352" t="s">
        <v>94</v>
      </c>
      <c r="AB25" s="352">
        <v>40</v>
      </c>
      <c r="AC25" s="352">
        <v>25</v>
      </c>
      <c r="AD25" s="352">
        <v>18</v>
      </c>
      <c r="AE25" s="352">
        <v>13</v>
      </c>
      <c r="AF25" s="352">
        <v>8</v>
      </c>
      <c r="AG25" s="352">
        <v>7</v>
      </c>
      <c r="AH25" s="352">
        <v>6</v>
      </c>
      <c r="AI25" s="352">
        <v>5</v>
      </c>
      <c r="AJ25" s="352">
        <v>4</v>
      </c>
      <c r="AK25" s="352">
        <v>3</v>
      </c>
    </row>
    <row r="26" spans="1:37" ht="18.75" customHeight="1" x14ac:dyDescent="0.25">
      <c r="A26" s="334" t="s">
        <v>65</v>
      </c>
      <c r="B26" s="441" t="str">
        <f>E9</f>
        <v xml:space="preserve">HUNDZSA </v>
      </c>
      <c r="C26" s="441"/>
      <c r="D26" s="443"/>
      <c r="E26" s="443"/>
      <c r="F26" s="442"/>
      <c r="G26" s="442"/>
      <c r="H26" s="443"/>
      <c r="I26" s="443"/>
      <c r="J26" s="443"/>
      <c r="K26" s="443"/>
      <c r="L26" s="274"/>
      <c r="M26" s="337"/>
      <c r="Y26" s="352"/>
      <c r="Z26" s="352"/>
      <c r="AA26" s="352" t="s">
        <v>95</v>
      </c>
      <c r="AB26" s="352">
        <v>25</v>
      </c>
      <c r="AC26" s="352">
        <v>15</v>
      </c>
      <c r="AD26" s="352">
        <v>13</v>
      </c>
      <c r="AE26" s="352">
        <v>7</v>
      </c>
      <c r="AF26" s="352">
        <v>6</v>
      </c>
      <c r="AG26" s="352">
        <v>5</v>
      </c>
      <c r="AH26" s="352">
        <v>4</v>
      </c>
      <c r="AI26" s="352">
        <v>3</v>
      </c>
      <c r="AJ26" s="352">
        <v>2</v>
      </c>
      <c r="AK26" s="352">
        <v>1</v>
      </c>
    </row>
    <row r="27" spans="1:37" ht="18.75" customHeight="1" x14ac:dyDescent="0.25">
      <c r="A27" s="334" t="s">
        <v>66</v>
      </c>
      <c r="B27" s="441" t="str">
        <f>E11</f>
        <v>MÁTYÁS</v>
      </c>
      <c r="C27" s="441"/>
      <c r="D27" s="443"/>
      <c r="E27" s="443"/>
      <c r="F27" s="443"/>
      <c r="G27" s="443"/>
      <c r="H27" s="442"/>
      <c r="I27" s="442"/>
      <c r="J27" s="443"/>
      <c r="K27" s="443"/>
      <c r="L27" s="274"/>
      <c r="M27" s="337"/>
      <c r="Y27" s="352"/>
      <c r="Z27" s="352"/>
      <c r="AA27" s="352" t="s">
        <v>100</v>
      </c>
      <c r="AB27" s="352">
        <v>15</v>
      </c>
      <c r="AC27" s="352">
        <v>10</v>
      </c>
      <c r="AD27" s="352">
        <v>8</v>
      </c>
      <c r="AE27" s="352">
        <v>4</v>
      </c>
      <c r="AF27" s="352">
        <v>3</v>
      </c>
      <c r="AG27" s="352">
        <v>2</v>
      </c>
      <c r="AH27" s="352">
        <v>1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96" t="s">
        <v>71</v>
      </c>
      <c r="B28" s="441" t="str">
        <f>E13</f>
        <v>HEFFENTRÄGER</v>
      </c>
      <c r="C28" s="441"/>
      <c r="D28" s="443"/>
      <c r="E28" s="443"/>
      <c r="F28" s="443"/>
      <c r="G28" s="443"/>
      <c r="H28" s="439"/>
      <c r="I28" s="439"/>
      <c r="J28" s="442"/>
      <c r="K28" s="442"/>
      <c r="L28" s="274"/>
      <c r="M28" s="337"/>
      <c r="Y28" s="352"/>
      <c r="Z28" s="352"/>
      <c r="AA28" s="352" t="s">
        <v>100</v>
      </c>
      <c r="AB28" s="352">
        <v>15</v>
      </c>
      <c r="AC28" s="352">
        <v>10</v>
      </c>
      <c r="AD28" s="352">
        <v>8</v>
      </c>
      <c r="AE28" s="352">
        <v>4</v>
      </c>
      <c r="AF28" s="352">
        <v>3</v>
      </c>
      <c r="AG28" s="352">
        <v>2</v>
      </c>
      <c r="AH28" s="352">
        <v>1</v>
      </c>
      <c r="AI28" s="352">
        <v>0</v>
      </c>
      <c r="AJ28" s="352">
        <v>0</v>
      </c>
      <c r="AK28" s="352">
        <v>0</v>
      </c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338"/>
      <c r="Y29" s="352"/>
      <c r="Z29" s="352"/>
      <c r="AA29" s="352" t="s">
        <v>96</v>
      </c>
      <c r="AB29" s="352">
        <v>10</v>
      </c>
      <c r="AC29" s="352">
        <v>6</v>
      </c>
      <c r="AD29" s="352">
        <v>4</v>
      </c>
      <c r="AE29" s="352">
        <v>2</v>
      </c>
      <c r="AF29" s="352">
        <v>1</v>
      </c>
      <c r="AG29" s="352">
        <v>0</v>
      </c>
      <c r="AH29" s="352">
        <v>0</v>
      </c>
      <c r="AI29" s="352">
        <v>0</v>
      </c>
      <c r="AJ29" s="352">
        <v>0</v>
      </c>
      <c r="AK29" s="352">
        <v>0</v>
      </c>
    </row>
    <row r="30" spans="1:37" ht="18.75" customHeight="1" x14ac:dyDescent="0.25">
      <c r="A30" s="274"/>
      <c r="B30" s="438"/>
      <c r="C30" s="438"/>
      <c r="D30" s="439" t="str">
        <f>E15</f>
        <v xml:space="preserve">CHEN </v>
      </c>
      <c r="E30" s="439"/>
      <c r="F30" s="439" t="str">
        <f>E17</f>
        <v xml:space="preserve">SZŐKE </v>
      </c>
      <c r="G30" s="439"/>
      <c r="H30" s="449" t="str">
        <f>E19</f>
        <v>SZUNA</v>
      </c>
      <c r="I30" s="450"/>
      <c r="J30" s="439" t="str">
        <f>E21</f>
        <v>DEUTSCH SZALAI</v>
      </c>
      <c r="K30" s="439"/>
      <c r="L30" s="274"/>
      <c r="M30" s="338"/>
      <c r="Y30" s="352"/>
      <c r="Z30" s="352"/>
      <c r="AA30" s="352" t="s">
        <v>97</v>
      </c>
      <c r="AB30" s="352">
        <v>3</v>
      </c>
      <c r="AC30" s="352">
        <v>2</v>
      </c>
      <c r="AD30" s="352">
        <v>1</v>
      </c>
      <c r="AE30" s="352">
        <v>0</v>
      </c>
      <c r="AF30" s="352">
        <v>0</v>
      </c>
      <c r="AG30" s="352">
        <v>0</v>
      </c>
      <c r="AH30" s="352">
        <v>0</v>
      </c>
      <c r="AI30" s="352">
        <v>0</v>
      </c>
      <c r="AJ30" s="352">
        <v>0</v>
      </c>
      <c r="AK30" s="352">
        <v>0</v>
      </c>
    </row>
    <row r="31" spans="1:37" ht="18.75" customHeight="1" x14ac:dyDescent="0.25">
      <c r="A31" s="396" t="s">
        <v>72</v>
      </c>
      <c r="B31" s="447" t="str">
        <f>E15</f>
        <v xml:space="preserve">CHEN </v>
      </c>
      <c r="C31" s="448"/>
      <c r="D31" s="442"/>
      <c r="E31" s="442"/>
      <c r="F31" s="443"/>
      <c r="G31" s="443"/>
      <c r="H31" s="443"/>
      <c r="I31" s="443"/>
      <c r="J31" s="439"/>
      <c r="K31" s="439"/>
      <c r="L31" s="274"/>
      <c r="M31" s="337"/>
    </row>
    <row r="32" spans="1:37" ht="18.75" customHeight="1" x14ac:dyDescent="0.25">
      <c r="A32" s="396" t="s">
        <v>73</v>
      </c>
      <c r="B32" s="441" t="str">
        <f>E17</f>
        <v xml:space="preserve">SZŐKE </v>
      </c>
      <c r="C32" s="441"/>
      <c r="D32" s="443"/>
      <c r="E32" s="443"/>
      <c r="F32" s="442"/>
      <c r="G32" s="442"/>
      <c r="H32" s="443"/>
      <c r="I32" s="443"/>
      <c r="J32" s="443"/>
      <c r="K32" s="443"/>
      <c r="L32" s="274"/>
      <c r="M32" s="337"/>
    </row>
    <row r="33" spans="1:18" ht="18.75" customHeight="1" x14ac:dyDescent="0.25">
      <c r="A33" s="396" t="s">
        <v>77</v>
      </c>
      <c r="B33" s="441" t="str">
        <f>E19</f>
        <v>SZUNA</v>
      </c>
      <c r="C33" s="441"/>
      <c r="D33" s="443"/>
      <c r="E33" s="443"/>
      <c r="F33" s="443"/>
      <c r="G33" s="443"/>
      <c r="H33" s="442"/>
      <c r="I33" s="442"/>
      <c r="J33" s="443"/>
      <c r="K33" s="443"/>
      <c r="L33" s="274"/>
      <c r="M33" s="337"/>
    </row>
    <row r="34" spans="1:18" ht="18.75" customHeight="1" x14ac:dyDescent="0.25">
      <c r="A34" s="396" t="s">
        <v>108</v>
      </c>
      <c r="B34" s="441" t="str">
        <f>E21</f>
        <v>DEUTSCH SZALAI</v>
      </c>
      <c r="C34" s="441"/>
      <c r="D34" s="443"/>
      <c r="E34" s="443"/>
      <c r="F34" s="443"/>
      <c r="G34" s="443"/>
      <c r="H34" s="439"/>
      <c r="I34" s="439"/>
      <c r="J34" s="442"/>
      <c r="K34" s="442"/>
      <c r="L34" s="274"/>
      <c r="M34" s="337"/>
    </row>
    <row r="35" spans="1:18" ht="18.75" customHeight="1" x14ac:dyDescent="0.25">
      <c r="A35" s="339"/>
      <c r="B35" s="340"/>
      <c r="C35" s="340"/>
      <c r="D35" s="339"/>
      <c r="E35" s="339"/>
      <c r="F35" s="339"/>
      <c r="G35" s="339"/>
      <c r="H35" s="339"/>
      <c r="I35" s="339"/>
      <c r="J35" s="274"/>
      <c r="K35" s="274"/>
      <c r="L35" s="274"/>
      <c r="M35" s="341"/>
    </row>
    <row r="36" spans="1:18" x14ac:dyDescent="0.25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8" x14ac:dyDescent="0.25">
      <c r="A37" s="274" t="s">
        <v>58</v>
      </c>
      <c r="B37" s="274"/>
      <c r="C37" s="446" t="str">
        <f>IF(M25=1,B25,IF(M26=1,B26,IF(M27=1,B27,IF(M28=1,B28,""))))</f>
        <v/>
      </c>
      <c r="D37" s="446"/>
      <c r="E37" s="304" t="s">
        <v>75</v>
      </c>
      <c r="F37" s="446" t="str">
        <f>IF(M31=1,B31,IF(M32=1,B32,IF(M33=1,B33,IF(M34=1,B34,""))))</f>
        <v/>
      </c>
      <c r="G37" s="446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304"/>
      <c r="G38" s="304"/>
      <c r="H38" s="274"/>
      <c r="I38" s="274"/>
      <c r="J38" s="274"/>
      <c r="K38" s="274"/>
      <c r="L38" s="274"/>
      <c r="M38" s="274"/>
    </row>
    <row r="39" spans="1:18" x14ac:dyDescent="0.25">
      <c r="A39" s="274" t="s">
        <v>74</v>
      </c>
      <c r="B39" s="274"/>
      <c r="C39" s="446" t="str">
        <f>IF(M25=2,B25,IF(M26=2,B26,IF(M27=2,B27,IF(M28=2,B28,""))))</f>
        <v/>
      </c>
      <c r="D39" s="446"/>
      <c r="E39" s="304" t="s">
        <v>75</v>
      </c>
      <c r="F39" s="446" t="str">
        <f>IF(M31=2,B31,IF(M32=2,B32,IF(M33=2,B33,IF(M34=2,B34,""))))</f>
        <v/>
      </c>
      <c r="G39" s="446"/>
      <c r="H39" s="274"/>
      <c r="I39" s="252"/>
      <c r="J39" s="274"/>
      <c r="K39" s="274"/>
      <c r="L39" s="274"/>
      <c r="M39" s="274"/>
    </row>
    <row r="40" spans="1:18" x14ac:dyDescent="0.25">
      <c r="A40" s="274"/>
      <c r="B40" s="274"/>
      <c r="C40" s="304"/>
      <c r="D40" s="304"/>
      <c r="E40" s="304"/>
      <c r="F40" s="304"/>
      <c r="G40" s="304"/>
      <c r="H40" s="274"/>
      <c r="I40" s="274"/>
      <c r="J40" s="274"/>
      <c r="K40" s="274"/>
      <c r="L40" s="274"/>
      <c r="M40" s="274"/>
    </row>
    <row r="41" spans="1:18" x14ac:dyDescent="0.25">
      <c r="A41" s="274" t="s">
        <v>76</v>
      </c>
      <c r="B41" s="274"/>
      <c r="C41" s="446" t="str">
        <f>IF(M25=3,B25,IF(M26=3,B26,IF(M27=3,B27,IF(M28=3,B28,""))))</f>
        <v/>
      </c>
      <c r="D41" s="446"/>
      <c r="E41" s="304" t="s">
        <v>75</v>
      </c>
      <c r="F41" s="446" t="str">
        <f>IF(M31=3,B31,IF(M32=3,B32,IF(M33=3,B33,IF(M34=3,B34,""))))</f>
        <v/>
      </c>
      <c r="G41" s="446"/>
      <c r="H41" s="274"/>
      <c r="I41" s="252"/>
      <c r="J41" s="274"/>
      <c r="K41" s="274"/>
      <c r="L41" s="274"/>
      <c r="M41" s="274"/>
    </row>
    <row r="42" spans="1:18" x14ac:dyDescent="0.25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3" spans="1:18" x14ac:dyDescent="0.25">
      <c r="A43" s="305" t="s">
        <v>109</v>
      </c>
      <c r="B43" s="274"/>
      <c r="C43" s="446">
        <f>IF(M25=4,B25,IF(M26=4,B26,IF(M27=4,B27,IF(M28=4,B28,))))</f>
        <v>0</v>
      </c>
      <c r="D43" s="446"/>
      <c r="E43" s="304" t="s">
        <v>75</v>
      </c>
      <c r="F43" s="446" t="str">
        <f>IF(M31=3,B31,IF(M32=3,B32,IF(M33=4,B33,IF(M34=4,B34,""))))</f>
        <v/>
      </c>
      <c r="G43" s="446"/>
      <c r="H43" s="274"/>
      <c r="I43" s="252"/>
      <c r="J43" s="274"/>
      <c r="K43" s="274"/>
      <c r="L43" s="274"/>
      <c r="M43" s="274"/>
    </row>
    <row r="44" spans="1:18" x14ac:dyDescent="0.25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52"/>
      <c r="M44" s="274"/>
      <c r="P44" s="306"/>
      <c r="Q44" s="306"/>
      <c r="R44" s="307"/>
    </row>
    <row r="45" spans="1:18" x14ac:dyDescent="0.25">
      <c r="A45" s="140" t="s">
        <v>43</v>
      </c>
      <c r="B45" s="141"/>
      <c r="C45" s="209"/>
      <c r="D45" s="310" t="s">
        <v>4</v>
      </c>
      <c r="E45" s="311" t="s">
        <v>45</v>
      </c>
      <c r="F45" s="325"/>
      <c r="G45" s="310" t="s">
        <v>4</v>
      </c>
      <c r="H45" s="311" t="s">
        <v>54</v>
      </c>
      <c r="I45" s="165"/>
      <c r="J45" s="311" t="s">
        <v>55</v>
      </c>
      <c r="K45" s="164" t="s">
        <v>56</v>
      </c>
      <c r="L45" s="33"/>
      <c r="M45" s="325"/>
      <c r="P45" s="308"/>
      <c r="Q45" s="308"/>
      <c r="R45" s="153"/>
    </row>
    <row r="46" spans="1:18" x14ac:dyDescent="0.25">
      <c r="A46" s="285" t="s">
        <v>44</v>
      </c>
      <c r="B46" s="286"/>
      <c r="C46" s="288"/>
      <c r="D46" s="312">
        <v>1</v>
      </c>
      <c r="E46" s="444" t="str">
        <f>IF(D46&gt;$R$47,,UPPER(VLOOKUP(D46,'Lány 2 kcs. A ELO'!$A$7:$Q$134,2)))</f>
        <v xml:space="preserve">TAKÁCS </v>
      </c>
      <c r="F46" s="444"/>
      <c r="G46" s="319" t="s">
        <v>5</v>
      </c>
      <c r="H46" s="286"/>
      <c r="I46" s="313"/>
      <c r="J46" s="320"/>
      <c r="K46" s="280" t="s">
        <v>46</v>
      </c>
      <c r="L46" s="326"/>
      <c r="M46" s="314"/>
      <c r="P46" s="153"/>
      <c r="Q46" s="151"/>
      <c r="R46" s="153"/>
    </row>
    <row r="47" spans="1:18" x14ac:dyDescent="0.25">
      <c r="A47" s="289" t="s">
        <v>53</v>
      </c>
      <c r="B47" s="163"/>
      <c r="C47" s="291"/>
      <c r="D47" s="315">
        <v>2</v>
      </c>
      <c r="E47" s="445" t="str">
        <f>IF(D47&gt;$R$47,,UPPER(VLOOKUP(D47,'Lány 2 kcs. A ELO'!$A$7:$Q$134,2)))</f>
        <v xml:space="preserve">LESTYÁN </v>
      </c>
      <c r="F47" s="445"/>
      <c r="G47" s="321" t="s">
        <v>6</v>
      </c>
      <c r="H47" s="83"/>
      <c r="I47" s="278"/>
      <c r="J47" s="84"/>
      <c r="K47" s="323"/>
      <c r="L47" s="252"/>
      <c r="M47" s="318"/>
      <c r="P47" s="308"/>
      <c r="Q47" s="308"/>
      <c r="R47" s="309">
        <f>MIN(4,'Lány 2 kcs. A ELO'!Q2)</f>
        <v>4</v>
      </c>
    </row>
    <row r="48" spans="1:18" x14ac:dyDescent="0.25">
      <c r="A48" s="178"/>
      <c r="B48" s="179"/>
      <c r="C48" s="180"/>
      <c r="D48" s="315"/>
      <c r="E48" s="85"/>
      <c r="F48" s="274"/>
      <c r="G48" s="321" t="s">
        <v>7</v>
      </c>
      <c r="H48" s="83"/>
      <c r="I48" s="278"/>
      <c r="J48" s="84"/>
      <c r="K48" s="280" t="s">
        <v>47</v>
      </c>
      <c r="L48" s="326"/>
      <c r="M48" s="314"/>
      <c r="P48" s="153"/>
      <c r="Q48" s="151"/>
      <c r="R48" s="153"/>
    </row>
    <row r="49" spans="1:18" x14ac:dyDescent="0.25">
      <c r="A49" s="154"/>
      <c r="B49" s="120"/>
      <c r="C49" s="155"/>
      <c r="D49" s="315"/>
      <c r="E49" s="85"/>
      <c r="F49" s="274"/>
      <c r="G49" s="321" t="s">
        <v>8</v>
      </c>
      <c r="H49" s="83"/>
      <c r="I49" s="278"/>
      <c r="J49" s="84"/>
      <c r="K49" s="324"/>
      <c r="L49" s="274"/>
      <c r="M49" s="316"/>
      <c r="P49" s="153"/>
      <c r="Q49" s="151"/>
      <c r="R49" s="153"/>
    </row>
    <row r="50" spans="1:18" x14ac:dyDescent="0.25">
      <c r="A50" s="167"/>
      <c r="B50" s="181"/>
      <c r="C50" s="208"/>
      <c r="D50" s="315"/>
      <c r="E50" s="85"/>
      <c r="F50" s="274"/>
      <c r="G50" s="321" t="s">
        <v>9</v>
      </c>
      <c r="H50" s="83"/>
      <c r="I50" s="278"/>
      <c r="J50" s="84"/>
      <c r="K50" s="289"/>
      <c r="L50" s="252"/>
      <c r="M50" s="318"/>
      <c r="P50" s="308"/>
      <c r="Q50" s="308"/>
      <c r="R50" s="153"/>
    </row>
    <row r="51" spans="1:18" x14ac:dyDescent="0.25">
      <c r="A51" s="168"/>
      <c r="B51" s="22"/>
      <c r="C51" s="155"/>
      <c r="D51" s="315"/>
      <c r="E51" s="85"/>
      <c r="F51" s="274"/>
      <c r="G51" s="321" t="s">
        <v>10</v>
      </c>
      <c r="H51" s="83"/>
      <c r="I51" s="278"/>
      <c r="J51" s="84"/>
      <c r="K51" s="280" t="s">
        <v>33</v>
      </c>
      <c r="L51" s="326"/>
      <c r="M51" s="314"/>
      <c r="P51" s="153"/>
      <c r="Q51" s="151"/>
      <c r="R51" s="153"/>
    </row>
    <row r="52" spans="1:18" x14ac:dyDescent="0.25">
      <c r="A52" s="168"/>
      <c r="B52" s="22"/>
      <c r="C52" s="176"/>
      <c r="D52" s="315"/>
      <c r="E52" s="85"/>
      <c r="F52" s="274"/>
      <c r="G52" s="321" t="s">
        <v>11</v>
      </c>
      <c r="H52" s="83"/>
      <c r="I52" s="278"/>
      <c r="J52" s="84"/>
      <c r="K52" s="324"/>
      <c r="L52" s="274"/>
      <c r="M52" s="316"/>
      <c r="P52" s="153"/>
      <c r="Q52" s="151"/>
      <c r="R52" s="309"/>
    </row>
    <row r="53" spans="1:18" x14ac:dyDescent="0.25">
      <c r="A53" s="169"/>
      <c r="B53" s="166"/>
      <c r="C53" s="177"/>
      <c r="D53" s="317"/>
      <c r="E53" s="156"/>
      <c r="F53" s="252"/>
      <c r="G53" s="322" t="s">
        <v>12</v>
      </c>
      <c r="H53" s="163"/>
      <c r="I53" s="282"/>
      <c r="J53" s="158"/>
      <c r="K53" s="289" t="str">
        <f>L4</f>
        <v>Rákóczi Andrea</v>
      </c>
      <c r="L53" s="252"/>
      <c r="M53" s="318"/>
    </row>
  </sheetData>
  <mergeCells count="62">
    <mergeCell ref="A1:F1"/>
    <mergeCell ref="A4:C4"/>
    <mergeCell ref="B24:C24"/>
    <mergeCell ref="D24:E24"/>
    <mergeCell ref="F24:G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F28:G28"/>
    <mergeCell ref="H28:I28"/>
    <mergeCell ref="J30:K30"/>
    <mergeCell ref="B31:C31"/>
    <mergeCell ref="D31:E31"/>
    <mergeCell ref="F31:G31"/>
    <mergeCell ref="H31:I31"/>
    <mergeCell ref="J31:K31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J28:K28"/>
    <mergeCell ref="E47:F47"/>
    <mergeCell ref="C43:D43"/>
    <mergeCell ref="F43:G43"/>
    <mergeCell ref="B34:C34"/>
    <mergeCell ref="D34:E34"/>
    <mergeCell ref="F34:G34"/>
    <mergeCell ref="C39:D39"/>
    <mergeCell ref="F39:G39"/>
    <mergeCell ref="C41:D41"/>
    <mergeCell ref="F41:G41"/>
    <mergeCell ref="E46:F46"/>
    <mergeCell ref="H34:I34"/>
    <mergeCell ref="J34:K34"/>
    <mergeCell ref="C37:D37"/>
    <mergeCell ref="F37:G37"/>
    <mergeCell ref="H24:I24"/>
    <mergeCell ref="J24:K24"/>
    <mergeCell ref="J25:K25"/>
    <mergeCell ref="J26:K26"/>
    <mergeCell ref="J27:K27"/>
  </mergeCells>
  <conditionalFormatting sqref="E7 E9 E11 E13 E15 E17 E19:E21">
    <cfRule type="cellIs" dxfId="115" priority="1" stopIfTrue="1" operator="equal">
      <formula>"Bye"</formula>
    </cfRule>
  </conditionalFormatting>
  <conditionalFormatting sqref="R47 R52">
    <cfRule type="expression" dxfId="1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1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/>
      <c r="C7" s="298" t="str">
        <f>IF($B7="","",VLOOKUP($B7,'Lány 2 kcs. A ELO'!$A$7:$O$22,5))</f>
        <v/>
      </c>
      <c r="D7" s="298" t="str">
        <f>IF($B7="","",VLOOKUP($B7,'Lány 2 kcs. A ELO'!$A$7:$O$22,15))</f>
        <v/>
      </c>
      <c r="E7" s="293" t="str">
        <f>UPPER(IF($B7="","",VLOOKUP($B7,'Lány 2 kcs. A ELO'!$A$7:$O$22,2)))</f>
        <v/>
      </c>
      <c r="F7" s="299"/>
      <c r="G7" s="293" t="str">
        <f>IF($B7="","",VLOOKUP($B7,'Lány 2 kcs. A ELO'!$A$7:$O$22,3))</f>
        <v/>
      </c>
      <c r="H7" s="299"/>
      <c r="I7" s="293" t="str">
        <f>IF($B7="","",VLOOKUP($B7,'Lány 2 kcs. A ELO'!$A$7:$O$22,4))</f>
        <v/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/>
      <c r="C9" s="298" t="str">
        <f>IF($B9="","",VLOOKUP($B9,'Lány 2 kcs. A ELO'!$A$7:$O$22,5))</f>
        <v/>
      </c>
      <c r="D9" s="298" t="str">
        <f>IF($B9="","",VLOOKUP($B9,'Lány 2 kcs. A ELO'!$A$7:$O$22,15))</f>
        <v/>
      </c>
      <c r="E9" s="293" t="str">
        <f>UPPER(IF($B9="","",VLOOKUP($B9,'Lány 2 kcs. A ELO'!$A$7:$O$22,2)))</f>
        <v/>
      </c>
      <c r="F9" s="299"/>
      <c r="G9" s="293" t="str">
        <f>IF($B9="","",VLOOKUP($B9,'Lány 2 kcs. A ELO'!$A$7:$O$22,3))</f>
        <v/>
      </c>
      <c r="H9" s="299"/>
      <c r="I9" s="293" t="str">
        <f>IF($B9="","",VLOOKUP($B9,'Lány 2 kcs. A ELO'!$A$7:$O$22,4))</f>
        <v/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/>
      <c r="C11" s="298" t="str">
        <f>IF($B11="","",VLOOKUP($B11,'Lány 2 kcs. A ELO'!$A$7:$O$22,5))</f>
        <v/>
      </c>
      <c r="D11" s="298" t="str">
        <f>IF($B11="","",VLOOKUP($B11,'Lány 2 kcs. A ELO'!$A$7:$O$22,15))</f>
        <v/>
      </c>
      <c r="E11" s="293" t="str">
        <f>UPPER(IF($B11="","",VLOOKUP($B11,'Lány 2 kcs. A ELO'!$A$7:$O$22,2)))</f>
        <v/>
      </c>
      <c r="F11" s="299"/>
      <c r="G11" s="293" t="str">
        <f>IF($B11="","",VLOOKUP($B11,'Lány 2 kcs. A ELO'!$A$7:$O$22,3))</f>
        <v/>
      </c>
      <c r="H11" s="299"/>
      <c r="I11" s="293" t="str">
        <f>IF($B11="","",VLOOKUP($B11,'Lány 2 kcs. A ELO'!$A$7:$O$22,4))</f>
        <v/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/>
      </c>
      <c r="E18" s="439"/>
      <c r="F18" s="439" t="str">
        <f>E9</f>
        <v/>
      </c>
      <c r="G18" s="439"/>
      <c r="H18" s="439" t="str">
        <f>E11</f>
        <v/>
      </c>
      <c r="I18" s="439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/>
      </c>
      <c r="C19" s="441"/>
      <c r="D19" s="442"/>
      <c r="E19" s="442"/>
      <c r="F19" s="443"/>
      <c r="G19" s="443"/>
      <c r="H19" s="443"/>
      <c r="I19" s="443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/>
      </c>
      <c r="C20" s="441"/>
      <c r="D20" s="443"/>
      <c r="E20" s="443"/>
      <c r="F20" s="442"/>
      <c r="G20" s="442"/>
      <c r="H20" s="443"/>
      <c r="I20" s="443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/>
      </c>
      <c r="C21" s="441"/>
      <c r="D21" s="443"/>
      <c r="E21" s="443"/>
      <c r="F21" s="443"/>
      <c r="G21" s="443"/>
      <c r="H21" s="442"/>
      <c r="I21" s="442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H18:I18"/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H19:I19"/>
    <mergeCell ref="D20:E20"/>
    <mergeCell ref="F20:G20"/>
    <mergeCell ref="H20:I20"/>
    <mergeCell ref="E35:F35"/>
    <mergeCell ref="F21:G21"/>
    <mergeCell ref="H21:I21"/>
  </mergeCells>
  <phoneticPr fontId="60" type="noConversion"/>
  <conditionalFormatting sqref="E7 E9 E11">
    <cfRule type="cellIs" dxfId="113" priority="1" stopIfTrue="1" operator="equal">
      <formula>"Bye"</formula>
    </cfRule>
  </conditionalFormatting>
  <conditionalFormatting sqref="R41">
    <cfRule type="expression" dxfId="1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15" activePane="bottomLeft" state="frozen"/>
      <selection activeCell="B7" sqref="B7:O29"/>
      <selection pane="bottomLeft" activeCell="G30" sqref="G30"/>
    </sheetView>
  </sheetViews>
  <sheetFormatPr defaultRowHeight="13.2" x14ac:dyDescent="0.25"/>
  <cols>
    <col min="1" max="1" width="3.88671875" customWidth="1"/>
    <col min="2" max="2" width="18.109375" bestFit="1" customWidth="1"/>
    <col min="3" max="3" width="11.88671875" customWidth="1"/>
    <col min="4" max="4" width="53.33203125" style="40" bestFit="1" customWidth="1"/>
    <col min="5" max="5" width="10.6640625" style="390" customWidth="1"/>
    <col min="6" max="6" width="6.109375" style="91" hidden="1" customWidth="1"/>
    <col min="7" max="7" width="3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Altalanos!$B$8</f>
        <v>Lány 2 kcs B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8" t="s">
        <v>129</v>
      </c>
      <c r="C7" s="417" t="s">
        <v>130</v>
      </c>
      <c r="D7" s="418" t="s">
        <v>131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6" t="s">
        <v>132</v>
      </c>
      <c r="C8" s="417" t="s">
        <v>133</v>
      </c>
      <c r="D8" s="418" t="s">
        <v>134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5" t="s">
        <v>135</v>
      </c>
      <c r="C9" s="414" t="s">
        <v>136</v>
      </c>
      <c r="D9" s="414" t="s">
        <v>137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5" t="s">
        <v>138</v>
      </c>
      <c r="C10" s="414" t="s">
        <v>139</v>
      </c>
      <c r="D10" s="414" t="s">
        <v>140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144</v>
      </c>
      <c r="C11" s="414" t="s">
        <v>145</v>
      </c>
      <c r="D11" s="414" t="s">
        <v>146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147</v>
      </c>
      <c r="C12" s="414" t="s">
        <v>148</v>
      </c>
      <c r="D12" s="414" t="s">
        <v>149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3">
      <c r="A13" s="191">
        <v>7</v>
      </c>
      <c r="B13" s="419" t="s">
        <v>150</v>
      </c>
      <c r="C13" s="414" t="s">
        <v>151</v>
      </c>
      <c r="D13" s="420" t="s">
        <v>152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19" t="s">
        <v>153</v>
      </c>
      <c r="C14" s="414" t="s">
        <v>154</v>
      </c>
      <c r="D14" s="420" t="s">
        <v>155</v>
      </c>
      <c r="E14" s="204"/>
      <c r="F14" s="95"/>
      <c r="G14" s="95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25">
      <c r="A15" s="191">
        <v>9</v>
      </c>
      <c r="B15" s="421" t="s">
        <v>156</v>
      </c>
      <c r="C15" s="421" t="s">
        <v>157</v>
      </c>
      <c r="D15" s="422" t="s">
        <v>158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21" t="s">
        <v>159</v>
      </c>
      <c r="C16" s="421" t="s">
        <v>160</v>
      </c>
      <c r="D16" s="422" t="s">
        <v>161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20" t="s">
        <v>162</v>
      </c>
      <c r="C17" s="414" t="s">
        <v>163</v>
      </c>
      <c r="D17" s="41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0" t="s">
        <v>164</v>
      </c>
      <c r="C18" s="414" t="s">
        <v>165</v>
      </c>
      <c r="D18" s="41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15" t="s">
        <v>166</v>
      </c>
      <c r="C19" s="414" t="s">
        <v>167</v>
      </c>
      <c r="D19" s="414" t="s">
        <v>168</v>
      </c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15" t="s">
        <v>169</v>
      </c>
      <c r="C20" s="414" t="s">
        <v>170</v>
      </c>
      <c r="D20" s="414" t="s">
        <v>168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3">
      <c r="A21" s="191">
        <v>15</v>
      </c>
      <c r="B21" s="415" t="s">
        <v>171</v>
      </c>
      <c r="C21" s="414" t="s">
        <v>172</v>
      </c>
      <c r="D21" s="415" t="s">
        <v>173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14" t="s">
        <v>174</v>
      </c>
      <c r="C22" s="414" t="s">
        <v>175</v>
      </c>
      <c r="D22" s="41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14" t="s">
        <v>176</v>
      </c>
      <c r="C23" s="414" t="s">
        <v>177</v>
      </c>
      <c r="D23" s="41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23" t="s">
        <v>178</v>
      </c>
      <c r="C24" s="414" t="s">
        <v>179</v>
      </c>
      <c r="D24" s="414" t="s">
        <v>180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3" t="s">
        <v>181</v>
      </c>
      <c r="C25" s="414" t="s">
        <v>182</v>
      </c>
      <c r="D25" s="414" t="s">
        <v>183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30" t="s">
        <v>298</v>
      </c>
      <c r="C26" s="414" t="s">
        <v>299</v>
      </c>
      <c r="D26" s="41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30" t="s">
        <v>300</v>
      </c>
      <c r="C27" s="414" t="s">
        <v>301</v>
      </c>
      <c r="D27" s="94"/>
      <c r="E27" s="409"/>
      <c r="F27" s="394"/>
      <c r="G27" s="211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9:A27 A28:D156">
    <cfRule type="expression" dxfId="111" priority="16" stopIfTrue="1">
      <formula>$Q9&gt;=1</formula>
    </cfRule>
  </conditionalFormatting>
  <conditionalFormatting sqref="A7:D8 B28:D37">
    <cfRule type="expression" dxfId="110" priority="3" stopIfTrue="1">
      <formula>$Q7&gt;=1</formula>
    </cfRule>
  </conditionalFormatting>
  <conditionalFormatting sqref="D27">
    <cfRule type="expression" dxfId="109" priority="1" stopIfTrue="1">
      <formula>$Q27&gt;=1</formula>
    </cfRule>
  </conditionalFormatting>
  <conditionalFormatting sqref="E7:E14">
    <cfRule type="expression" dxfId="108" priority="8" stopIfTrue="1">
      <formula>AND(ROUNDDOWN(($A$4-E7)/365.25,0)&lt;=13,G7&lt;&gt;"OK")</formula>
    </cfRule>
    <cfRule type="expression" dxfId="107" priority="9" stopIfTrue="1">
      <formula>AND(ROUNDDOWN(($A$4-E7)/365.25,0)&lt;=14,G7&lt;&gt;"OK")</formula>
    </cfRule>
    <cfRule type="expression" dxfId="106" priority="10" stopIfTrue="1">
      <formula>AND(ROUNDDOWN(($A$4-E7)/365.25,0)&lt;=17,G7&lt;&gt;"OK")</formula>
    </cfRule>
    <cfRule type="expression" dxfId="105" priority="13" stopIfTrue="1">
      <formula>AND(ROUNDDOWN(($A$4-E7)/365.25,0)&lt;=13,G7&lt;&gt;"OK")</formula>
    </cfRule>
    <cfRule type="expression" dxfId="104" priority="14" stopIfTrue="1">
      <formula>AND(ROUNDDOWN(($A$4-E7)/365.25,0)&lt;=14,G7&lt;&gt;"OK")</formula>
    </cfRule>
    <cfRule type="expression" dxfId="103" priority="15" stopIfTrue="1">
      <formula>AND(ROUNDDOWN(($A$4-E7)/365.25,0)&lt;=17,G7&lt;&gt;"OK")</formula>
    </cfRule>
  </conditionalFormatting>
  <conditionalFormatting sqref="E7:E27 E29:E37">
    <cfRule type="expression" dxfId="102" priority="4" stopIfTrue="1">
      <formula>AND(ROUNDDOWN(($A$4-E7)/365.25,0)&lt;=13,G7&lt;&gt;"OK")</formula>
    </cfRule>
    <cfRule type="expression" dxfId="101" priority="5" stopIfTrue="1">
      <formula>AND(ROUNDDOWN(($A$4-E7)/365.25,0)&lt;=14,G7&lt;&gt;"OK")</formula>
    </cfRule>
    <cfRule type="expression" dxfId="100" priority="6" stopIfTrue="1">
      <formula>AND(ROUNDDOWN(($A$4-E7)/365.25,0)&lt;=17,G7&lt;&gt;"OK")</formula>
    </cfRule>
  </conditionalFormatting>
  <conditionalFormatting sqref="E7:E156">
    <cfRule type="expression" dxfId="99" priority="18" stopIfTrue="1">
      <formula>AND(ROUNDDOWN(($A$4-E7)/365.25,0)&lt;=13,G7&lt;&gt;"OK")</formula>
    </cfRule>
    <cfRule type="expression" dxfId="98" priority="19" stopIfTrue="1">
      <formula>AND(ROUNDDOWN(($A$4-E7)/365.25,0)&lt;=14,G7&lt;&gt;"OK")</formula>
    </cfRule>
    <cfRule type="expression" dxfId="97" priority="20" stopIfTrue="1">
      <formula>AND(ROUNDDOWN(($A$4-E7)/365.25,0)&lt;=17,G7&lt;&gt;"OK")</formula>
    </cfRule>
  </conditionalFormatting>
  <conditionalFormatting sqref="J7:J156">
    <cfRule type="cellIs" dxfId="96" priority="12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1"/>
  <sheetViews>
    <sheetView workbookViewId="0">
      <selection activeCell="I15" sqref="I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5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3" t="str">
        <f>UPPER(IF($B7="","",VLOOKUP($B7,'Lány 2 kcs. B ELO'!$A$7:$O$22,2)))</f>
        <v xml:space="preserve">SZAKÁL </v>
      </c>
      <c r="F7" s="299"/>
      <c r="G7" s="293" t="str">
        <f>IF($B7="","",VLOOKUP($B7,'Lány 2 kcs. B ELO'!$A$7:$O$22,3))</f>
        <v>Júlia</v>
      </c>
      <c r="H7" s="299"/>
      <c r="I7" s="293" t="str">
        <f>IF($B7="","",VLOOKUP($B7,'Lány 2 kcs. B ELO'!$A$7:$O$22,4))</f>
        <v>Irinyi János Református Oktatási Központ - Óvoda, Általános Iskola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16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>LISZTMAJER</v>
      </c>
      <c r="F9" s="299"/>
      <c r="G9" s="293" t="str">
        <f>IF($B9="","",VLOOKUP($B9,'Lány 2 kcs. B ELO'!$A$7:$O$22,3))</f>
        <v>Liza</v>
      </c>
      <c r="H9" s="299"/>
      <c r="I9" s="293">
        <f>IF($B9="","",VLOOKUP($B9,'Lány 2 kcs. B ELO'!$A$7:$O$22,4))</f>
        <v>0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11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GYENGE </v>
      </c>
      <c r="F11" s="299"/>
      <c r="G11" s="293" t="str">
        <f>IF($B11="","",VLOOKUP($B11,'Lány 2 kcs. B ELO'!$A$7:$O$22,3))</f>
        <v>Amira</v>
      </c>
      <c r="H11" s="299"/>
      <c r="I11" s="293">
        <f>IF($B11="","",VLOOKUP($B11,'Lány 2 kcs. B ELO'!$A$7:$O$22,4))</f>
        <v>0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38"/>
      <c r="C18" s="438"/>
      <c r="D18" s="439" t="str">
        <f>E7</f>
        <v xml:space="preserve">SZAKÁL </v>
      </c>
      <c r="E18" s="439"/>
      <c r="F18" s="439" t="str">
        <f>E9</f>
        <v>LISZTMAJER</v>
      </c>
      <c r="G18" s="439"/>
      <c r="H18" s="439" t="str">
        <f>E11</f>
        <v xml:space="preserve">GYENGE </v>
      </c>
      <c r="I18" s="439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41" t="str">
        <f>E7</f>
        <v xml:space="preserve">SZAKÁL </v>
      </c>
      <c r="C19" s="441"/>
      <c r="D19" s="442"/>
      <c r="E19" s="442"/>
      <c r="F19" s="443"/>
      <c r="G19" s="443"/>
      <c r="H19" s="443"/>
      <c r="I19" s="443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41" t="str">
        <f>E9</f>
        <v>LISZTMAJER</v>
      </c>
      <c r="C20" s="441"/>
      <c r="D20" s="443"/>
      <c r="E20" s="443"/>
      <c r="F20" s="442"/>
      <c r="G20" s="442"/>
      <c r="H20" s="443"/>
      <c r="I20" s="443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41" t="str">
        <f>E11</f>
        <v xml:space="preserve">GYENGE </v>
      </c>
      <c r="C21" s="441"/>
      <c r="D21" s="443"/>
      <c r="E21" s="443"/>
      <c r="F21" s="443"/>
      <c r="G21" s="443"/>
      <c r="H21" s="442"/>
      <c r="I21" s="442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4"/>
      <c r="F34" s="44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5"/>
      <c r="F35" s="445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95" priority="2" stopIfTrue="1" operator="equal">
      <formula>"Bye"</formula>
    </cfRule>
  </conditionalFormatting>
  <conditionalFormatting sqref="R41">
    <cfRule type="expression" dxfId="9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7"/>
  <sheetViews>
    <sheetView workbookViewId="0">
      <selection activeCell="P22" sqref="P2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6" t="str">
        <f>Altalanos!$A$6</f>
        <v>Diákolimpia</v>
      </c>
      <c r="B1" s="436"/>
      <c r="C1" s="436"/>
      <c r="D1" s="436"/>
      <c r="E1" s="436"/>
      <c r="F1" s="436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14">
        <f>Altalanos!$E$8</f>
        <v>0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37" t="str">
        <f>Altalanos!$A$10</f>
        <v>2025.05.26-06-01.</v>
      </c>
      <c r="B4" s="437"/>
      <c r="C4" s="437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4.4" x14ac:dyDescent="0.3">
      <c r="A7" s="335" t="s">
        <v>64</v>
      </c>
      <c r="B7" s="348">
        <v>7</v>
      </c>
      <c r="C7" s="298" t="e">
        <f>IF($B7="","",VLOOKUP($B7,#REF!,5))</f>
        <v>#REF!</v>
      </c>
      <c r="D7" s="298" t="e">
        <f>IF($B7="","",VLOOKUP($B7,#REF!,15))</f>
        <v>#REF!</v>
      </c>
      <c r="E7" s="431" t="s">
        <v>302</v>
      </c>
      <c r="F7" s="297"/>
      <c r="G7" s="431" t="s">
        <v>303</v>
      </c>
      <c r="H7" s="297"/>
      <c r="I7" s="420" t="s">
        <v>152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50">
        <v>19</v>
      </c>
      <c r="C9" s="298" t="e">
        <f>IF($B9="","",VLOOKUP($B9,#REF!,5))</f>
        <v>#REF!</v>
      </c>
      <c r="D9" s="298" t="e">
        <f>IF($B9="","",VLOOKUP($B9,#REF!,15))</f>
        <v>#REF!</v>
      </c>
      <c r="E9" s="432" t="s">
        <v>304</v>
      </c>
      <c r="F9" s="299"/>
      <c r="G9" s="432" t="s">
        <v>182</v>
      </c>
      <c r="H9" s="299"/>
      <c r="I9" s="414" t="s">
        <v>183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4.4" x14ac:dyDescent="0.3">
      <c r="A11" s="304" t="s">
        <v>66</v>
      </c>
      <c r="B11" s="350">
        <v>2</v>
      </c>
      <c r="C11" s="298" t="e">
        <f>IF($B11="","",VLOOKUP($B11,#REF!,5))</f>
        <v>#REF!</v>
      </c>
      <c r="D11" s="298" t="e">
        <f>IF($B11="","",VLOOKUP($B11,#REF!,15))</f>
        <v>#REF!</v>
      </c>
      <c r="E11" s="432" t="s">
        <v>305</v>
      </c>
      <c r="F11" s="299"/>
      <c r="G11" s="432" t="s">
        <v>306</v>
      </c>
      <c r="H11" s="299"/>
      <c r="I11" s="418" t="s">
        <v>134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35" t="s">
        <v>71</v>
      </c>
      <c r="B13" s="348">
        <v>18</v>
      </c>
      <c r="C13" s="298" t="e">
        <f>IF($B13="","",VLOOKUP($B13,#REF!,5))</f>
        <v>#REF!</v>
      </c>
      <c r="D13" s="298" t="e">
        <f>IF($B13="","",VLOOKUP($B13,#REF!,15))</f>
        <v>#REF!</v>
      </c>
      <c r="E13" s="431" t="s">
        <v>307</v>
      </c>
      <c r="F13" s="297"/>
      <c r="G13" s="431" t="s">
        <v>179</v>
      </c>
      <c r="H13" s="297"/>
      <c r="I13" s="414" t="s">
        <v>180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21</v>
      </c>
      <c r="C15" s="298" t="e">
        <f>IF($B15="","",VLOOKUP($B15,#REF!,5))</f>
        <v>#REF!</v>
      </c>
      <c r="D15" s="298" t="e">
        <f>IF($B15="","",VLOOKUP($B15,#REF!,15))</f>
        <v>#REF!</v>
      </c>
      <c r="E15" s="432" t="s">
        <v>308</v>
      </c>
      <c r="F15" s="299"/>
      <c r="G15" s="432" t="s">
        <v>301</v>
      </c>
      <c r="H15" s="299"/>
      <c r="I15" s="293" t="e">
        <f>IF($B15="","",VLOOKUP($B15,#REF!,4))</f>
        <v>#REF!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ht="13.8" x14ac:dyDescent="0.25">
      <c r="A17" s="304" t="s">
        <v>73</v>
      </c>
      <c r="B17" s="350">
        <v>9</v>
      </c>
      <c r="C17" s="298" t="e">
        <f>IF($B17="","",VLOOKUP($B17,#REF!,5))</f>
        <v>#REF!</v>
      </c>
      <c r="D17" s="298" t="e">
        <f>IF($B17="","",VLOOKUP($B17,#REF!,15))</f>
        <v>#REF!</v>
      </c>
      <c r="E17" s="432" t="s">
        <v>309</v>
      </c>
      <c r="F17" s="299"/>
      <c r="G17" s="432" t="s">
        <v>157</v>
      </c>
      <c r="H17" s="299"/>
      <c r="I17" s="422" t="s">
        <v>158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38"/>
      <c r="C22" s="438"/>
      <c r="D22" s="439" t="str">
        <f>E7</f>
        <v>SZABADITS</v>
      </c>
      <c r="E22" s="439"/>
      <c r="F22" s="439" t="str">
        <f>E9</f>
        <v>LÁNG</v>
      </c>
      <c r="G22" s="439"/>
      <c r="H22" s="439" t="str">
        <f>E11</f>
        <v>KIS</v>
      </c>
      <c r="I22" s="439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41" t="str">
        <f>E7</f>
        <v>SZABADITS</v>
      </c>
      <c r="C23" s="441"/>
      <c r="D23" s="442"/>
      <c r="E23" s="442"/>
      <c r="F23" s="443"/>
      <c r="G23" s="443"/>
      <c r="H23" s="443"/>
      <c r="I23" s="44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41" t="str">
        <f>E9</f>
        <v>LÁNG</v>
      </c>
      <c r="C24" s="441"/>
      <c r="D24" s="443"/>
      <c r="E24" s="443"/>
      <c r="F24" s="442"/>
      <c r="G24" s="442"/>
      <c r="H24" s="443"/>
      <c r="I24" s="44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41" t="str">
        <f>E11</f>
        <v>KIS</v>
      </c>
      <c r="C25" s="441"/>
      <c r="D25" s="443"/>
      <c r="E25" s="443"/>
      <c r="F25" s="443"/>
      <c r="G25" s="443"/>
      <c r="H25" s="442"/>
      <c r="I25" s="442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38"/>
      <c r="C27" s="438"/>
      <c r="D27" s="439" t="str">
        <f>E13</f>
        <v>VIDA-WEISZ</v>
      </c>
      <c r="E27" s="439"/>
      <c r="F27" s="439" t="str">
        <f>E15</f>
        <v>BODÓ</v>
      </c>
      <c r="G27" s="439"/>
      <c r="H27" s="439" t="str">
        <f>E17</f>
        <v>KOBRA</v>
      </c>
      <c r="I27" s="439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41" t="str">
        <f>E13</f>
        <v>VIDA-WEISZ</v>
      </c>
      <c r="C28" s="441"/>
      <c r="D28" s="442"/>
      <c r="E28" s="442"/>
      <c r="F28" s="443"/>
      <c r="G28" s="443"/>
      <c r="H28" s="443"/>
      <c r="I28" s="44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41" t="str">
        <f>E15</f>
        <v>BODÓ</v>
      </c>
      <c r="C29" s="441"/>
      <c r="D29" s="443"/>
      <c r="E29" s="443"/>
      <c r="F29" s="442"/>
      <c r="G29" s="442"/>
      <c r="H29" s="443"/>
      <c r="I29" s="44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41" t="str">
        <f>E17</f>
        <v>KOBRA</v>
      </c>
      <c r="C30" s="441"/>
      <c r="D30" s="443"/>
      <c r="E30" s="443"/>
      <c r="F30" s="443"/>
      <c r="G30" s="443"/>
      <c r="H30" s="442"/>
      <c r="I30" s="442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4" t="e">
        <f>IF(D40&gt;$R$47,,UPPER(VLOOKUP(D40,#REF!,2)))</f>
        <v>#REF!</v>
      </c>
      <c r="F40" s="44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5" t="e">
        <f>IF(D41&gt;$R$47,,UPPER(VLOOKUP(D41,#REF!,2)))</f>
        <v>#REF!</v>
      </c>
      <c r="F41" s="445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93" priority="5" stopIfTrue="1" operator="equal">
      <formula>"Bye"</formula>
    </cfRule>
  </conditionalFormatting>
  <conditionalFormatting sqref="I11">
    <cfRule type="expression" dxfId="92" priority="1" stopIfTrue="1">
      <formula>$Q11&gt;=1</formula>
    </cfRule>
  </conditionalFormatting>
  <conditionalFormatting sqref="R47">
    <cfRule type="expression" dxfId="91" priority="6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24</vt:i4>
      </vt:variant>
    </vt:vector>
  </HeadingPairs>
  <TitlesOfParts>
    <vt:vector size="47" baseType="lpstr">
      <vt:lpstr>Altalanos</vt:lpstr>
      <vt:lpstr>Birók</vt:lpstr>
      <vt:lpstr>Lány 2 kcs. A ELO</vt:lpstr>
      <vt:lpstr>Lány 2 kcs. A 1 csop.</vt:lpstr>
      <vt:lpstr>Lány 2 kcs. A 2-3 csop.</vt:lpstr>
      <vt:lpstr>Lány 2 kcs. A döntő</vt:lpstr>
      <vt:lpstr>Lány 2 kcs. B ELO</vt:lpstr>
      <vt:lpstr>Lány 2 kcs. B 1. csop.</vt:lpstr>
      <vt:lpstr>Lány 2 kcs. 2-3 csop.</vt:lpstr>
      <vt:lpstr>Lány 2 kcs. B 4-5 csop.</vt:lpstr>
      <vt:lpstr>Lány 2 kcs. B 6-7 csop.</vt:lpstr>
      <vt:lpstr>Lány 2 kcs. B DÖNTŐ</vt:lpstr>
      <vt:lpstr>Fiú 2 kcs. A ELO</vt:lpstr>
      <vt:lpstr>Fiú 2 kcs. A 1 csop.</vt:lpstr>
      <vt:lpstr>Fiú 2 kcs. A 2-3 csop.</vt:lpstr>
      <vt:lpstr>Fiú 2 kcs. A DÖNTŐ</vt:lpstr>
      <vt:lpstr>Fiú 2 kcs. B. ELO</vt:lpstr>
      <vt:lpstr>Fiú 2 kcs. B 1 csop.</vt:lpstr>
      <vt:lpstr>Fiú 2 kcs. B 2 csop.</vt:lpstr>
      <vt:lpstr>Fiú 2 kcs. B. 3-4 csop.</vt:lpstr>
      <vt:lpstr>Fiú 2 kcs. B 5-6 csop.</vt:lpstr>
      <vt:lpstr>Fiú 2 kcs. B 7-8 csop.</vt:lpstr>
      <vt:lpstr>Fiú 2 kcs B DÖNTŐ</vt:lpstr>
      <vt:lpstr>'Fiú 2 kcs. A ELO'!Nyomtatási_cím</vt:lpstr>
      <vt:lpstr>'Fiú 2 kcs. B. ELO'!Nyomtatási_cím</vt:lpstr>
      <vt:lpstr>'Lány 2 kcs. A ELO'!Nyomtatási_cím</vt:lpstr>
      <vt:lpstr>'Lány 2 kcs. B ELO'!Nyomtatási_cím</vt:lpstr>
      <vt:lpstr>Birók!Nyomtatási_terület</vt:lpstr>
      <vt:lpstr>'Fiú 2 kcs B DÖNTŐ'!Nyomtatási_terület</vt:lpstr>
      <vt:lpstr>'Fiú 2 kcs. A 1 csop.'!Nyomtatási_terület</vt:lpstr>
      <vt:lpstr>'Fiú 2 kcs. A 2-3 csop.'!Nyomtatási_terület</vt:lpstr>
      <vt:lpstr>'Fiú 2 kcs. A DÖNTŐ'!Nyomtatási_terület</vt:lpstr>
      <vt:lpstr>'Fiú 2 kcs. A ELO'!Nyomtatási_terület</vt:lpstr>
      <vt:lpstr>'Fiú 2 kcs. B 1 csop.'!Nyomtatási_terület</vt:lpstr>
      <vt:lpstr>'Fiú 2 kcs. B 2 csop.'!Nyomtatási_terület</vt:lpstr>
      <vt:lpstr>'Fiú 2 kcs. B 5-6 csop.'!Nyomtatási_terület</vt:lpstr>
      <vt:lpstr>'Fiú 2 kcs. B 7-8 csop.'!Nyomtatási_terület</vt:lpstr>
      <vt:lpstr>'Fiú 2 kcs. B. ELO'!Nyomtatási_terület</vt:lpstr>
      <vt:lpstr>'Lány 2 kcs. A 1 csop.'!Nyomtatási_terület</vt:lpstr>
      <vt:lpstr>'Lány 2 kcs. A 2-3 csop.'!Nyomtatási_terület</vt:lpstr>
      <vt:lpstr>'Lány 2 kcs. A döntő'!Nyomtatási_terület</vt:lpstr>
      <vt:lpstr>'Lány 2 kcs. A ELO'!Nyomtatási_terület</vt:lpstr>
      <vt:lpstr>'Lány 2 kcs. B 1. csop.'!Nyomtatási_terület</vt:lpstr>
      <vt:lpstr>'Lány 2 kcs. B 4-5 csop.'!Nyomtatási_terület</vt:lpstr>
      <vt:lpstr>'Lány 2 kcs. B 6-7 csop.'!Nyomtatási_terület</vt:lpstr>
      <vt:lpstr>'Lány 2 kcs. B DÖNTŐ'!Nyomtatási_terület</vt:lpstr>
      <vt:lpstr>'Lány 2 kcs. B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Andi</cp:lastModifiedBy>
  <cp:lastPrinted>2025-05-16T09:16:58Z</cp:lastPrinted>
  <dcterms:created xsi:type="dcterms:W3CDTF">1998-01-18T23:10:02Z</dcterms:created>
  <dcterms:modified xsi:type="dcterms:W3CDTF">2025-05-16T09:18:38Z</dcterms:modified>
  <cp:category>Forms</cp:category>
</cp:coreProperties>
</file>