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drawings/drawing16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Vas vármegye - Lipták János\Savaria\"/>
    </mc:Choice>
  </mc:AlternateContent>
  <xr:revisionPtr revIDLastSave="0" documentId="13_ncr:1_{8AE59955-0C31-43E1-A071-55432DFB395E}" xr6:coauthVersionLast="47" xr6:coauthVersionMax="47" xr10:uidLastSave="{00000000-0000-0000-0000-000000000000}"/>
  <bookViews>
    <workbookView xWindow="-108" yWindow="-108" windowWidth="23256" windowHeight="13176" tabRatio="884" activeTab="3" xr2:uid="{00000000-000D-0000-FFFF-FFFF00000000}"/>
  </bookViews>
  <sheets>
    <sheet name="Altalanos" sheetId="1" r:id="rId1"/>
    <sheet name="Birók" sheetId="2" r:id="rId2"/>
    <sheet name="Nevezések" sheetId="94" r:id="rId3"/>
    <sheet name="Játékrend" sheetId="93" r:id="rId4"/>
    <sheet name="Fiú-5kcs-A" sheetId="87" r:id="rId5"/>
    <sheet name="Fiú-5kcs-B" sheetId="89" r:id="rId6"/>
    <sheet name="Fiú-6kcs-A" sheetId="91" r:id="rId7"/>
    <sheet name="Fiú-6kcs-B" sheetId="95" r:id="rId8"/>
    <sheet name="Fiú-7kcs-A" sheetId="97" r:id="rId9"/>
    <sheet name="Fiú-7kcs-B" sheetId="99" r:id="rId10"/>
    <sheet name="Fiú-8kcs-A" sheetId="101" r:id="rId11"/>
    <sheet name="Fiú-8kcs-B" sheetId="102" r:id="rId12"/>
    <sheet name="Lány-5kcs-A" sheetId="88" r:id="rId13"/>
    <sheet name="Lány-5kcs-B" sheetId="90" r:id="rId14"/>
    <sheet name="Lány-6kcs-A" sheetId="92" r:id="rId15"/>
    <sheet name="Lány-6kcs-B" sheetId="96" r:id="rId16"/>
    <sheet name="Lány-7kcs-A" sheetId="98" r:id="rId17"/>
    <sheet name="Lány-7kcs-B" sheetId="100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2" hidden="1">Nevezések!$A$1:$L$137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4">'Fiú-5kcs-A'!$A$1:$M$41</definedName>
    <definedName name="_xlnm.Print_Area" localSheetId="5">'Fiú-5kcs-B'!$A$1:$R$57</definedName>
    <definedName name="_xlnm.Print_Area" localSheetId="6">'Fiú-6kcs-A'!$A$1:$R$62</definedName>
    <definedName name="_xlnm.Print_Area" localSheetId="7">'Fiú-6kcs-B'!$A$1:$M$47</definedName>
    <definedName name="_xlnm.Print_Area" localSheetId="8">'Fiú-7kcs-A'!$A$1:$M$41</definedName>
    <definedName name="_xlnm.Print_Area" localSheetId="9">'Fiú-7kcs-B'!$A$1:$R$62</definedName>
    <definedName name="_xlnm.Print_Area" localSheetId="10">'Fiú-8kcs-A'!$A$1:$R$57</definedName>
    <definedName name="_xlnm.Print_Area" localSheetId="11">'Fiú-8kcs-B'!$A$1:$R$62</definedName>
    <definedName name="_xlnm.Print_Area" localSheetId="12">'Lány-5kcs-A'!$A$1:$R$62</definedName>
    <definedName name="_xlnm.Print_Area" localSheetId="13">'Lány-5kcs-B'!$A$1:$R$62</definedName>
    <definedName name="_xlnm.Print_Area" localSheetId="14">'Lány-6kcs-A'!$A$1:$R$62</definedName>
    <definedName name="_xlnm.Print_Area" localSheetId="15">'Lány-6kcs-B'!$A$1:$M$49</definedName>
    <definedName name="_xlnm.Print_Area" localSheetId="16">'Lány-7kcs-A'!$A$1:$R$62</definedName>
    <definedName name="_xlnm.Print_Area" localSheetId="17">'Lány-7kcs-B'!$A$1:$R$62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2" i="102" l="1"/>
  <c r="F56" i="102"/>
  <c r="F55" i="102"/>
  <c r="I21" i="102"/>
  <c r="D21" i="102"/>
  <c r="C21" i="102"/>
  <c r="B21" i="102"/>
  <c r="K20" i="102"/>
  <c r="I19" i="102"/>
  <c r="D19" i="102"/>
  <c r="C19" i="102"/>
  <c r="B19" i="102"/>
  <c r="I17" i="102"/>
  <c r="D17" i="102"/>
  <c r="C17" i="102"/>
  <c r="B17" i="102"/>
  <c r="U16" i="102"/>
  <c r="K16" i="102"/>
  <c r="U15" i="102"/>
  <c r="I15" i="102"/>
  <c r="D15" i="102"/>
  <c r="C15" i="102"/>
  <c r="B15" i="102"/>
  <c r="U14" i="102"/>
  <c r="U13" i="102"/>
  <c r="I13" i="102"/>
  <c r="D13" i="102"/>
  <c r="C13" i="102"/>
  <c r="B13" i="102"/>
  <c r="U12" i="102"/>
  <c r="K12" i="102"/>
  <c r="U11" i="102"/>
  <c r="I11" i="102"/>
  <c r="D11" i="102"/>
  <c r="C11" i="102"/>
  <c r="B11" i="102"/>
  <c r="U10" i="102"/>
  <c r="U9" i="102"/>
  <c r="I9" i="102"/>
  <c r="D9" i="102"/>
  <c r="C9" i="102"/>
  <c r="B9" i="102"/>
  <c r="U8" i="102"/>
  <c r="K8" i="102"/>
  <c r="U7" i="102"/>
  <c r="I7" i="102"/>
  <c r="D7" i="102"/>
  <c r="C7" i="102"/>
  <c r="B7" i="102"/>
  <c r="M6" i="102"/>
  <c r="Y5" i="102"/>
  <c r="AH1" i="102" s="1"/>
  <c r="R4" i="102"/>
  <c r="O62" i="102" s="1"/>
  <c r="G4" i="102"/>
  <c r="A4" i="102"/>
  <c r="Y3" i="102"/>
  <c r="K6" i="102" s="1"/>
  <c r="E2" i="102"/>
  <c r="AF1" i="102"/>
  <c r="AE1" i="102"/>
  <c r="AB1" i="102"/>
  <c r="A1" i="102"/>
  <c r="AC1" i="102" l="1"/>
  <c r="AG1" i="102"/>
  <c r="F6" i="102"/>
  <c r="O6" i="102"/>
  <c r="AD1" i="102"/>
  <c r="R57" i="101"/>
  <c r="F50" i="101" s="1"/>
  <c r="F53" i="101"/>
  <c r="F52" i="101"/>
  <c r="F51" i="101"/>
  <c r="I37" i="101"/>
  <c r="G37" i="101"/>
  <c r="F37" i="101"/>
  <c r="D37" i="101"/>
  <c r="C37" i="101"/>
  <c r="B37" i="101"/>
  <c r="K36" i="101"/>
  <c r="I35" i="101"/>
  <c r="G35" i="101"/>
  <c r="F35" i="101"/>
  <c r="D35" i="101"/>
  <c r="C35" i="101"/>
  <c r="B35" i="101"/>
  <c r="M34" i="101"/>
  <c r="I33" i="101"/>
  <c r="G33" i="101"/>
  <c r="F33" i="101"/>
  <c r="D33" i="101"/>
  <c r="C33" i="101"/>
  <c r="B33" i="101"/>
  <c r="K32" i="101"/>
  <c r="I31" i="101"/>
  <c r="G31" i="101"/>
  <c r="F31" i="101"/>
  <c r="D31" i="101"/>
  <c r="C31" i="101"/>
  <c r="B31" i="101"/>
  <c r="O30" i="101"/>
  <c r="I29" i="101"/>
  <c r="G29" i="101"/>
  <c r="F29" i="101"/>
  <c r="D29" i="101"/>
  <c r="C29" i="101"/>
  <c r="B29" i="101"/>
  <c r="K28" i="101"/>
  <c r="I27" i="101"/>
  <c r="G27" i="101"/>
  <c r="F27" i="101"/>
  <c r="D27" i="101"/>
  <c r="C27" i="101"/>
  <c r="B27" i="101"/>
  <c r="M26" i="101"/>
  <c r="I25" i="101"/>
  <c r="G25" i="101"/>
  <c r="F25" i="101"/>
  <c r="D25" i="101"/>
  <c r="C25" i="101"/>
  <c r="B25" i="101"/>
  <c r="K24" i="101"/>
  <c r="I23" i="101"/>
  <c r="G23" i="101"/>
  <c r="F23" i="101"/>
  <c r="D23" i="101"/>
  <c r="C23" i="101"/>
  <c r="B23" i="101"/>
  <c r="I21" i="101"/>
  <c r="G21" i="101"/>
  <c r="F21" i="101"/>
  <c r="D21" i="101"/>
  <c r="C21" i="101"/>
  <c r="B21" i="101"/>
  <c r="K20" i="101"/>
  <c r="I19" i="101"/>
  <c r="G19" i="101"/>
  <c r="F19" i="101"/>
  <c r="D19" i="101"/>
  <c r="C19" i="101"/>
  <c r="B19" i="101"/>
  <c r="M18" i="101"/>
  <c r="I17" i="101"/>
  <c r="G17" i="101"/>
  <c r="F17" i="101"/>
  <c r="D17" i="101"/>
  <c r="C17" i="101"/>
  <c r="B17" i="101"/>
  <c r="U16" i="101"/>
  <c r="K16" i="101"/>
  <c r="U15" i="101"/>
  <c r="I15" i="101"/>
  <c r="G15" i="101"/>
  <c r="F15" i="101"/>
  <c r="D15" i="101"/>
  <c r="C15" i="101"/>
  <c r="B15" i="101"/>
  <c r="U14" i="101"/>
  <c r="O14" i="101"/>
  <c r="U13" i="101"/>
  <c r="I13" i="101"/>
  <c r="G13" i="101"/>
  <c r="F13" i="101"/>
  <c r="D13" i="101"/>
  <c r="C13" i="101"/>
  <c r="B13" i="101"/>
  <c r="U12" i="101"/>
  <c r="K12" i="101"/>
  <c r="U11" i="101"/>
  <c r="I11" i="101"/>
  <c r="G11" i="101"/>
  <c r="F11" i="101"/>
  <c r="D11" i="101"/>
  <c r="C11" i="101"/>
  <c r="B11" i="101"/>
  <c r="U10" i="101"/>
  <c r="M10" i="101"/>
  <c r="U9" i="101"/>
  <c r="I9" i="101"/>
  <c r="G9" i="101"/>
  <c r="F9" i="101"/>
  <c r="D9" i="101"/>
  <c r="C9" i="101"/>
  <c r="B9" i="101"/>
  <c r="U8" i="101"/>
  <c r="K8" i="101"/>
  <c r="U7" i="101"/>
  <c r="I7" i="101"/>
  <c r="G7" i="101"/>
  <c r="F7" i="101"/>
  <c r="D7" i="101"/>
  <c r="C7" i="101"/>
  <c r="B7" i="101"/>
  <c r="Y5" i="101"/>
  <c r="AE1" i="101" s="1"/>
  <c r="R4" i="101"/>
  <c r="O57" i="101" s="1"/>
  <c r="G4" i="101"/>
  <c r="A4" i="101"/>
  <c r="Y3" i="101"/>
  <c r="M6" i="101" s="1"/>
  <c r="E2" i="101"/>
  <c r="AF1" i="101"/>
  <c r="AB1" i="101"/>
  <c r="A1" i="101"/>
  <c r="O6" i="101" l="1"/>
  <c r="AC1" i="101"/>
  <c r="AG1" i="101"/>
  <c r="F6" i="101"/>
  <c r="Q6" i="101"/>
  <c r="AD1" i="101"/>
  <c r="AH1" i="101"/>
  <c r="K6" i="101"/>
  <c r="R62" i="100"/>
  <c r="O62" i="100"/>
  <c r="F56" i="100"/>
  <c r="F55" i="100"/>
  <c r="I21" i="100"/>
  <c r="G21" i="100"/>
  <c r="D21" i="100"/>
  <c r="C21" i="100"/>
  <c r="B21" i="100"/>
  <c r="K20" i="100"/>
  <c r="I19" i="100"/>
  <c r="G19" i="100"/>
  <c r="D19" i="100"/>
  <c r="C19" i="100"/>
  <c r="B19" i="100"/>
  <c r="I17" i="100"/>
  <c r="G17" i="100"/>
  <c r="D17" i="100"/>
  <c r="C17" i="100"/>
  <c r="B17" i="100"/>
  <c r="U16" i="100"/>
  <c r="K16" i="100"/>
  <c r="U15" i="100"/>
  <c r="I15" i="100"/>
  <c r="G15" i="100"/>
  <c r="D15" i="100"/>
  <c r="C15" i="100"/>
  <c r="B15" i="100"/>
  <c r="U14" i="100"/>
  <c r="O14" i="100"/>
  <c r="U13" i="100"/>
  <c r="I13" i="100"/>
  <c r="G13" i="100"/>
  <c r="D13" i="100"/>
  <c r="C13" i="100"/>
  <c r="B13" i="100"/>
  <c r="U12" i="100"/>
  <c r="K12" i="100"/>
  <c r="U11" i="100"/>
  <c r="I11" i="100"/>
  <c r="G11" i="100"/>
  <c r="D11" i="100"/>
  <c r="C11" i="100"/>
  <c r="B11" i="100"/>
  <c r="U10" i="100"/>
  <c r="U9" i="100"/>
  <c r="I9" i="100"/>
  <c r="G9" i="100"/>
  <c r="D9" i="100"/>
  <c r="C9" i="100"/>
  <c r="B9" i="100"/>
  <c r="U8" i="100"/>
  <c r="K8" i="100"/>
  <c r="U7" i="100"/>
  <c r="I7" i="100"/>
  <c r="G7" i="100"/>
  <c r="D7" i="100"/>
  <c r="C7" i="100"/>
  <c r="B7" i="100"/>
  <c r="Y5" i="100"/>
  <c r="AE1" i="100" s="1"/>
  <c r="R4" i="100"/>
  <c r="G4" i="100"/>
  <c r="A4" i="100"/>
  <c r="Y3" i="100"/>
  <c r="M6" i="100" s="1"/>
  <c r="E2" i="100"/>
  <c r="A1" i="100"/>
  <c r="AB1" i="100" l="1"/>
  <c r="AF1" i="100"/>
  <c r="O6" i="100"/>
  <c r="AC1" i="100"/>
  <c r="AG1" i="100"/>
  <c r="F6" i="100"/>
  <c r="AD1" i="100"/>
  <c r="AH1" i="100"/>
  <c r="K6" i="100"/>
  <c r="R62" i="99"/>
  <c r="F56" i="99" s="1"/>
  <c r="I21" i="99"/>
  <c r="D21" i="99"/>
  <c r="C21" i="99"/>
  <c r="B21" i="99"/>
  <c r="K20" i="99"/>
  <c r="I19" i="99"/>
  <c r="D19" i="99"/>
  <c r="C19" i="99"/>
  <c r="B19" i="99"/>
  <c r="I17" i="99"/>
  <c r="D17" i="99"/>
  <c r="C17" i="99"/>
  <c r="B17" i="99"/>
  <c r="U16" i="99"/>
  <c r="K16" i="99"/>
  <c r="U15" i="99"/>
  <c r="I15" i="99"/>
  <c r="D15" i="99"/>
  <c r="C15" i="99"/>
  <c r="B15" i="99"/>
  <c r="U14" i="99"/>
  <c r="U13" i="99"/>
  <c r="I13" i="99"/>
  <c r="D13" i="99"/>
  <c r="C13" i="99"/>
  <c r="B13" i="99"/>
  <c r="U12" i="99"/>
  <c r="K12" i="99"/>
  <c r="U11" i="99"/>
  <c r="I11" i="99"/>
  <c r="D11" i="99"/>
  <c r="C11" i="99"/>
  <c r="B11" i="99"/>
  <c r="U10" i="99"/>
  <c r="U9" i="99"/>
  <c r="I9" i="99"/>
  <c r="D9" i="99"/>
  <c r="C9" i="99"/>
  <c r="B9" i="99"/>
  <c r="U8" i="99"/>
  <c r="K8" i="99"/>
  <c r="U7" i="99"/>
  <c r="D7" i="99"/>
  <c r="C7" i="99"/>
  <c r="B7" i="99"/>
  <c r="M6" i="99"/>
  <c r="K6" i="99"/>
  <c r="F6" i="99"/>
  <c r="Y5" i="99"/>
  <c r="R4" i="99"/>
  <c r="O62" i="99" s="1"/>
  <c r="G4" i="99"/>
  <c r="A4" i="99"/>
  <c r="Y3" i="99"/>
  <c r="O6" i="99" s="1"/>
  <c r="E2" i="99"/>
  <c r="AH1" i="99"/>
  <c r="AG1" i="99"/>
  <c r="AF1" i="99"/>
  <c r="AE1" i="99"/>
  <c r="AD1" i="99"/>
  <c r="AC1" i="99"/>
  <c r="AB1" i="99"/>
  <c r="A1" i="99"/>
  <c r="F55" i="99" l="1"/>
  <c r="R62" i="98"/>
  <c r="F56" i="98" s="1"/>
  <c r="F55" i="98"/>
  <c r="I21" i="98"/>
  <c r="D21" i="98"/>
  <c r="C21" i="98"/>
  <c r="B21" i="98"/>
  <c r="K20" i="98"/>
  <c r="I19" i="98"/>
  <c r="D19" i="98"/>
  <c r="C19" i="98"/>
  <c r="B19" i="98"/>
  <c r="I17" i="98"/>
  <c r="D17" i="98"/>
  <c r="C17" i="98"/>
  <c r="B17" i="98"/>
  <c r="U16" i="98"/>
  <c r="K16" i="98"/>
  <c r="U15" i="98"/>
  <c r="I15" i="98"/>
  <c r="D15" i="98"/>
  <c r="C15" i="98"/>
  <c r="B15" i="98"/>
  <c r="U14" i="98"/>
  <c r="U13" i="98"/>
  <c r="I13" i="98"/>
  <c r="D13" i="98"/>
  <c r="C13" i="98"/>
  <c r="B13" i="98"/>
  <c r="U12" i="98"/>
  <c r="K12" i="98"/>
  <c r="U11" i="98"/>
  <c r="I11" i="98"/>
  <c r="D11" i="98"/>
  <c r="C11" i="98"/>
  <c r="B11" i="98"/>
  <c r="U10" i="98"/>
  <c r="U9" i="98"/>
  <c r="I9" i="98"/>
  <c r="D9" i="98"/>
  <c r="C9" i="98"/>
  <c r="B9" i="98"/>
  <c r="U8" i="98"/>
  <c r="K8" i="98"/>
  <c r="U7" i="98"/>
  <c r="I7" i="98"/>
  <c r="D7" i="98"/>
  <c r="C7" i="98"/>
  <c r="B7" i="98"/>
  <c r="M6" i="98"/>
  <c r="K6" i="98"/>
  <c r="Y5" i="98"/>
  <c r="AG1" i="98" s="1"/>
  <c r="R4" i="98"/>
  <c r="O62" i="98" s="1"/>
  <c r="G4" i="98"/>
  <c r="A4" i="98"/>
  <c r="Y3" i="98"/>
  <c r="F6" i="98" s="1"/>
  <c r="E2" i="98"/>
  <c r="AH1" i="98"/>
  <c r="AF1" i="98"/>
  <c r="AE1" i="98"/>
  <c r="AD1" i="98"/>
  <c r="AB1" i="98"/>
  <c r="A1" i="98"/>
  <c r="O6" i="98" l="1"/>
  <c r="AC1" i="98"/>
  <c r="B22" i="97"/>
  <c r="B21" i="97"/>
  <c r="B20" i="97"/>
  <c r="B19" i="97"/>
  <c r="J18" i="97"/>
  <c r="H18" i="97"/>
  <c r="F18" i="97"/>
  <c r="D18" i="97"/>
  <c r="L13" i="97"/>
  <c r="G13" i="97"/>
  <c r="D13" i="97"/>
  <c r="C13" i="97"/>
  <c r="L11" i="97"/>
  <c r="G11" i="97"/>
  <c r="D11" i="97"/>
  <c r="C11" i="97"/>
  <c r="L9" i="97"/>
  <c r="D9" i="97"/>
  <c r="C9" i="97"/>
  <c r="L7" i="97"/>
  <c r="D7" i="97"/>
  <c r="C7" i="97"/>
  <c r="Y5" i="97"/>
  <c r="AH1" i="97" s="1"/>
  <c r="M4" i="97"/>
  <c r="K41" i="97" s="1"/>
  <c r="E4" i="97"/>
  <c r="A4" i="97"/>
  <c r="Y3" i="97"/>
  <c r="E2" i="97"/>
  <c r="AI1" i="97"/>
  <c r="AE1" i="97"/>
  <c r="A1" i="97"/>
  <c r="AB1" i="97" l="1"/>
  <c r="AF1" i="97"/>
  <c r="AJ1" i="97"/>
  <c r="AC1" i="97"/>
  <c r="AG1" i="97"/>
  <c r="AK1" i="97"/>
  <c r="AD1" i="97"/>
  <c r="R44" i="96"/>
  <c r="E43" i="96"/>
  <c r="E42" i="96"/>
  <c r="F38" i="96"/>
  <c r="C38" i="96"/>
  <c r="F36" i="96"/>
  <c r="C36" i="96"/>
  <c r="F34" i="96"/>
  <c r="C34" i="96"/>
  <c r="B31" i="96"/>
  <c r="B30" i="96"/>
  <c r="B29" i="96"/>
  <c r="B28" i="96"/>
  <c r="J27" i="96"/>
  <c r="H27" i="96"/>
  <c r="F27" i="96"/>
  <c r="D27" i="96"/>
  <c r="B25" i="96"/>
  <c r="B24" i="96"/>
  <c r="B23" i="96"/>
  <c r="H22" i="96"/>
  <c r="F22" i="96"/>
  <c r="D22" i="96"/>
  <c r="L19" i="96"/>
  <c r="G19" i="96"/>
  <c r="D19" i="96"/>
  <c r="C19" i="96"/>
  <c r="L17" i="96"/>
  <c r="G17" i="96"/>
  <c r="D17" i="96"/>
  <c r="C17" i="96"/>
  <c r="L15" i="96"/>
  <c r="G15" i="96"/>
  <c r="D15" i="96"/>
  <c r="C15" i="96"/>
  <c r="L13" i="96"/>
  <c r="G13" i="96"/>
  <c r="D13" i="96"/>
  <c r="C13" i="96"/>
  <c r="L11" i="96"/>
  <c r="G11" i="96"/>
  <c r="D11" i="96"/>
  <c r="C11" i="96"/>
  <c r="L9" i="96"/>
  <c r="G9" i="96"/>
  <c r="D9" i="96"/>
  <c r="C9" i="96"/>
  <c r="L7" i="96"/>
  <c r="G7" i="96"/>
  <c r="D7" i="96"/>
  <c r="C7" i="96"/>
  <c r="Y5" i="96"/>
  <c r="L4" i="96"/>
  <c r="K49" i="96" s="1"/>
  <c r="E4" i="96"/>
  <c r="A4" i="96"/>
  <c r="Y3" i="96"/>
  <c r="E2" i="96"/>
  <c r="AK1" i="96"/>
  <c r="AJ1" i="96"/>
  <c r="AI1" i="96"/>
  <c r="AH1" i="96"/>
  <c r="AG1" i="96"/>
  <c r="AF1" i="96"/>
  <c r="AE1" i="96"/>
  <c r="AD1" i="96"/>
  <c r="AC1" i="96"/>
  <c r="AB1" i="96"/>
  <c r="A1" i="96"/>
  <c r="Q47" i="95" l="1"/>
  <c r="E41" i="95" s="1"/>
  <c r="K47" i="95"/>
  <c r="F36" i="95"/>
  <c r="C36" i="95"/>
  <c r="F34" i="95"/>
  <c r="C34" i="95"/>
  <c r="F32" i="95"/>
  <c r="C32" i="95"/>
  <c r="B30" i="95"/>
  <c r="B29" i="95"/>
  <c r="B28" i="95"/>
  <c r="H27" i="95"/>
  <c r="F27" i="95"/>
  <c r="D27" i="95"/>
  <c r="B25" i="95"/>
  <c r="B24" i="95"/>
  <c r="B23" i="95"/>
  <c r="H22" i="95"/>
  <c r="F22" i="95"/>
  <c r="D22" i="95"/>
  <c r="L17" i="95"/>
  <c r="G17" i="95"/>
  <c r="D17" i="95"/>
  <c r="C17" i="95"/>
  <c r="L15" i="95"/>
  <c r="G15" i="95"/>
  <c r="D15" i="95"/>
  <c r="C15" i="95"/>
  <c r="L13" i="95"/>
  <c r="G13" i="95"/>
  <c r="D13" i="95"/>
  <c r="C13" i="95"/>
  <c r="L11" i="95"/>
  <c r="G11" i="95"/>
  <c r="D11" i="95"/>
  <c r="C11" i="95"/>
  <c r="L9" i="95"/>
  <c r="G9" i="95"/>
  <c r="D9" i="95"/>
  <c r="C9" i="95"/>
  <c r="L7" i="95"/>
  <c r="G7" i="95"/>
  <c r="D7" i="95"/>
  <c r="C7" i="95"/>
  <c r="X5" i="95"/>
  <c r="AG1" i="95" s="1"/>
  <c r="L4" i="95"/>
  <c r="E4" i="95"/>
  <c r="A4" i="95"/>
  <c r="X3" i="95"/>
  <c r="E2" i="95"/>
  <c r="AJ1" i="95"/>
  <c r="AI1" i="95"/>
  <c r="AH1" i="95"/>
  <c r="AF1" i="95"/>
  <c r="AE1" i="95"/>
  <c r="AD1" i="95"/>
  <c r="AB1" i="95"/>
  <c r="AA1" i="95"/>
  <c r="A1" i="95"/>
  <c r="AC1" i="95" l="1"/>
  <c r="E40" i="95"/>
  <c r="R62" i="92" l="1"/>
  <c r="F56" i="92" s="1"/>
  <c r="F55" i="92"/>
  <c r="I21" i="92"/>
  <c r="D21" i="92"/>
  <c r="C21" i="92"/>
  <c r="B21" i="92"/>
  <c r="K20" i="92"/>
  <c r="I19" i="92"/>
  <c r="D19" i="92"/>
  <c r="C19" i="92"/>
  <c r="B19" i="92"/>
  <c r="I17" i="92"/>
  <c r="D17" i="92"/>
  <c r="C17" i="92"/>
  <c r="B17" i="92"/>
  <c r="U16" i="92"/>
  <c r="K16" i="92"/>
  <c r="U15" i="92"/>
  <c r="I15" i="92"/>
  <c r="D15" i="92"/>
  <c r="C15" i="92"/>
  <c r="B15" i="92"/>
  <c r="U14" i="92"/>
  <c r="U13" i="92"/>
  <c r="I13" i="92"/>
  <c r="D13" i="92"/>
  <c r="C13" i="92"/>
  <c r="B13" i="92"/>
  <c r="U12" i="92"/>
  <c r="K12" i="92"/>
  <c r="U11" i="92"/>
  <c r="I11" i="92"/>
  <c r="D11" i="92"/>
  <c r="C11" i="92"/>
  <c r="B11" i="92"/>
  <c r="U10" i="92"/>
  <c r="U9" i="92"/>
  <c r="I9" i="92"/>
  <c r="D9" i="92"/>
  <c r="C9" i="92"/>
  <c r="B9" i="92"/>
  <c r="U8" i="92"/>
  <c r="K8" i="92"/>
  <c r="U7" i="92"/>
  <c r="I7" i="92"/>
  <c r="D7" i="92"/>
  <c r="C7" i="92"/>
  <c r="B7" i="92"/>
  <c r="M6" i="92"/>
  <c r="Y5" i="92"/>
  <c r="AG1" i="92" s="1"/>
  <c r="R4" i="92"/>
  <c r="O62" i="92" s="1"/>
  <c r="G4" i="92"/>
  <c r="A4" i="92"/>
  <c r="Y3" i="92"/>
  <c r="K6" i="92" s="1"/>
  <c r="E2" i="92"/>
  <c r="AH1" i="92"/>
  <c r="AF1" i="92"/>
  <c r="AE1" i="92"/>
  <c r="AD1" i="92"/>
  <c r="AB1" i="92"/>
  <c r="A1" i="92"/>
  <c r="O6" i="92" l="1"/>
  <c r="AC1" i="92"/>
  <c r="F6" i="92"/>
  <c r="R62" i="91"/>
  <c r="F56" i="91"/>
  <c r="F55" i="91"/>
  <c r="I21" i="91"/>
  <c r="G21" i="91"/>
  <c r="F21" i="91"/>
  <c r="D21" i="91"/>
  <c r="C21" i="91"/>
  <c r="B21" i="91"/>
  <c r="K20" i="91"/>
  <c r="I19" i="91"/>
  <c r="G19" i="91"/>
  <c r="F19" i="91"/>
  <c r="D19" i="91"/>
  <c r="C19" i="91"/>
  <c r="B19" i="91"/>
  <c r="I17" i="91"/>
  <c r="G17" i="91"/>
  <c r="F17" i="91"/>
  <c r="D17" i="91"/>
  <c r="C17" i="91"/>
  <c r="B17" i="91"/>
  <c r="U16" i="91"/>
  <c r="K16" i="91"/>
  <c r="U15" i="91"/>
  <c r="I15" i="91"/>
  <c r="G15" i="91"/>
  <c r="F15" i="91"/>
  <c r="D15" i="91"/>
  <c r="C15" i="91"/>
  <c r="B15" i="91"/>
  <c r="U14" i="91"/>
  <c r="O14" i="91"/>
  <c r="U13" i="91"/>
  <c r="I13" i="91"/>
  <c r="G13" i="91"/>
  <c r="F13" i="91"/>
  <c r="D13" i="91"/>
  <c r="C13" i="91"/>
  <c r="B13" i="91"/>
  <c r="U12" i="91"/>
  <c r="K12" i="91"/>
  <c r="U11" i="91"/>
  <c r="I11" i="91"/>
  <c r="G11" i="91"/>
  <c r="F11" i="91"/>
  <c r="D11" i="91"/>
  <c r="C11" i="91"/>
  <c r="B11" i="91"/>
  <c r="U10" i="91"/>
  <c r="U9" i="91"/>
  <c r="I9" i="91"/>
  <c r="G9" i="91"/>
  <c r="F9" i="91"/>
  <c r="D9" i="91"/>
  <c r="C9" i="91"/>
  <c r="B9" i="91"/>
  <c r="U8" i="91"/>
  <c r="K8" i="91"/>
  <c r="U7" i="91"/>
  <c r="I7" i="91"/>
  <c r="G7" i="91"/>
  <c r="F7" i="91"/>
  <c r="D7" i="91"/>
  <c r="C7" i="91"/>
  <c r="B7" i="91"/>
  <c r="Y5" i="91"/>
  <c r="AE1" i="91" s="1"/>
  <c r="R4" i="91"/>
  <c r="O62" i="91" s="1"/>
  <c r="G4" i="91"/>
  <c r="A4" i="91"/>
  <c r="Y3" i="91"/>
  <c r="M6" i="91" s="1"/>
  <c r="E2" i="91"/>
  <c r="AB1" i="91"/>
  <c r="A1" i="91"/>
  <c r="AC1" i="91" l="1"/>
  <c r="AG1" i="91"/>
  <c r="F6" i="91"/>
  <c r="AD1" i="91"/>
  <c r="AH1" i="91"/>
  <c r="K6" i="91"/>
  <c r="AF1" i="91"/>
  <c r="O6" i="91"/>
  <c r="R62" i="90"/>
  <c r="F56" i="90"/>
  <c r="F55" i="90"/>
  <c r="I21" i="90"/>
  <c r="G21" i="90"/>
  <c r="D21" i="90"/>
  <c r="C21" i="90"/>
  <c r="B21" i="90"/>
  <c r="K20" i="90"/>
  <c r="I19" i="90"/>
  <c r="G19" i="90"/>
  <c r="D19" i="90"/>
  <c r="C19" i="90"/>
  <c r="B19" i="90"/>
  <c r="I17" i="90"/>
  <c r="G17" i="90"/>
  <c r="D17" i="90"/>
  <c r="C17" i="90"/>
  <c r="B17" i="90"/>
  <c r="U16" i="90"/>
  <c r="K16" i="90"/>
  <c r="U15" i="90"/>
  <c r="I15" i="90"/>
  <c r="G15" i="90"/>
  <c r="D15" i="90"/>
  <c r="C15" i="90"/>
  <c r="B15" i="90"/>
  <c r="U14" i="90"/>
  <c r="O14" i="90"/>
  <c r="U13" i="90"/>
  <c r="I13" i="90"/>
  <c r="G13" i="90"/>
  <c r="D13" i="90"/>
  <c r="C13" i="90"/>
  <c r="B13" i="90"/>
  <c r="U12" i="90"/>
  <c r="K12" i="90"/>
  <c r="U11" i="90"/>
  <c r="I11" i="90"/>
  <c r="G11" i="90"/>
  <c r="D11" i="90"/>
  <c r="C11" i="90"/>
  <c r="B11" i="90"/>
  <c r="U10" i="90"/>
  <c r="U9" i="90"/>
  <c r="I9" i="90"/>
  <c r="G9" i="90"/>
  <c r="D9" i="90"/>
  <c r="C9" i="90"/>
  <c r="B9" i="90"/>
  <c r="U8" i="90"/>
  <c r="K8" i="90"/>
  <c r="U7" i="90"/>
  <c r="I7" i="90"/>
  <c r="G7" i="90"/>
  <c r="D7" i="90"/>
  <c r="C7" i="90"/>
  <c r="B7" i="90"/>
  <c r="Y5" i="90"/>
  <c r="AE1" i="90" s="1"/>
  <c r="R4" i="90"/>
  <c r="O62" i="90" s="1"/>
  <c r="G4" i="90"/>
  <c r="A4" i="90"/>
  <c r="Y3" i="90"/>
  <c r="M6" i="90" s="1"/>
  <c r="E2" i="90"/>
  <c r="A1" i="90"/>
  <c r="AB1" i="90" l="1"/>
  <c r="AF1" i="90"/>
  <c r="O6" i="90"/>
  <c r="AC1" i="90"/>
  <c r="AG1" i="90"/>
  <c r="AD1" i="90"/>
  <c r="AH1" i="90"/>
  <c r="K6" i="90"/>
  <c r="F6" i="90"/>
  <c r="R57" i="89"/>
  <c r="F50" i="89" s="1"/>
  <c r="F52" i="89"/>
  <c r="F51" i="89"/>
  <c r="I37" i="89"/>
  <c r="G37" i="89"/>
  <c r="D37" i="89"/>
  <c r="C37" i="89"/>
  <c r="B37" i="89"/>
  <c r="K36" i="89"/>
  <c r="I35" i="89"/>
  <c r="G35" i="89"/>
  <c r="F35" i="89"/>
  <c r="D35" i="89"/>
  <c r="C35" i="89"/>
  <c r="B35" i="89"/>
  <c r="M34" i="89"/>
  <c r="I33" i="89"/>
  <c r="G33" i="89"/>
  <c r="D33" i="89"/>
  <c r="C33" i="89"/>
  <c r="B33" i="89"/>
  <c r="K32" i="89"/>
  <c r="I31" i="89"/>
  <c r="G31" i="89"/>
  <c r="D31" i="89"/>
  <c r="C31" i="89"/>
  <c r="B31" i="89"/>
  <c r="O30" i="89"/>
  <c r="I29" i="89"/>
  <c r="G29" i="89"/>
  <c r="D29" i="89"/>
  <c r="C29" i="89"/>
  <c r="B29" i="89"/>
  <c r="K28" i="89"/>
  <c r="I27" i="89"/>
  <c r="G27" i="89"/>
  <c r="D27" i="89"/>
  <c r="C27" i="89"/>
  <c r="B27" i="89"/>
  <c r="M26" i="89"/>
  <c r="I25" i="89"/>
  <c r="G25" i="89"/>
  <c r="D25" i="89"/>
  <c r="C25" i="89"/>
  <c r="B25" i="89"/>
  <c r="K24" i="89"/>
  <c r="I23" i="89"/>
  <c r="G23" i="89"/>
  <c r="D23" i="89"/>
  <c r="C23" i="89"/>
  <c r="B23" i="89"/>
  <c r="Q22" i="89"/>
  <c r="I21" i="89"/>
  <c r="G21" i="89"/>
  <c r="D21" i="89"/>
  <c r="C21" i="89"/>
  <c r="B21" i="89"/>
  <c r="K20" i="89"/>
  <c r="I19" i="89"/>
  <c r="G19" i="89"/>
  <c r="D19" i="89"/>
  <c r="C19" i="89"/>
  <c r="B19" i="89"/>
  <c r="M18" i="89"/>
  <c r="I17" i="89"/>
  <c r="G17" i="89"/>
  <c r="D17" i="89"/>
  <c r="C17" i="89"/>
  <c r="B17" i="89"/>
  <c r="U16" i="89"/>
  <c r="K16" i="89"/>
  <c r="U15" i="89"/>
  <c r="I15" i="89"/>
  <c r="G15" i="89"/>
  <c r="D15" i="89"/>
  <c r="C15" i="89"/>
  <c r="B15" i="89"/>
  <c r="U14" i="89"/>
  <c r="O14" i="89"/>
  <c r="U13" i="89"/>
  <c r="I13" i="89"/>
  <c r="G13" i="89"/>
  <c r="D13" i="89"/>
  <c r="C13" i="89"/>
  <c r="B13" i="89"/>
  <c r="U12" i="89"/>
  <c r="K12" i="89"/>
  <c r="U11" i="89"/>
  <c r="I11" i="89"/>
  <c r="G11" i="89"/>
  <c r="D11" i="89"/>
  <c r="C11" i="89"/>
  <c r="B11" i="89"/>
  <c r="U10" i="89"/>
  <c r="M10" i="89"/>
  <c r="U9" i="89"/>
  <c r="I9" i="89"/>
  <c r="G9" i="89"/>
  <c r="F9" i="89"/>
  <c r="D9" i="89"/>
  <c r="C9" i="89"/>
  <c r="B9" i="89"/>
  <c r="U8" i="89"/>
  <c r="K8" i="89"/>
  <c r="U7" i="89"/>
  <c r="I7" i="89"/>
  <c r="G7" i="89"/>
  <c r="D7" i="89"/>
  <c r="C7" i="89"/>
  <c r="B7" i="89"/>
  <c r="Q6" i="89"/>
  <c r="M6" i="89"/>
  <c r="F6" i="89"/>
  <c r="Y5" i="89"/>
  <c r="AH1" i="89" s="1"/>
  <c r="R4" i="89"/>
  <c r="O57" i="89" s="1"/>
  <c r="G4" i="89"/>
  <c r="A4" i="89"/>
  <c r="Y3" i="89"/>
  <c r="K6" i="89" s="1"/>
  <c r="E2" i="89"/>
  <c r="AG1" i="89"/>
  <c r="AF1" i="89"/>
  <c r="AE1" i="89"/>
  <c r="AC1" i="89"/>
  <c r="AB1" i="89"/>
  <c r="A1" i="89"/>
  <c r="O6" i="89" l="1"/>
  <c r="F53" i="89"/>
  <c r="AD1" i="89"/>
  <c r="R62" i="88"/>
  <c r="F56" i="88" s="1"/>
  <c r="F55" i="88"/>
  <c r="I21" i="88"/>
  <c r="D21" i="88"/>
  <c r="C21" i="88"/>
  <c r="B21" i="88"/>
  <c r="K20" i="88"/>
  <c r="I19" i="88"/>
  <c r="D19" i="88"/>
  <c r="C19" i="88"/>
  <c r="B19" i="88"/>
  <c r="I17" i="88"/>
  <c r="D17" i="88"/>
  <c r="C17" i="88"/>
  <c r="B17" i="88"/>
  <c r="U16" i="88"/>
  <c r="K16" i="88"/>
  <c r="U15" i="88"/>
  <c r="I15" i="88"/>
  <c r="D15" i="88"/>
  <c r="C15" i="88"/>
  <c r="B15" i="88"/>
  <c r="U14" i="88"/>
  <c r="U13" i="88"/>
  <c r="I13" i="88"/>
  <c r="D13" i="88"/>
  <c r="C13" i="88"/>
  <c r="B13" i="88"/>
  <c r="U12" i="88"/>
  <c r="K12" i="88"/>
  <c r="U11" i="88"/>
  <c r="I11" i="88"/>
  <c r="D11" i="88"/>
  <c r="C11" i="88"/>
  <c r="B11" i="88"/>
  <c r="U10" i="88"/>
  <c r="U9" i="88"/>
  <c r="I9" i="88"/>
  <c r="D9" i="88"/>
  <c r="C9" i="88"/>
  <c r="B9" i="88"/>
  <c r="U8" i="88"/>
  <c r="K8" i="88"/>
  <c r="U7" i="88"/>
  <c r="I7" i="88"/>
  <c r="D7" i="88"/>
  <c r="C7" i="88"/>
  <c r="B7" i="88"/>
  <c r="M6" i="88"/>
  <c r="K6" i="88"/>
  <c r="Y5" i="88"/>
  <c r="AG1" i="88" s="1"/>
  <c r="R4" i="88"/>
  <c r="O62" i="88" s="1"/>
  <c r="G4" i="88"/>
  <c r="A4" i="88"/>
  <c r="Y3" i="88"/>
  <c r="F6" i="88" s="1"/>
  <c r="E2" i="88"/>
  <c r="AH1" i="88"/>
  <c r="AF1" i="88"/>
  <c r="AE1" i="88"/>
  <c r="AD1" i="88"/>
  <c r="AB1" i="88"/>
  <c r="A1" i="88"/>
  <c r="O6" i="88" l="1"/>
  <c r="AC1" i="88"/>
  <c r="P22" i="2"/>
  <c r="P23" i="2"/>
  <c r="P24" i="2"/>
  <c r="P25" i="2"/>
  <c r="P26" i="2"/>
  <c r="P27" i="2"/>
  <c r="P28" i="2"/>
  <c r="P29" i="2"/>
  <c r="L15" i="87"/>
  <c r="L13" i="87"/>
  <c r="L11" i="87"/>
  <c r="L9" i="87"/>
  <c r="L7" i="87"/>
  <c r="Y5" i="87"/>
  <c r="AF1" i="87" s="1"/>
  <c r="Y3" i="87"/>
  <c r="B23" i="87"/>
  <c r="G15" i="87"/>
  <c r="D15" i="87"/>
  <c r="C15" i="87"/>
  <c r="L4" i="87"/>
  <c r="K41" i="87" s="1"/>
  <c r="B22" i="87"/>
  <c r="B21" i="87"/>
  <c r="H18" i="87"/>
  <c r="D18" i="87"/>
  <c r="B19" i="87"/>
  <c r="G13" i="87"/>
  <c r="D13" i="87"/>
  <c r="C13" i="87"/>
  <c r="D11" i="87"/>
  <c r="C11" i="87"/>
  <c r="D9" i="87"/>
  <c r="C9" i="87"/>
  <c r="D7" i="87"/>
  <c r="C7" i="87"/>
  <c r="E4" i="87"/>
  <c r="A4" i="87"/>
  <c r="E2" i="87"/>
  <c r="A1" i="87"/>
  <c r="B5" i="2"/>
  <c r="A5" i="2"/>
  <c r="A1" i="2"/>
  <c r="B20" i="87"/>
  <c r="F18" i="87"/>
  <c r="L18" i="87"/>
  <c r="AH1" i="87"/>
  <c r="AD1" i="87"/>
  <c r="AK1" i="87"/>
  <c r="AG1" i="87"/>
  <c r="AC1" i="87"/>
  <c r="AI1" i="87"/>
  <c r="AE1" i="87"/>
  <c r="AB1" i="87" l="1"/>
  <c r="AJ1" i="87"/>
  <c r="J18" i="8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CC0F87D-D667-48D3-8B34-C3D1D6E7DF98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842077FF-5CEE-4772-AE94-652A7F21BFC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3A768F5A-3F10-4C9A-9635-CE6AEAE0714F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78635641-8042-4CDF-B049-1333172A6CF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60C7B6BD-7FC1-48AC-98E2-C3FC68BBB702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910A3057-AAE0-4DF0-86BB-C882FD2CCBB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F8A477D9-73AE-46D2-AB8A-95FBC3B6957D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EFBE211-5FA8-4655-B1B5-5117D4C1A0F3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F3CEECB4-AC52-495A-A326-C2745C07FFFC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7659D6D-27DE-4155-B9E0-6B2A6913397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<sst xmlns="http://schemas.openxmlformats.org/spreadsheetml/2006/main" count="3241" uniqueCount="484">
  <si>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</si>
  <si>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</si>
  <si>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</si>
  <si>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</si>
  <si>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</si>
  <si>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</si>
  <si>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</si>
  <si>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</si>
  <si>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</si>
  <si>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</si>
  <si>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</si>
  <si>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</si>
  <si>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</si>
  <si>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</si>
  <si>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</si>
  <si>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</si>
  <si>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</si>
  <si>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</si>
  <si>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</si>
  <si>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</si>
  <si>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</si>
  <si>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</si>
  <si>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</si>
  <si>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</si>
  <si>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</si>
  <si>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</si>
  <si>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</si>
  <si>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</si>
  <si>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</si>
  <si>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</si>
  <si>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</si>
  <si>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</si>
  <si>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</si>
  <si>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</si>
  <si>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</si>
  <si>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</si>
  <si>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</si>
  <si>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</si>
  <si>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</si>
  <si>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</si>
  <si>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</si>
  <si>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</si>
  <si>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</si>
  <si>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</si>
  <si>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</si>
  <si>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</si>
  <si>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</si>
  <si>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</si>
  <si>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</si>
  <si>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</si>
  <si>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</si>
  <si>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</si>
  <si>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1 FORDULÓ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</si>
  <si>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</si>
  <si>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</si>
  <si>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</si>
  <si>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</si>
  <si>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</si>
  <si>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</si>
  <si>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</si>
  <si>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</si>
  <si>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</si>
  <si>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</si>
  <si>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</si>
  <si>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</si>
  <si>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</si>
  <si>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</si>
  <si>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</si>
  <si>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</si>
  <si>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</si>
  <si>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</si>
  <si>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</si>
  <si>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</si>
  <si>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</si>
  <si>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</si>
  <si>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</si>
  <si>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</si>
  <si>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</si>
  <si>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</si>
  <si>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</si>
  <si>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</si>
  <si>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</si>
  <si>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</si>
  <si>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</si>
  <si>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</si>
  <si>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</si>
  <si>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OB</t>
  </si>
  <si>
    <t>Varga-Karádi Benjámin</t>
  </si>
  <si>
    <t>Kopácsi Martin</t>
  </si>
  <si>
    <t>Gróf Zétény</t>
  </si>
  <si>
    <t>Neuvirth Dávid</t>
  </si>
  <si>
    <t>Simon Ákos</t>
  </si>
  <si>
    <t>ELTE Bolyai János Gyakorló Általános Iskola és Gimnázium</t>
  </si>
  <si>
    <t>St.</t>
  </si>
  <si>
    <t>kód</t>
  </si>
  <si>
    <t>Kiem</t>
  </si>
  <si>
    <t>2. forduló</t>
  </si>
  <si>
    <t>Döntő</t>
  </si>
  <si>
    <t>Győztes</t>
  </si>
  <si>
    <t>Umpire</t>
  </si>
  <si>
    <t>Maitz Johanna Mária</t>
  </si>
  <si>
    <t>Boldog Brenner János Általános Iskola és Gimnázium</t>
  </si>
  <si>
    <t>Borbély Liza</t>
  </si>
  <si>
    <t>Szombathelyi Zrínyi Ilona Általános Iskola</t>
  </si>
  <si>
    <t>CU</t>
  </si>
  <si>
    <t>Elődöntők</t>
  </si>
  <si>
    <t>Szabó Péter Richárd</t>
  </si>
  <si>
    <t>Oladi Általános Iskola</t>
  </si>
  <si>
    <t>Barta Noel</t>
  </si>
  <si>
    <t>Reményik Sándor Evangélikus Óvoda, Általános Iskola és Alapfokú Művészeti Iskola</t>
  </si>
  <si>
    <t>Pergel Bence</t>
  </si>
  <si>
    <t>Varga Márk</t>
  </si>
  <si>
    <t>Rácz Attila</t>
  </si>
  <si>
    <t>Szombathelyi Reguly Antal Nyelvoktató Nemzetiségi Általános Iskola</t>
  </si>
  <si>
    <t>Aszódi Márk</t>
  </si>
  <si>
    <t>Gothard Jenő Általános Iskola</t>
  </si>
  <si>
    <t>Kiss Benedek</t>
  </si>
  <si>
    <t>Szabó Balázs Benedek</t>
  </si>
  <si>
    <t>Derdák Dimitri</t>
  </si>
  <si>
    <t>Hérincs Bence</t>
  </si>
  <si>
    <t>Szalai Mátyás</t>
  </si>
  <si>
    <t>Német Ádám</t>
  </si>
  <si>
    <t>Fogarasi- Horváth Márk</t>
  </si>
  <si>
    <t>Árpád-házi Szent Margit Óvoda, Általános Iskola, Gimnázium és Kollégium</t>
  </si>
  <si>
    <t>Szalay Kolos</t>
  </si>
  <si>
    <t>Szabó Jázmin</t>
  </si>
  <si>
    <t>Babos Anna</t>
  </si>
  <si>
    <t>Gerencsér Míra Mária</t>
  </si>
  <si>
    <t>Németh Zorka</t>
  </si>
  <si>
    <t>Kelemen Kata</t>
  </si>
  <si>
    <t>Kondics Flóra</t>
  </si>
  <si>
    <t>Varga Flóra</t>
  </si>
  <si>
    <t>Orosz Anna</t>
  </si>
  <si>
    <t>Jászberényi Ádám</t>
  </si>
  <si>
    <t>Nagy Lajos Gimn.</t>
  </si>
  <si>
    <t>Kerecsényi Gábor</t>
  </si>
  <si>
    <t>Premontrei</t>
  </si>
  <si>
    <t>Balázsfalvi Noémi</t>
  </si>
  <si>
    <t>Kanizsai Dorottya</t>
  </si>
  <si>
    <t>JÁTÉKREND</t>
  </si>
  <si>
    <t>Előre tervezett</t>
  </si>
  <si>
    <t>Pályára ment</t>
  </si>
  <si>
    <t>vsz</t>
  </si>
  <si>
    <t>pálya</t>
  </si>
  <si>
    <t>eredmény</t>
  </si>
  <si>
    <t>8:15</t>
  </si>
  <si>
    <t>VI B Leány</t>
  </si>
  <si>
    <t>Jászberényi T</t>
  </si>
  <si>
    <t>Puskás D</t>
  </si>
  <si>
    <t>Czóbel D</t>
  </si>
  <si>
    <t>Tavasz L</t>
  </si>
  <si>
    <t>Májerhoffer K</t>
  </si>
  <si>
    <t>Bariska F</t>
  </si>
  <si>
    <t>V A Fiú</t>
  </si>
  <si>
    <t>Neuvirt D</t>
  </si>
  <si>
    <t>Simon Á</t>
  </si>
  <si>
    <t>Gróf Z</t>
  </si>
  <si>
    <t>Kopácsi M</t>
  </si>
  <si>
    <t>VII A Fiú</t>
  </si>
  <si>
    <t>Török B</t>
  </si>
  <si>
    <t>Horváth F</t>
  </si>
  <si>
    <t xml:space="preserve">Kunecz K </t>
  </si>
  <si>
    <t>Németh K</t>
  </si>
  <si>
    <t>VI B Fiú</t>
  </si>
  <si>
    <t>Rőthy Gruber B</t>
  </si>
  <si>
    <t>Takács Z</t>
  </si>
  <si>
    <t>9</t>
  </si>
  <si>
    <t>Gellisz N</t>
  </si>
  <si>
    <t>Borbély L</t>
  </si>
  <si>
    <t>V B Fiú</t>
  </si>
  <si>
    <t>10</t>
  </si>
  <si>
    <t>Barta N</t>
  </si>
  <si>
    <t>Pergel B</t>
  </si>
  <si>
    <t>9:00</t>
  </si>
  <si>
    <t>Varga M</t>
  </si>
  <si>
    <t>Rácz A</t>
  </si>
  <si>
    <t>Aszódi M</t>
  </si>
  <si>
    <t>Kiss B</t>
  </si>
  <si>
    <t>Szabó B</t>
  </si>
  <si>
    <t>Derdák D</t>
  </si>
  <si>
    <t>Hérincs B</t>
  </si>
  <si>
    <t>Szalai M</t>
  </si>
  <si>
    <t>Németh Á</t>
  </si>
  <si>
    <t>Fogarasi Horváth M</t>
  </si>
  <si>
    <t>VII B Leány</t>
  </si>
  <si>
    <t xml:space="preserve">Tárnoki G </t>
  </si>
  <si>
    <t>Landvég M</t>
  </si>
  <si>
    <t>Andrási D</t>
  </si>
  <si>
    <t>Sodics A</t>
  </si>
  <si>
    <t xml:space="preserve">Básthy J </t>
  </si>
  <si>
    <t>Tompa S</t>
  </si>
  <si>
    <t>Tavasz P</t>
  </si>
  <si>
    <t>Bozsó D</t>
  </si>
  <si>
    <t>V. A Leány</t>
  </si>
  <si>
    <t>Maitz J</t>
  </si>
  <si>
    <t>9:45</t>
  </si>
  <si>
    <t>Gérnyi Z</t>
  </si>
  <si>
    <t>Varga-Karádi B</t>
  </si>
  <si>
    <t>Rácz I</t>
  </si>
  <si>
    <t>Döbrönte M</t>
  </si>
  <si>
    <t>Szabó P</t>
  </si>
  <si>
    <t xml:space="preserve">Barta N/ Pergel B </t>
  </si>
  <si>
    <t>10:30</t>
  </si>
  <si>
    <t>Varga M/ Rácz A</t>
  </si>
  <si>
    <t>Aszódi M /Kiss B</t>
  </si>
  <si>
    <t>Szabó B/ Derdák D</t>
  </si>
  <si>
    <t>Hérincs B/ Szalai M</t>
  </si>
  <si>
    <t>Német Á / Fogarai Horváth M</t>
  </si>
  <si>
    <t>Szalai K</t>
  </si>
  <si>
    <t>Tárnoki G / Randvég M</t>
  </si>
  <si>
    <t>Andrási D/ Sodics A</t>
  </si>
  <si>
    <t>Básthy J / Tompa S</t>
  </si>
  <si>
    <t>Tavasz P / Bozsó D</t>
  </si>
  <si>
    <t>VII B Fiú</t>
  </si>
  <si>
    <t>Takács T</t>
  </si>
  <si>
    <t>Péczeli B</t>
  </si>
  <si>
    <t>Kovács I</t>
  </si>
  <si>
    <t>Fogarasi- Horváth M</t>
  </si>
  <si>
    <t>Práznek Patrik</t>
  </si>
  <si>
    <t>Czóbel G</t>
  </si>
  <si>
    <t>Karáth G</t>
  </si>
  <si>
    <t>VI A Fiú</t>
  </si>
  <si>
    <t>Jászberényi Á</t>
  </si>
  <si>
    <t>Kerecsényi G</t>
  </si>
  <si>
    <t>11:15</t>
  </si>
  <si>
    <t>Varga - Karádi B</t>
  </si>
  <si>
    <t>V B Leány</t>
  </si>
  <si>
    <t>Szabó J</t>
  </si>
  <si>
    <t>Babos A</t>
  </si>
  <si>
    <t>12:00</t>
  </si>
  <si>
    <t>Gerencsér M</t>
  </si>
  <si>
    <t>Németh Z</t>
  </si>
  <si>
    <t>Kelemen K</t>
  </si>
  <si>
    <t>Kondics F</t>
  </si>
  <si>
    <t>Varga R</t>
  </si>
  <si>
    <t>Orosz A</t>
  </si>
  <si>
    <t>Varga M / Takács T</t>
  </si>
  <si>
    <t>Péczeli B / Kovács I</t>
  </si>
  <si>
    <t>Fogarasi- Horváth M/Práznek P</t>
  </si>
  <si>
    <t>Czóbel G/ Karáth G</t>
  </si>
  <si>
    <t>V. B Fiú</t>
  </si>
  <si>
    <t>Elődöntő</t>
  </si>
  <si>
    <t>Vigasz</t>
  </si>
  <si>
    <t>12:45</t>
  </si>
  <si>
    <t>két csoport győztes döntő</t>
  </si>
  <si>
    <t>csoport másodikok helyosztó</t>
  </si>
  <si>
    <t>Vigasz elődöntő</t>
  </si>
  <si>
    <t>13:00</t>
  </si>
  <si>
    <t>13:30</t>
  </si>
  <si>
    <t>V B fiú</t>
  </si>
  <si>
    <t>döntő</t>
  </si>
  <si>
    <t>14:00</t>
  </si>
  <si>
    <t>14:10</t>
  </si>
  <si>
    <t>Vigasz döntő</t>
  </si>
  <si>
    <t>14:20</t>
  </si>
  <si>
    <t>VII B fiú</t>
  </si>
  <si>
    <t>15:00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</si>
  <si>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</si>
  <si>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</si>
  <si>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</si>
  <si>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</si>
  <si>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</si>
  <si>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</si>
  <si>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</si>
  <si>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</si>
  <si>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</si>
  <si>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</si>
  <si>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</si>
  <si>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Vas Megyei Diáksport Egyesület</t>
  </si>
  <si>
    <t>Szombathely Megyei Jogú Város DSB</t>
  </si>
  <si>
    <t>Tenisz Diákolimpia</t>
  </si>
  <si>
    <t>Tenisz</t>
  </si>
  <si>
    <t>I.kcs Tenisz U8 piros labdával, P+S szabály</t>
  </si>
  <si>
    <t>F</t>
  </si>
  <si>
    <t xml:space="preserve">Táplánszentkereszti Apáczai Csere János Általános Iskola </t>
  </si>
  <si>
    <t>Táplánszentkereszt</t>
  </si>
  <si>
    <t>Kollarits Salamon</t>
  </si>
  <si>
    <t>Pichler Gergely</t>
  </si>
  <si>
    <t>Szombathely</t>
  </si>
  <si>
    <t>Horváth Milán</t>
  </si>
  <si>
    <t>Korn Tamás</t>
  </si>
  <si>
    <t>Komláti-Takács Máté</t>
  </si>
  <si>
    <t>Vida Áron</t>
  </si>
  <si>
    <t>Sárvár Város DSB</t>
  </si>
  <si>
    <t>L</t>
  </si>
  <si>
    <t>Szent László Katolikus Általános Iskola</t>
  </si>
  <si>
    <t>Sárvár</t>
  </si>
  <si>
    <t>Sulyok Bíborka Mária</t>
  </si>
  <si>
    <t>Erős János Géza</t>
  </si>
  <si>
    <t>Szentpéterfai Horvát-Magyar Kétnyelvű Nemzetiségi Általános Iskola</t>
  </si>
  <si>
    <t>Szentpéterfa</t>
  </si>
  <si>
    <t>Puskorics Bori</t>
  </si>
  <si>
    <t>Skrapits Péter</t>
  </si>
  <si>
    <t>Péteri Angelina</t>
  </si>
  <si>
    <t>Szoó Benedek Máté</t>
  </si>
  <si>
    <t>Kuneczné Klajzovics  Judit</t>
  </si>
  <si>
    <t>II.kcs Tenisz U9 narancs labdával, P+S szabály</t>
  </si>
  <si>
    <t>Paragvári Utcai Általános Iskola</t>
  </si>
  <si>
    <t>Katona Zétény Zoltán</t>
  </si>
  <si>
    <t>Tompa Dávid</t>
  </si>
  <si>
    <t>Horváth Levente László</t>
  </si>
  <si>
    <t>Kőszeg Város DSB</t>
  </si>
  <si>
    <t>Kőszegi Béri Balog Ádám Általános Iskola</t>
  </si>
  <si>
    <t>Kőszeg</t>
  </si>
  <si>
    <t>Vető - Freyler Márk</t>
  </si>
  <si>
    <t>Gérnyiné Prácser Kinga</t>
  </si>
  <si>
    <t>Kovács Áron</t>
  </si>
  <si>
    <t>Nyitra Utcai Általános Iskola</t>
  </si>
  <si>
    <t>Perlaky Félix</t>
  </si>
  <si>
    <t>Czakó Csenge Friderika</t>
  </si>
  <si>
    <t>Balassa-Berek Levente</t>
  </si>
  <si>
    <t>Hóborné Edöcsény Nóra</t>
  </si>
  <si>
    <t>Lipták János, Sebesi Patrik</t>
  </si>
  <si>
    <t>Aszódi Ádám</t>
  </si>
  <si>
    <t>Sár Miron Patrik</t>
  </si>
  <si>
    <t>Imre Márk</t>
  </si>
  <si>
    <t>Marton Mihály</t>
  </si>
  <si>
    <t>Pócza Tímea</t>
  </si>
  <si>
    <t>Pócza Benedek</t>
  </si>
  <si>
    <t>Haller Luca Franciska</t>
  </si>
  <si>
    <t>Láng Laura</t>
  </si>
  <si>
    <t>Pék Dorka</t>
  </si>
  <si>
    <t>Péteri Emilia</t>
  </si>
  <si>
    <t>Vida-Weisz Boróka</t>
  </si>
  <si>
    <t>Szombathely Városkörnyéki DSB</t>
  </si>
  <si>
    <t>Felsőcsatári Nyelvoktató Nemzetiségi Általános Iskola</t>
  </si>
  <si>
    <t>Felsőcsatár</t>
  </si>
  <si>
    <t>Horváth Méda</t>
  </si>
  <si>
    <t>Kratochvill Attila</t>
  </si>
  <si>
    <t>Szombathelyi Derkovits Gyula Általános Iskola</t>
  </si>
  <si>
    <t>Kerecsényi Patrik</t>
  </si>
  <si>
    <t>Török Richárd</t>
  </si>
  <si>
    <t>Deutsch-Szalai Mira</t>
  </si>
  <si>
    <t xml:space="preserve">III.kcs Tenisz U11 zöld labdával, P+S szabály </t>
  </si>
  <si>
    <t>Molnár Benjámin</t>
  </si>
  <si>
    <t>Takács Rafael Richárd</t>
  </si>
  <si>
    <t>Molnár Mátyás</t>
  </si>
  <si>
    <t>Hajdu Patrick</t>
  </si>
  <si>
    <t>Varga Edina</t>
  </si>
  <si>
    <t>Modori Benjamin</t>
  </si>
  <si>
    <t>Saródi Márton</t>
  </si>
  <si>
    <t>Kulhay Ottó</t>
  </si>
  <si>
    <t>Deéry Mirkó</t>
  </si>
  <si>
    <t>Szombathelyi Neumann János Általános Iskola</t>
  </si>
  <si>
    <t>Kovács Benett Dominik</t>
  </si>
  <si>
    <t>Boros Ildikó</t>
  </si>
  <si>
    <t>Sághy Lászlóné</t>
  </si>
  <si>
    <t>Szilágyi Patrik</t>
  </si>
  <si>
    <t>Őri Anna</t>
  </si>
  <si>
    <t>Tihanyi Tibor</t>
  </si>
  <si>
    <t>Gyabronka Sára</t>
  </si>
  <si>
    <t>Lipták János, Sebesi Patri</t>
  </si>
  <si>
    <t>Bárdics Szofi</t>
  </si>
  <si>
    <t>Szabó Szófia</t>
  </si>
  <si>
    <t>Gubián Tamás</t>
  </si>
  <si>
    <t>Katona Jázmin</t>
  </si>
  <si>
    <t>Krencsey Kamilla Mia</t>
  </si>
  <si>
    <t>Dr. Tolnay Sándor Általános Iskola</t>
  </si>
  <si>
    <t>Gyöngyösfalu</t>
  </si>
  <si>
    <t>Falvai Fanni Zsófia</t>
  </si>
  <si>
    <t>Pusztai Tamás</t>
  </si>
  <si>
    <t>Budai Bella Dóra</t>
  </si>
  <si>
    <t>Péteri Ramóna</t>
  </si>
  <si>
    <t>Németh Flóra</t>
  </si>
  <si>
    <t>Horváth Regina</t>
  </si>
  <si>
    <t>Tóth Johanna</t>
  </si>
  <si>
    <t>Varga-Karádi Emili</t>
  </si>
  <si>
    <t>Hökkön Fruzsina Edit</t>
  </si>
  <si>
    <t>Lipták János</t>
  </si>
  <si>
    <t>Bariska Lilla</t>
  </si>
  <si>
    <t>Borbély Lotti</t>
  </si>
  <si>
    <t>Vadász Gábor</t>
  </si>
  <si>
    <t>IV.kcs Tenisz U12</t>
  </si>
  <si>
    <t>Molnár Joakim</t>
  </si>
  <si>
    <t>Parádi Ádám</t>
  </si>
  <si>
    <t>Széll Márk Péter</t>
  </si>
  <si>
    <t>Rumankó Gergő</t>
  </si>
  <si>
    <t>Szeiler Bálint</t>
  </si>
  <si>
    <t>Perintparti Szó-Fogadó Szombathelyi Waldorf Általános Iskola, Gimnázium és Alapfokú Művészeti Iskola</t>
  </si>
  <si>
    <t>Végh András Szilárd</t>
  </si>
  <si>
    <t>Hancsicsák Zsolt</t>
  </si>
  <si>
    <t>Szabó Maja</t>
  </si>
  <si>
    <t>Kiricsi Róza</t>
  </si>
  <si>
    <t>Pádár Léna</t>
  </si>
  <si>
    <t>Aszódi Anna</t>
  </si>
  <si>
    <t>Balázsfalvi Bianka</t>
  </si>
  <si>
    <t>Márkus Antónia</t>
  </si>
  <si>
    <t>Dr. Nagy László Egységes Gyógypedagógiai Módszertani Intézmény, Óvoda, Általános Iskola, Beszédjavító Általános Iskola, Szakiskola, Készségfejlesztő Iskola, Kollégium</t>
  </si>
  <si>
    <t>Patikás Angelika Nelli</t>
  </si>
  <si>
    <t>Sándor Tamás</t>
  </si>
  <si>
    <t>Marton Zsombor</t>
  </si>
  <si>
    <t>Bierer Zsuzsanna</t>
  </si>
  <si>
    <t>Tóth Zsolt</t>
  </si>
  <si>
    <t>Szabó Emma</t>
  </si>
  <si>
    <t>V.kcs Tenisz U14</t>
  </si>
  <si>
    <t>Cooper-Hollósy Ilona</t>
  </si>
  <si>
    <t>Szalay Kolos Csaba</t>
  </si>
  <si>
    <t>Hérincs Bence Botond</t>
  </si>
  <si>
    <t>Fogarasi-Horváth Márk</t>
  </si>
  <si>
    <t>BABOS ANNA</t>
  </si>
  <si>
    <t>Varga-Karádi Benjamin</t>
  </si>
  <si>
    <t>Simon Ákos János</t>
  </si>
  <si>
    <t>Karagityné geiger szilvia</t>
  </si>
  <si>
    <t>Gerlachfalvy Csilla Annamária</t>
  </si>
  <si>
    <t>VI.kcs Tenisz U16</t>
  </si>
  <si>
    <t>Rácz István</t>
  </si>
  <si>
    <t>Rőthy-Gruber Benedek</t>
  </si>
  <si>
    <t>Takács Zalán</t>
  </si>
  <si>
    <t>Döbrönte Márton</t>
  </si>
  <si>
    <t>Gellisz Noel</t>
  </si>
  <si>
    <t>Kunecz Árpád</t>
  </si>
  <si>
    <t>Borbély Lóránt</t>
  </si>
  <si>
    <t>Szombathelyi Nagy Lajos Gimnázium</t>
  </si>
  <si>
    <t>Gérnyi Zoé</t>
  </si>
  <si>
    <t>Domonkos Róbert Tibor</t>
  </si>
  <si>
    <t>Májerhoffer Kamilla</t>
  </si>
  <si>
    <t>Puskás Dóra</t>
  </si>
  <si>
    <t>Jászberényi Tamara</t>
  </si>
  <si>
    <t>Czóbel Diána</t>
  </si>
  <si>
    <t>Bariska Fruzsina</t>
  </si>
  <si>
    <t>Vas Vármegyei SZC Kereskedelmi és Vendéglátó Technikum és Kollégium</t>
  </si>
  <si>
    <t>Tavasz Lola</t>
  </si>
  <si>
    <t>Hegyiné Szávai Beatrix</t>
  </si>
  <si>
    <t>Premontrei Rendi Szent Norbert Gimnázium</t>
  </si>
  <si>
    <t>Horváth Csaba</t>
  </si>
  <si>
    <t>Szombathelyi Kanizsai Dorottya Gimnázium</t>
  </si>
  <si>
    <t>Alpár- Kovássy Kata</t>
  </si>
  <si>
    <t>VII.kcs Tenisz U18</t>
  </si>
  <si>
    <t>Jurisich Miklós Gimnázium és Kollégium</t>
  </si>
  <si>
    <t>Varga Marcell</t>
  </si>
  <si>
    <t>Gordos Kristóf Márk</t>
  </si>
  <si>
    <t>Karáth Gergely</t>
  </si>
  <si>
    <t>Tóth Botond</t>
  </si>
  <si>
    <t>Sebesi Patrik</t>
  </si>
  <si>
    <t>Takács Teó Boldizsár</t>
  </si>
  <si>
    <t>Czóbel Gergely</t>
  </si>
  <si>
    <t>Péczeli Boldizsár</t>
  </si>
  <si>
    <t>Kovács István Ádám</t>
  </si>
  <si>
    <t>Nagyné Fülöp Rita Katalin</t>
  </si>
  <si>
    <t>Fogarasi-Horváth Mór</t>
  </si>
  <si>
    <t>Vas Vármegyei SZC Savaria Technikum és Kollégium</t>
  </si>
  <si>
    <t>Mátés István</t>
  </si>
  <si>
    <t>Tárnoki Gréta</t>
  </si>
  <si>
    <t>Andrási Dóra Anna</t>
  </si>
  <si>
    <t>Horváth Loretta</t>
  </si>
  <si>
    <t>Randwég Mila Cornelia</t>
  </si>
  <si>
    <t>Oroszvári-Tóth Fruzsina</t>
  </si>
  <si>
    <t>Sodics Aliz</t>
  </si>
  <si>
    <t>Tompa Sára</t>
  </si>
  <si>
    <t>Bozsó Dorina Hanna</t>
  </si>
  <si>
    <t>Gazsi Izabella</t>
  </si>
  <si>
    <t>Básthy Júlia</t>
  </si>
  <si>
    <t>Tavasz Panna</t>
  </si>
  <si>
    <t>Pászthoryné Koltai Andrea</t>
  </si>
  <si>
    <t>Kunecz Kornél Ádám</t>
  </si>
  <si>
    <t>Horváth Flórián</t>
  </si>
  <si>
    <t>Vas Vármegyei SZC Gépipari és Informatikai Technikum</t>
  </si>
  <si>
    <t>Németh Kristóf</t>
  </si>
  <si>
    <t>Szoó Dániel</t>
  </si>
  <si>
    <t>Török Bence</t>
  </si>
  <si>
    <t>Fülöp Meredisz Barbara</t>
  </si>
  <si>
    <t>VIII.kcs Tenisz U18+</t>
  </si>
  <si>
    <t>Markovits Móric</t>
  </si>
  <si>
    <t>E - F</t>
  </si>
  <si>
    <t>F - D</t>
  </si>
  <si>
    <t>Borbély Loránt</t>
  </si>
  <si>
    <t>vs.</t>
  </si>
  <si>
    <t>3. hely</t>
  </si>
  <si>
    <t>5. hely</t>
  </si>
  <si>
    <t>A -D</t>
  </si>
  <si>
    <t>Nagy Lajos Gimn</t>
  </si>
  <si>
    <t>ELTE Bolyai</t>
  </si>
  <si>
    <t>D - G</t>
  </si>
  <si>
    <t>G - E</t>
  </si>
  <si>
    <t>F - E</t>
  </si>
  <si>
    <t>Vas Vármegyei SC Kereskedelmi</t>
  </si>
  <si>
    <t>G</t>
  </si>
  <si>
    <t>Árpádházi Szent Margit</t>
  </si>
  <si>
    <t>Randwég Mila</t>
  </si>
  <si>
    <t>Jurisich Miklós</t>
  </si>
  <si>
    <t>Jurisich Miklós Gimn</t>
  </si>
  <si>
    <t>Vas Vármegyei SzC Kerekedelmi</t>
  </si>
  <si>
    <t>Fogarasi Horváth Mór</t>
  </si>
  <si>
    <t>Savaria TC - 2025. április 30. - szerda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</si>
</sst>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color rgb="FF000000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rgb="FFFF0000"/>
      <name val="Arial"/>
      <family val="2"/>
    </font>
    <font>
      <sz val="8.5"/>
      <color indexed="42"/>
      <name val="Arial"/>
      <family val="2"/>
      <charset val="238"/>
    </font>
    <font>
      <b/>
      <sz val="8.5"/>
      <color indexed="8"/>
      <name val="Arial"/>
      <family val="2"/>
    </font>
    <font>
      <b/>
      <sz val="8.5"/>
      <name val="Arial"/>
      <family val="2"/>
      <charset val="238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7"/>
      <name val="Arial"/>
      <family val="2"/>
      <charset val="238"/>
    </font>
    <font>
      <b/>
      <sz val="8"/>
      <color indexed="8"/>
      <name val="Tahoma"/>
      <family val="2"/>
      <charset val="238"/>
    </font>
    <font>
      <sz val="9"/>
      <color indexed="8"/>
      <name val="Arial"/>
      <family val="2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indexed="41"/>
      <name val="Arial"/>
      <family val="2"/>
      <charset val="238"/>
    </font>
    <font>
      <sz val="11"/>
      <color rgb="FF000000"/>
      <name val="Aptos Narrow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</cellStyleXfs>
  <cellXfs count="56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3" fillId="2" borderId="0" xfId="0" applyNumberFormat="1" applyFont="1" applyFill="1" applyAlignment="1">
      <alignment vertical="top"/>
    </xf>
    <xf numFmtId="49" fontId="16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16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10" fillId="6" borderId="0" xfId="0" applyNumberFormat="1" applyFont="1" applyFill="1" applyAlignment="1">
      <alignment vertical="center"/>
    </xf>
    <xf numFmtId="49" fontId="10" fillId="6" borderId="17" xfId="0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49" fontId="20" fillId="0" borderId="0" xfId="0" applyNumberFormat="1" applyFont="1"/>
    <xf numFmtId="49" fontId="6" fillId="0" borderId="0" xfId="0" applyNumberFormat="1" applyFont="1" applyAlignment="1">
      <alignment vertical="top"/>
    </xf>
    <xf numFmtId="49" fontId="31" fillId="0" borderId="0" xfId="0" applyNumberFormat="1" applyFont="1" applyAlignment="1">
      <alignment vertical="top"/>
    </xf>
    <xf numFmtId="49" fontId="17" fillId="0" borderId="0" xfId="0" applyNumberFormat="1" applyFont="1"/>
    <xf numFmtId="49" fontId="33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0" fontId="30" fillId="2" borderId="20" xfId="0" applyFont="1" applyFill="1" applyBorder="1" applyAlignment="1">
      <alignment vertical="center"/>
    </xf>
    <xf numFmtId="0" fontId="30" fillId="2" borderId="21" xfId="0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horizontal="right" vertical="center"/>
    </xf>
    <xf numFmtId="0" fontId="10" fillId="6" borderId="7" xfId="0" applyFont="1" applyFill="1" applyBorder="1" applyAlignment="1">
      <alignment vertical="center"/>
    </xf>
    <xf numFmtId="49" fontId="10" fillId="6" borderId="18" xfId="0" applyNumberFormat="1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40" fillId="2" borderId="25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30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10" fillId="2" borderId="26" xfId="0" applyNumberFormat="1" applyFont="1" applyFill="1" applyBorder="1" applyAlignment="1">
      <alignment vertical="center"/>
    </xf>
    <xf numFmtId="0" fontId="4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27" fillId="2" borderId="27" xfId="0" applyFont="1" applyFill="1" applyBorder="1" applyAlignment="1">
      <alignment horizontal="left" vertical="center"/>
    </xf>
    <xf numFmtId="0" fontId="28" fillId="2" borderId="28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49" fontId="10" fillId="2" borderId="24" xfId="0" applyNumberFormat="1" applyFont="1" applyFill="1" applyBorder="1" applyAlignment="1">
      <alignment vertical="center"/>
    </xf>
    <xf numFmtId="49" fontId="10" fillId="2" borderId="25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44" fillId="2" borderId="4" xfId="0" applyNumberFormat="1" applyFont="1" applyFill="1" applyBorder="1" applyAlignment="1">
      <alignment vertical="center"/>
    </xf>
    <xf numFmtId="49" fontId="44" fillId="2" borderId="0" xfId="0" applyNumberFormat="1" applyFont="1" applyFill="1" applyAlignment="1">
      <alignment vertical="center"/>
    </xf>
    <xf numFmtId="49" fontId="45" fillId="2" borderId="0" xfId="0" applyNumberFormat="1" applyFont="1" applyFill="1" applyAlignment="1">
      <alignment horizontal="left" vertical="center"/>
    </xf>
    <xf numFmtId="0" fontId="30" fillId="2" borderId="17" xfId="0" applyFont="1" applyFill="1" applyBorder="1" applyAlignment="1">
      <alignment vertical="center"/>
    </xf>
    <xf numFmtId="0" fontId="30" fillId="2" borderId="22" xfId="0" applyFont="1" applyFill="1" applyBorder="1" applyAlignment="1">
      <alignment vertical="center"/>
    </xf>
    <xf numFmtId="0" fontId="44" fillId="2" borderId="0" xfId="0" applyFont="1" applyFill="1"/>
    <xf numFmtId="0" fontId="15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" fillId="6" borderId="0" xfId="0" applyNumberFormat="1" applyFont="1" applyFill="1" applyAlignment="1">
      <alignment vertical="top"/>
    </xf>
    <xf numFmtId="49" fontId="43" fillId="6" borderId="0" xfId="0" applyNumberFormat="1" applyFont="1" applyFill="1" applyAlignment="1">
      <alignment vertical="top"/>
    </xf>
    <xf numFmtId="49" fontId="31" fillId="6" borderId="0" xfId="0" applyNumberFormat="1" applyFont="1" applyFill="1" applyAlignment="1">
      <alignment vertical="top"/>
    </xf>
    <xf numFmtId="49" fontId="35" fillId="6" borderId="0" xfId="0" applyNumberFormat="1" applyFont="1" applyFill="1" applyAlignment="1">
      <alignment horizontal="center"/>
    </xf>
    <xf numFmtId="49" fontId="35" fillId="6" borderId="0" xfId="0" applyNumberFormat="1" applyFont="1" applyFill="1" applyAlignment="1">
      <alignment horizontal="left"/>
    </xf>
    <xf numFmtId="49" fontId="16" fillId="6" borderId="0" xfId="0" applyNumberFormat="1" applyFont="1" applyFill="1" applyAlignment="1">
      <alignment horizontal="left"/>
    </xf>
    <xf numFmtId="0" fontId="46" fillId="6" borderId="0" xfId="0" applyFont="1" applyFill="1"/>
    <xf numFmtId="49" fontId="15" fillId="6" borderId="0" xfId="0" applyNumberFormat="1" applyFont="1" applyFill="1" applyAlignment="1">
      <alignment horizontal="left"/>
    </xf>
    <xf numFmtId="49" fontId="32" fillId="6" borderId="0" xfId="0" applyNumberFormat="1" applyFont="1" applyFill="1"/>
    <xf numFmtId="49" fontId="20" fillId="6" borderId="0" xfId="0" applyNumberFormat="1" applyFont="1" applyFill="1"/>
    <xf numFmtId="49" fontId="17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37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6" fillId="6" borderId="0" xfId="0" applyNumberFormat="1" applyFont="1" applyFill="1" applyAlignment="1">
      <alignment vertical="center"/>
    </xf>
    <xf numFmtId="49" fontId="30" fillId="6" borderId="24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vertical="center"/>
    </xf>
    <xf numFmtId="49" fontId="10" fillId="6" borderId="24" xfId="0" applyNumberFormat="1" applyFont="1" applyFill="1" applyBorder="1" applyAlignment="1">
      <alignment vertical="center"/>
    </xf>
    <xf numFmtId="49" fontId="10" fillId="6" borderId="25" xfId="0" applyNumberFormat="1" applyFont="1" applyFill="1" applyBorder="1" applyAlignment="1">
      <alignment vertical="center"/>
    </xf>
    <xf numFmtId="49" fontId="10" fillId="6" borderId="19" xfId="0" applyNumberFormat="1" applyFont="1" applyFill="1" applyBorder="1" applyAlignment="1">
      <alignment horizontal="right" vertical="center"/>
    </xf>
    <xf numFmtId="49" fontId="10" fillId="6" borderId="26" xfId="0" applyNumberFormat="1" applyFont="1" applyFill="1" applyBorder="1" applyAlignment="1">
      <alignment vertical="center"/>
    </xf>
    <xf numFmtId="49" fontId="10" fillId="6" borderId="18" xfId="0" applyNumberFormat="1" applyFont="1" applyFill="1" applyBorder="1" applyAlignment="1">
      <alignment horizontal="right" vertical="center"/>
    </xf>
    <xf numFmtId="0" fontId="2" fillId="2" borderId="0" xfId="0" applyFont="1" applyFill="1"/>
    <xf numFmtId="49" fontId="24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right" vertical="center"/>
    </xf>
    <xf numFmtId="49" fontId="37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49" fontId="30" fillId="0" borderId="0" xfId="0" applyNumberFormat="1" applyFont="1" applyAlignment="1">
      <alignment horizontal="left" vertical="center"/>
    </xf>
    <xf numFmtId="49" fontId="40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49" fontId="39" fillId="2" borderId="25" xfId="0" applyNumberFormat="1" applyFont="1" applyFill="1" applyBorder="1" applyAlignment="1">
      <alignment horizontal="center" vertical="center"/>
    </xf>
    <xf numFmtId="49" fontId="39" fillId="2" borderId="25" xfId="0" applyNumberFormat="1" applyFont="1" applyFill="1" applyBorder="1" applyAlignment="1">
      <alignment vertical="center"/>
    </xf>
    <xf numFmtId="49" fontId="10" fillId="6" borderId="24" xfId="0" applyNumberFormat="1" applyFont="1" applyFill="1" applyBorder="1" applyAlignment="1">
      <alignment horizontal="center" vertical="center"/>
    </xf>
    <xf numFmtId="49" fontId="36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10" fillId="6" borderId="23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10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4" fillId="6" borderId="24" xfId="0" applyNumberFormat="1" applyFont="1" applyFill="1" applyBorder="1" applyAlignment="1">
      <alignment horizontal="center" vertical="center"/>
    </xf>
    <xf numFmtId="49" fontId="10" fillId="6" borderId="19" xfId="0" applyNumberFormat="1" applyFont="1" applyFill="1" applyBorder="1" applyAlignment="1">
      <alignment vertical="center"/>
    </xf>
    <xf numFmtId="49" fontId="34" fillId="6" borderId="23" xfId="0" applyNumberFormat="1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vertical="center"/>
    </xf>
    <xf numFmtId="49" fontId="10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2" fillId="6" borderId="0" xfId="0" applyFont="1" applyFill="1"/>
    <xf numFmtId="0" fontId="49" fillId="2" borderId="0" xfId="0" applyFont="1" applyFill="1" applyAlignment="1">
      <alignment horizontal="center" shrinkToFit="1"/>
    </xf>
    <xf numFmtId="0" fontId="50" fillId="7" borderId="0" xfId="0" applyFont="1" applyFill="1"/>
    <xf numFmtId="0" fontId="50" fillId="6" borderId="0" xfId="0" applyFont="1" applyFill="1"/>
    <xf numFmtId="0" fontId="48" fillId="6" borderId="7" xfId="0" applyFont="1" applyFill="1" applyBorder="1" applyAlignment="1">
      <alignment horizontal="center" vertical="center" shrinkToFit="1"/>
    </xf>
    <xf numFmtId="0" fontId="48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8" borderId="0" xfId="0" applyNumberFormat="1" applyFont="1" applyFill="1"/>
    <xf numFmtId="0" fontId="0" fillId="8" borderId="0" xfId="0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9" borderId="29" xfId="0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0" fillId="10" borderId="0" xfId="0" applyFill="1"/>
    <xf numFmtId="0" fontId="51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52" fillId="6" borderId="7" xfId="0" applyFont="1" applyFill="1" applyBorder="1" applyAlignment="1">
      <alignment horizontal="center"/>
    </xf>
    <xf numFmtId="0" fontId="52" fillId="6" borderId="0" xfId="0" applyFont="1" applyFill="1" applyAlignment="1">
      <alignment horizontal="center"/>
    </xf>
    <xf numFmtId="49" fontId="47" fillId="2" borderId="0" xfId="0" applyNumberFormat="1" applyFont="1" applyFill="1" applyAlignment="1">
      <alignment horizontal="center" vertical="center"/>
    </xf>
    <xf numFmtId="49" fontId="13" fillId="4" borderId="22" xfId="0" applyNumberFormat="1" applyFont="1" applyFill="1" applyBorder="1" applyAlignment="1">
      <alignment vertical="center"/>
    </xf>
    <xf numFmtId="49" fontId="12" fillId="4" borderId="20" xfId="0" applyNumberFormat="1" applyFont="1" applyFill="1" applyBorder="1" applyAlignment="1">
      <alignment vertical="center"/>
    </xf>
    <xf numFmtId="49" fontId="13" fillId="6" borderId="0" xfId="3" applyNumberFormat="1" applyFont="1" applyFill="1" applyAlignment="1">
      <alignment vertical="top"/>
    </xf>
    <xf numFmtId="49" fontId="6" fillId="6" borderId="0" xfId="3" applyNumberFormat="1" applyFont="1" applyFill="1" applyAlignment="1">
      <alignment vertical="top"/>
    </xf>
    <xf numFmtId="49" fontId="43" fillId="6" borderId="0" xfId="3" applyNumberFormat="1" applyFont="1" applyFill="1" applyAlignment="1">
      <alignment vertical="top"/>
    </xf>
    <xf numFmtId="49" fontId="31" fillId="6" borderId="0" xfId="3" applyNumberFormat="1" applyFont="1" applyFill="1" applyAlignment="1">
      <alignment vertical="top"/>
    </xf>
    <xf numFmtId="49" fontId="35" fillId="6" borderId="0" xfId="3" applyNumberFormat="1" applyFont="1" applyFill="1" applyAlignment="1">
      <alignment horizontal="center"/>
    </xf>
    <xf numFmtId="49" fontId="35" fillId="6" borderId="0" xfId="3" applyNumberFormat="1" applyFont="1" applyFill="1" applyAlignment="1">
      <alignment horizontal="left"/>
    </xf>
    <xf numFmtId="49" fontId="16" fillId="6" borderId="0" xfId="3" applyNumberFormat="1" applyFont="1" applyFill="1" applyAlignment="1">
      <alignment horizontal="left"/>
    </xf>
    <xf numFmtId="0" fontId="6" fillId="0" borderId="0" xfId="3" applyFont="1" applyAlignment="1">
      <alignment vertical="top"/>
    </xf>
    <xf numFmtId="0" fontId="6" fillId="6" borderId="0" xfId="3" applyFont="1" applyFill="1" applyAlignment="1">
      <alignment vertical="top"/>
    </xf>
    <xf numFmtId="0" fontId="51" fillId="11" borderId="0" xfId="3" applyFont="1" applyFill="1" applyAlignment="1">
      <alignment horizontal="center" vertical="center"/>
    </xf>
    <xf numFmtId="0" fontId="2" fillId="6" borderId="0" xfId="3" applyFont="1" applyFill="1" applyAlignment="1">
      <alignment horizontal="center" vertical="center"/>
    </xf>
    <xf numFmtId="0" fontId="32" fillId="6" borderId="0" xfId="3" applyFont="1" applyFill="1"/>
    <xf numFmtId="49" fontId="15" fillId="6" borderId="0" xfId="3" applyNumberFormat="1" applyFont="1" applyFill="1" applyAlignment="1">
      <alignment horizontal="left"/>
    </xf>
    <xf numFmtId="49" fontId="32" fillId="6" borderId="0" xfId="3" applyNumberFormat="1" applyFont="1" applyFill="1"/>
    <xf numFmtId="49" fontId="2" fillId="6" borderId="0" xfId="3" applyNumberFormat="1" applyFont="1" applyFill="1"/>
    <xf numFmtId="49" fontId="17" fillId="6" borderId="0" xfId="3" applyNumberFormat="1" applyFont="1" applyFill="1"/>
    <xf numFmtId="0" fontId="2" fillId="0" borderId="0" xfId="3" applyFont="1"/>
    <xf numFmtId="0" fontId="2" fillId="6" borderId="0" xfId="3" applyFont="1" applyFill="1"/>
    <xf numFmtId="49" fontId="3" fillId="3" borderId="0" xfId="3" applyNumberFormat="1" applyFill="1"/>
    <xf numFmtId="0" fontId="3" fillId="3" borderId="0" xfId="3" applyFill="1"/>
    <xf numFmtId="0" fontId="3" fillId="3" borderId="0" xfId="3" applyFill="1" applyAlignment="1">
      <alignment horizontal="center"/>
    </xf>
    <xf numFmtId="49" fontId="24" fillId="2" borderId="0" xfId="3" applyNumberFormat="1" applyFont="1" applyFill="1" applyAlignment="1">
      <alignment vertical="center"/>
    </xf>
    <xf numFmtId="49" fontId="33" fillId="2" borderId="0" xfId="3" applyNumberFormat="1" applyFont="1" applyFill="1" applyAlignment="1">
      <alignment vertical="center"/>
    </xf>
    <xf numFmtId="49" fontId="25" fillId="2" borderId="0" xfId="3" applyNumberFormat="1" applyFont="1" applyFill="1" applyAlignment="1">
      <alignment horizontal="right" vertical="center"/>
    </xf>
    <xf numFmtId="0" fontId="11" fillId="0" borderId="0" xfId="3" applyFont="1" applyAlignment="1">
      <alignment vertical="center"/>
    </xf>
    <xf numFmtId="0" fontId="11" fillId="6" borderId="0" xfId="3" applyFont="1" applyFill="1" applyAlignment="1">
      <alignment vertical="center"/>
    </xf>
    <xf numFmtId="14" fontId="18" fillId="6" borderId="6" xfId="3" applyNumberFormat="1" applyFont="1" applyFill="1" applyBorder="1" applyAlignment="1">
      <alignment horizontal="left" vertical="center"/>
    </xf>
    <xf numFmtId="49" fontId="18" fillId="6" borderId="6" xfId="3" applyNumberFormat="1" applyFont="1" applyFill="1" applyBorder="1" applyAlignment="1">
      <alignment vertical="center"/>
    </xf>
    <xf numFmtId="49" fontId="3" fillId="6" borderId="6" xfId="3" applyNumberFormat="1" applyFill="1" applyBorder="1" applyAlignment="1">
      <alignment vertical="center"/>
    </xf>
    <xf numFmtId="49" fontId="37" fillId="6" borderId="6" xfId="3" applyNumberFormat="1" applyFont="1" applyFill="1" applyBorder="1" applyAlignment="1">
      <alignment vertical="center"/>
    </xf>
    <xf numFmtId="0" fontId="19" fillId="6" borderId="6" xfId="3" applyFont="1" applyFill="1" applyBorder="1" applyAlignment="1">
      <alignment horizontal="left" vertical="center"/>
    </xf>
    <xf numFmtId="49" fontId="19" fillId="6" borderId="6" xfId="3" applyNumberFormat="1" applyFont="1" applyFill="1" applyBorder="1" applyAlignment="1">
      <alignment horizontal="right" vertical="center"/>
    </xf>
    <xf numFmtId="0" fontId="18" fillId="0" borderId="0" xfId="3" applyFont="1" applyAlignment="1">
      <alignment vertical="center"/>
    </xf>
    <xf numFmtId="0" fontId="18" fillId="6" borderId="0" xfId="3" applyFont="1" applyFill="1" applyAlignment="1">
      <alignment vertical="center"/>
    </xf>
    <xf numFmtId="49" fontId="10" fillId="2" borderId="0" xfId="3" applyNumberFormat="1" applyFont="1" applyFill="1" applyAlignment="1">
      <alignment horizontal="right" vertical="center"/>
    </xf>
    <xf numFmtId="49" fontId="10" fillId="2" borderId="0" xfId="3" applyNumberFormat="1" applyFont="1" applyFill="1" applyAlignment="1">
      <alignment horizontal="center" vertical="center"/>
    </xf>
    <xf numFmtId="49" fontId="10" fillId="2" borderId="0" xfId="3" applyNumberFormat="1" applyFont="1" applyFill="1" applyAlignment="1">
      <alignment horizontal="center" vertical="center" shrinkToFit="1"/>
    </xf>
    <xf numFmtId="49" fontId="10" fillId="2" borderId="0" xfId="3" applyNumberFormat="1" applyFont="1" applyFill="1" applyAlignment="1">
      <alignment horizontal="left" vertical="center"/>
    </xf>
    <xf numFmtId="49" fontId="36" fillId="2" borderId="0" xfId="3" applyNumberFormat="1" applyFont="1" applyFill="1" applyAlignment="1">
      <alignment horizontal="center" vertical="center"/>
    </xf>
    <xf numFmtId="49" fontId="36" fillId="2" borderId="0" xfId="3" applyNumberFormat="1" applyFont="1" applyFill="1" applyAlignment="1">
      <alignment vertical="center"/>
    </xf>
    <xf numFmtId="0" fontId="57" fillId="2" borderId="0" xfId="3" applyFont="1" applyFill="1" applyAlignment="1">
      <alignment horizontal="right" vertical="center"/>
    </xf>
    <xf numFmtId="0" fontId="57" fillId="2" borderId="0" xfId="3" applyFont="1" applyFill="1" applyAlignment="1">
      <alignment horizontal="center" vertical="center"/>
    </xf>
    <xf numFmtId="0" fontId="57" fillId="2" borderId="0" xfId="3" applyFont="1" applyFill="1" applyAlignment="1">
      <alignment horizontal="left" vertical="center"/>
    </xf>
    <xf numFmtId="0" fontId="57" fillId="2" borderId="0" xfId="3" applyFont="1" applyFill="1" applyAlignment="1">
      <alignment vertical="center"/>
    </xf>
    <xf numFmtId="0" fontId="58" fillId="2" borderId="0" xfId="3" applyFont="1" applyFill="1" applyAlignment="1">
      <alignment horizontal="center" vertical="center"/>
    </xf>
    <xf numFmtId="0" fontId="58" fillId="2" borderId="0" xfId="3" applyFont="1" applyFill="1" applyAlignment="1">
      <alignment vertical="center"/>
    </xf>
    <xf numFmtId="0" fontId="57" fillId="0" borderId="0" xfId="3" applyFont="1" applyAlignment="1">
      <alignment vertical="center"/>
    </xf>
    <xf numFmtId="0" fontId="57" fillId="6" borderId="0" xfId="3" applyFont="1" applyFill="1" applyAlignment="1">
      <alignment vertical="center"/>
    </xf>
    <xf numFmtId="0" fontId="57" fillId="3" borderId="0" xfId="3" applyFont="1" applyFill="1"/>
    <xf numFmtId="0" fontId="57" fillId="3" borderId="0" xfId="3" applyFont="1" applyFill="1" applyAlignment="1">
      <alignment horizontal="center"/>
    </xf>
    <xf numFmtId="0" fontId="57" fillId="6" borderId="0" xfId="3" applyFont="1" applyFill="1"/>
    <xf numFmtId="49" fontId="59" fillId="2" borderId="0" xfId="3" applyNumberFormat="1" applyFont="1" applyFill="1" applyAlignment="1">
      <alignment horizontal="center" vertical="center"/>
    </xf>
    <xf numFmtId="0" fontId="60" fillId="6" borderId="7" xfId="3" applyFont="1" applyFill="1" applyBorder="1" applyAlignment="1">
      <alignment horizontal="center" vertical="center"/>
    </xf>
    <xf numFmtId="0" fontId="60" fillId="6" borderId="7" xfId="3" applyFont="1" applyFill="1" applyBorder="1" applyAlignment="1">
      <alignment horizontal="center" vertical="center" shrinkToFit="1"/>
    </xf>
    <xf numFmtId="0" fontId="61" fillId="6" borderId="7" xfId="3" applyFont="1" applyFill="1" applyBorder="1" applyAlignment="1">
      <alignment horizontal="center" vertical="center"/>
    </xf>
    <xf numFmtId="0" fontId="59" fillId="6" borderId="7" xfId="3" applyFont="1" applyFill="1" applyBorder="1" applyAlignment="1">
      <alignment vertical="center"/>
    </xf>
    <xf numFmtId="0" fontId="62" fillId="6" borderId="7" xfId="3" applyFont="1" applyFill="1" applyBorder="1" applyAlignment="1">
      <alignment horizontal="center" vertical="center"/>
    </xf>
    <xf numFmtId="0" fontId="62" fillId="6" borderId="0" xfId="3" applyFont="1" applyFill="1" applyAlignment="1">
      <alignment vertical="center"/>
    </xf>
    <xf numFmtId="0" fontId="63" fillId="6" borderId="0" xfId="3" applyFont="1" applyFill="1" applyAlignment="1">
      <alignment vertical="center"/>
    </xf>
    <xf numFmtId="0" fontId="64" fillId="6" borderId="0" xfId="3" applyFont="1" applyFill="1" applyAlignment="1">
      <alignment vertical="center"/>
    </xf>
    <xf numFmtId="49" fontId="63" fillId="6" borderId="0" xfId="3" applyNumberFormat="1" applyFont="1" applyFill="1" applyAlignment="1">
      <alignment vertical="center"/>
    </xf>
    <xf numFmtId="49" fontId="64" fillId="6" borderId="0" xfId="3" applyNumberFormat="1" applyFont="1" applyFill="1" applyAlignment="1">
      <alignment vertical="center"/>
    </xf>
    <xf numFmtId="0" fontId="2" fillId="6" borderId="0" xfId="3" applyFont="1" applyFill="1" applyAlignment="1">
      <alignment vertical="center"/>
    </xf>
    <xf numFmtId="0" fontId="2" fillId="6" borderId="10" xfId="3" applyFont="1" applyFill="1" applyBorder="1" applyAlignment="1">
      <alignment vertical="center"/>
    </xf>
    <xf numFmtId="0" fontId="2" fillId="0" borderId="0" xfId="3" applyFont="1" applyAlignment="1">
      <alignment vertical="center"/>
    </xf>
    <xf numFmtId="49" fontId="63" fillId="2" borderId="0" xfId="3" applyNumberFormat="1" applyFont="1" applyFill="1" applyAlignment="1">
      <alignment horizontal="center" vertical="center"/>
    </xf>
    <xf numFmtId="0" fontId="60" fillId="6" borderId="0" xfId="3" applyFont="1" applyFill="1" applyAlignment="1">
      <alignment horizontal="center" vertical="center"/>
    </xf>
    <xf numFmtId="0" fontId="60" fillId="6" borderId="0" xfId="3" applyFont="1" applyFill="1" applyAlignment="1">
      <alignment horizontal="center" vertical="center" shrinkToFit="1"/>
    </xf>
    <xf numFmtId="0" fontId="63" fillId="6" borderId="0" xfId="3" applyFont="1" applyFill="1" applyAlignment="1">
      <alignment horizontal="center" vertical="center"/>
    </xf>
    <xf numFmtId="0" fontId="65" fillId="6" borderId="0" xfId="3" applyFont="1" applyFill="1" applyAlignment="1">
      <alignment vertical="center"/>
    </xf>
    <xf numFmtId="0" fontId="66" fillId="6" borderId="0" xfId="3" applyFont="1" applyFill="1" applyAlignment="1">
      <alignment vertical="center"/>
    </xf>
    <xf numFmtId="0" fontId="67" fillId="6" borderId="0" xfId="3" applyFont="1" applyFill="1" applyAlignment="1">
      <alignment horizontal="right" vertical="center"/>
    </xf>
    <xf numFmtId="0" fontId="38" fillId="13" borderId="19" xfId="3" applyFont="1" applyFill="1" applyBorder="1" applyAlignment="1">
      <alignment horizontal="right" vertical="center"/>
    </xf>
    <xf numFmtId="0" fontId="62" fillId="6" borderId="7" xfId="3" applyFont="1" applyFill="1" applyBorder="1" applyAlignment="1">
      <alignment vertical="center"/>
    </xf>
    <xf numFmtId="0" fontId="2" fillId="6" borderId="13" xfId="3" applyFont="1" applyFill="1" applyBorder="1" applyAlignment="1">
      <alignment vertical="center"/>
    </xf>
    <xf numFmtId="0" fontId="68" fillId="6" borderId="7" xfId="3" applyFont="1" applyFill="1" applyBorder="1" applyAlignment="1">
      <alignment horizontal="center" vertical="center"/>
    </xf>
    <xf numFmtId="0" fontId="60" fillId="6" borderId="7" xfId="3" applyFont="1" applyFill="1" applyBorder="1" applyAlignment="1">
      <alignment vertical="center"/>
    </xf>
    <xf numFmtId="0" fontId="62" fillId="6" borderId="18" xfId="3" applyFont="1" applyFill="1" applyBorder="1" applyAlignment="1">
      <alignment horizontal="center" vertical="center"/>
    </xf>
    <xf numFmtId="0" fontId="62" fillId="6" borderId="17" xfId="3" applyFont="1" applyFill="1" applyBorder="1" applyAlignment="1">
      <alignment horizontal="left" vertical="center"/>
    </xf>
    <xf numFmtId="0" fontId="68" fillId="6" borderId="0" xfId="3" applyFont="1" applyFill="1" applyAlignment="1">
      <alignment horizontal="center" vertical="center"/>
    </xf>
    <xf numFmtId="0" fontId="62" fillId="6" borderId="0" xfId="3" applyFont="1" applyFill="1" applyAlignment="1">
      <alignment horizontal="center" vertical="center"/>
    </xf>
    <xf numFmtId="0" fontId="38" fillId="13" borderId="17" xfId="3" applyFont="1" applyFill="1" applyBorder="1" applyAlignment="1">
      <alignment horizontal="right" vertical="center"/>
    </xf>
    <xf numFmtId="49" fontId="62" fillId="6" borderId="7" xfId="3" applyNumberFormat="1" applyFont="1" applyFill="1" applyBorder="1" applyAlignment="1">
      <alignment vertical="center"/>
    </xf>
    <xf numFmtId="49" fontId="62" fillId="6" borderId="0" xfId="3" applyNumberFormat="1" applyFont="1" applyFill="1" applyAlignment="1">
      <alignment vertical="center"/>
    </xf>
    <xf numFmtId="0" fontId="62" fillId="6" borderId="17" xfId="3" applyFont="1" applyFill="1" applyBorder="1" applyAlignment="1">
      <alignment vertical="center"/>
    </xf>
    <xf numFmtId="0" fontId="3" fillId="0" borderId="0" xfId="3"/>
    <xf numFmtId="49" fontId="62" fillId="6" borderId="17" xfId="3" applyNumberFormat="1" applyFont="1" applyFill="1" applyBorder="1" applyAlignment="1">
      <alignment vertical="center"/>
    </xf>
    <xf numFmtId="0" fontId="62" fillId="6" borderId="18" xfId="3" applyFont="1" applyFill="1" applyBorder="1" applyAlignment="1">
      <alignment vertical="center"/>
    </xf>
    <xf numFmtId="0" fontId="69" fillId="6" borderId="18" xfId="3" applyFont="1" applyFill="1" applyBorder="1" applyAlignment="1">
      <alignment horizontal="center" vertical="center"/>
    </xf>
    <xf numFmtId="49" fontId="60" fillId="2" borderId="0" xfId="3" applyNumberFormat="1" applyFont="1" applyFill="1" applyAlignment="1">
      <alignment horizontal="center" vertical="center"/>
    </xf>
    <xf numFmtId="0" fontId="69" fillId="6" borderId="7" xfId="3" applyFont="1" applyFill="1" applyBorder="1" applyAlignment="1">
      <alignment horizontal="center" vertical="center"/>
    </xf>
    <xf numFmtId="0" fontId="2" fillId="6" borderId="16" xfId="3" applyFont="1" applyFill="1" applyBorder="1" applyAlignment="1">
      <alignment vertical="center"/>
    </xf>
    <xf numFmtId="49" fontId="62" fillId="6" borderId="18" xfId="3" applyNumberFormat="1" applyFont="1" applyFill="1" applyBorder="1" applyAlignment="1">
      <alignment vertical="center"/>
    </xf>
    <xf numFmtId="49" fontId="70" fillId="2" borderId="0" xfId="3" applyNumberFormat="1" applyFont="1" applyFill="1" applyAlignment="1">
      <alignment horizontal="center" vertical="center"/>
    </xf>
    <xf numFmtId="0" fontId="70" fillId="6" borderId="7" xfId="3" applyFont="1" applyFill="1" applyBorder="1" applyAlignment="1">
      <alignment vertical="center"/>
    </xf>
    <xf numFmtId="49" fontId="59" fillId="6" borderId="0" xfId="3" applyNumberFormat="1" applyFont="1" applyFill="1" applyAlignment="1">
      <alignment horizontal="center" vertical="center"/>
    </xf>
    <xf numFmtId="49" fontId="63" fillId="6" borderId="0" xfId="3" applyNumberFormat="1" applyFont="1" applyFill="1" applyAlignment="1">
      <alignment horizontal="center" vertical="center"/>
    </xf>
    <xf numFmtId="0" fontId="10" fillId="6" borderId="0" xfId="3" applyFont="1" applyFill="1" applyAlignment="1">
      <alignment horizontal="right" vertical="center"/>
    </xf>
    <xf numFmtId="0" fontId="63" fillId="6" borderId="0" xfId="3" applyFont="1" applyFill="1" applyAlignment="1">
      <alignment horizontal="left" vertical="center"/>
    </xf>
    <xf numFmtId="49" fontId="2" fillId="6" borderId="0" xfId="3" applyNumberFormat="1" applyFont="1" applyFill="1" applyAlignment="1">
      <alignment vertical="center"/>
    </xf>
    <xf numFmtId="0" fontId="71" fillId="6" borderId="0" xfId="3" applyFont="1" applyFill="1" applyAlignment="1">
      <alignment vertical="center"/>
    </xf>
    <xf numFmtId="0" fontId="72" fillId="6" borderId="0" xfId="3" applyFont="1" applyFill="1" applyAlignment="1">
      <alignment vertical="center"/>
    </xf>
    <xf numFmtId="0" fontId="63" fillId="14" borderId="0" xfId="3" applyFont="1" applyFill="1" applyAlignment="1">
      <alignment vertical="center"/>
    </xf>
    <xf numFmtId="49" fontId="73" fillId="6" borderId="0" xfId="3" applyNumberFormat="1" applyFont="1" applyFill="1" applyAlignment="1">
      <alignment horizontal="center" vertical="center"/>
    </xf>
    <xf numFmtId="49" fontId="74" fillId="14" borderId="0" xfId="3" applyNumberFormat="1" applyFont="1" applyFill="1" applyAlignment="1">
      <alignment vertical="center"/>
    </xf>
    <xf numFmtId="49" fontId="75" fillId="0" borderId="0" xfId="3" applyNumberFormat="1" applyFont="1" applyAlignment="1">
      <alignment horizontal="center" vertical="center"/>
    </xf>
    <xf numFmtId="49" fontId="74" fillId="6" borderId="0" xfId="3" applyNumberFormat="1" applyFont="1" applyFill="1" applyAlignment="1">
      <alignment vertical="center"/>
    </xf>
    <xf numFmtId="49" fontId="75" fillId="6" borderId="0" xfId="3" applyNumberFormat="1" applyFont="1" applyFill="1" applyAlignment="1">
      <alignment vertical="center"/>
    </xf>
    <xf numFmtId="0" fontId="3" fillId="6" borderId="0" xfId="3" applyFill="1" applyAlignment="1">
      <alignment vertical="center"/>
    </xf>
    <xf numFmtId="0" fontId="3" fillId="0" borderId="0" xfId="3" applyAlignment="1">
      <alignment vertical="center"/>
    </xf>
    <xf numFmtId="0" fontId="30" fillId="2" borderId="20" xfId="3" applyFont="1" applyFill="1" applyBorder="1" applyAlignment="1">
      <alignment vertical="center"/>
    </xf>
    <xf numFmtId="0" fontId="30" fillId="2" borderId="21" xfId="3" applyFont="1" applyFill="1" applyBorder="1" applyAlignment="1">
      <alignment vertical="center"/>
    </xf>
    <xf numFmtId="0" fontId="30" fillId="2" borderId="22" xfId="3" applyFont="1" applyFill="1" applyBorder="1" applyAlignment="1">
      <alignment vertical="center"/>
    </xf>
    <xf numFmtId="49" fontId="39" fillId="2" borderId="21" xfId="3" applyNumberFormat="1" applyFont="1" applyFill="1" applyBorder="1" applyAlignment="1">
      <alignment horizontal="center" vertical="center"/>
    </xf>
    <xf numFmtId="49" fontId="39" fillId="2" borderId="21" xfId="3" applyNumberFormat="1" applyFont="1" applyFill="1" applyBorder="1" applyAlignment="1">
      <alignment vertical="center"/>
    </xf>
    <xf numFmtId="49" fontId="39" fillId="2" borderId="21" xfId="3" applyNumberFormat="1" applyFont="1" applyFill="1" applyBorder="1" applyAlignment="1">
      <alignment horizontal="centerContinuous" vertical="center"/>
    </xf>
    <xf numFmtId="49" fontId="39" fillId="2" borderId="22" xfId="3" applyNumberFormat="1" applyFont="1" applyFill="1" applyBorder="1" applyAlignment="1">
      <alignment horizontal="centerContinuous" vertical="center"/>
    </xf>
    <xf numFmtId="49" fontId="40" fillId="2" borderId="21" xfId="3" applyNumberFormat="1" applyFont="1" applyFill="1" applyBorder="1" applyAlignment="1">
      <alignment vertical="center"/>
    </xf>
    <xf numFmtId="49" fontId="40" fillId="2" borderId="22" xfId="3" applyNumberFormat="1" applyFont="1" applyFill="1" applyBorder="1" applyAlignment="1">
      <alignment vertical="center"/>
    </xf>
    <xf numFmtId="49" fontId="30" fillId="2" borderId="21" xfId="3" applyNumberFormat="1" applyFont="1" applyFill="1" applyBorder="1" applyAlignment="1">
      <alignment horizontal="left" vertical="center"/>
    </xf>
    <xf numFmtId="49" fontId="30" fillId="0" borderId="21" xfId="3" applyNumberFormat="1" applyFont="1" applyBorder="1" applyAlignment="1">
      <alignment horizontal="left" vertical="center"/>
    </xf>
    <xf numFmtId="49" fontId="40" fillId="6" borderId="22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0" fillId="6" borderId="0" xfId="3" applyFont="1" applyFill="1" applyAlignment="1">
      <alignment vertical="center"/>
    </xf>
    <xf numFmtId="0" fontId="76" fillId="6" borderId="0" xfId="3" applyFont="1" applyFill="1" applyAlignment="1">
      <alignment vertical="center"/>
    </xf>
    <xf numFmtId="49" fontId="10" fillId="6" borderId="24" xfId="3" applyNumberFormat="1" applyFont="1" applyFill="1" applyBorder="1" applyAlignment="1">
      <alignment vertical="center"/>
    </xf>
    <xf numFmtId="49" fontId="10" fillId="6" borderId="25" xfId="3" applyNumberFormat="1" applyFont="1" applyFill="1" applyBorder="1" applyAlignment="1">
      <alignment vertical="center"/>
    </xf>
    <xf numFmtId="49" fontId="10" fillId="6" borderId="25" xfId="3" applyNumberFormat="1" applyFont="1" applyFill="1" applyBorder="1" applyAlignment="1">
      <alignment horizontal="right" vertical="center"/>
    </xf>
    <xf numFmtId="49" fontId="10" fillId="6" borderId="19" xfId="3" applyNumberFormat="1" applyFont="1" applyFill="1" applyBorder="1" applyAlignment="1">
      <alignment horizontal="right" vertical="center"/>
    </xf>
    <xf numFmtId="49" fontId="10" fillId="6" borderId="0" xfId="3" applyNumberFormat="1" applyFont="1" applyFill="1" applyAlignment="1">
      <alignment horizontal="center" vertical="center"/>
    </xf>
    <xf numFmtId="49" fontId="10" fillId="6" borderId="17" xfId="3" applyNumberFormat="1" applyFont="1" applyFill="1" applyBorder="1" applyAlignment="1">
      <alignment vertical="center"/>
    </xf>
    <xf numFmtId="49" fontId="34" fillId="6" borderId="0" xfId="3" applyNumberFormat="1" applyFont="1" applyFill="1" applyAlignment="1">
      <alignment horizontal="center" vertical="center"/>
    </xf>
    <xf numFmtId="49" fontId="10" fillId="6" borderId="0" xfId="3" applyNumberFormat="1" applyFont="1" applyFill="1" applyAlignment="1">
      <alignment vertical="center"/>
    </xf>
    <xf numFmtId="49" fontId="36" fillId="6" borderId="0" xfId="3" applyNumberFormat="1" applyFont="1" applyFill="1" applyAlignment="1">
      <alignment vertical="center"/>
    </xf>
    <xf numFmtId="49" fontId="36" fillId="6" borderId="17" xfId="3" applyNumberFormat="1" applyFont="1" applyFill="1" applyBorder="1" applyAlignment="1">
      <alignment vertical="center"/>
    </xf>
    <xf numFmtId="49" fontId="30" fillId="6" borderId="24" xfId="3" applyNumberFormat="1" applyFont="1" applyFill="1" applyBorder="1" applyAlignment="1">
      <alignment vertical="center"/>
    </xf>
    <xf numFmtId="49" fontId="30" fillId="6" borderId="25" xfId="3" applyNumberFormat="1" applyFont="1" applyFill="1" applyBorder="1" applyAlignment="1">
      <alignment vertical="center"/>
    </xf>
    <xf numFmtId="49" fontId="10" fillId="6" borderId="26" xfId="3" applyNumberFormat="1" applyFont="1" applyFill="1" applyBorder="1" applyAlignment="1">
      <alignment vertical="center"/>
    </xf>
    <xf numFmtId="49" fontId="10" fillId="6" borderId="7" xfId="3" applyNumberFormat="1" applyFont="1" applyFill="1" applyBorder="1" applyAlignment="1">
      <alignment vertical="center"/>
    </xf>
    <xf numFmtId="49" fontId="10" fillId="6" borderId="7" xfId="3" applyNumberFormat="1" applyFont="1" applyFill="1" applyBorder="1" applyAlignment="1">
      <alignment horizontal="right" vertical="center"/>
    </xf>
    <xf numFmtId="49" fontId="10" fillId="6" borderId="18" xfId="3" applyNumberFormat="1" applyFont="1" applyFill="1" applyBorder="1" applyAlignment="1">
      <alignment horizontal="right" vertical="center"/>
    </xf>
    <xf numFmtId="0" fontId="10" fillId="6" borderId="7" xfId="3" applyFont="1" applyFill="1" applyBorder="1" applyAlignment="1">
      <alignment vertical="center"/>
    </xf>
    <xf numFmtId="49" fontId="36" fillId="6" borderId="7" xfId="3" applyNumberFormat="1" applyFont="1" applyFill="1" applyBorder="1" applyAlignment="1">
      <alignment vertical="center"/>
    </xf>
    <xf numFmtId="49" fontId="36" fillId="6" borderId="18" xfId="3" applyNumberFormat="1" applyFont="1" applyFill="1" applyBorder="1" applyAlignment="1">
      <alignment vertical="center"/>
    </xf>
    <xf numFmtId="49" fontId="10" fillId="2" borderId="24" xfId="3" applyNumberFormat="1" applyFont="1" applyFill="1" applyBorder="1" applyAlignment="1">
      <alignment vertical="center"/>
    </xf>
    <xf numFmtId="49" fontId="10" fillId="2" borderId="25" xfId="3" applyNumberFormat="1" applyFont="1" applyFill="1" applyBorder="1" applyAlignment="1">
      <alignment vertical="center"/>
    </xf>
    <xf numFmtId="49" fontId="10" fillId="2" borderId="25" xfId="3" applyNumberFormat="1" applyFont="1" applyFill="1" applyBorder="1" applyAlignment="1">
      <alignment horizontal="right" vertical="center"/>
    </xf>
    <xf numFmtId="49" fontId="10" fillId="2" borderId="19" xfId="3" applyNumberFormat="1" applyFont="1" applyFill="1" applyBorder="1" applyAlignment="1">
      <alignment horizontal="right" vertical="center"/>
    </xf>
    <xf numFmtId="0" fontId="10" fillId="2" borderId="23" xfId="3" applyFont="1" applyFill="1" applyBorder="1" applyAlignment="1">
      <alignment vertical="center"/>
    </xf>
    <xf numFmtId="49" fontId="10" fillId="2" borderId="17" xfId="3" applyNumberFormat="1" applyFont="1" applyFill="1" applyBorder="1" applyAlignment="1">
      <alignment horizontal="right" vertical="center"/>
    </xf>
    <xf numFmtId="0" fontId="30" fillId="2" borderId="23" xfId="3" applyFont="1" applyFill="1" applyBorder="1" applyAlignment="1">
      <alignment vertical="center"/>
    </xf>
    <xf numFmtId="0" fontId="30" fillId="2" borderId="0" xfId="3" applyFont="1" applyFill="1" applyAlignment="1">
      <alignment vertical="center"/>
    </xf>
    <xf numFmtId="0" fontId="30" fillId="2" borderId="17" xfId="3" applyFont="1" applyFill="1" applyBorder="1" applyAlignment="1">
      <alignment vertical="center"/>
    </xf>
    <xf numFmtId="49" fontId="10" fillId="2" borderId="23" xfId="3" applyNumberFormat="1" applyFont="1" applyFill="1" applyBorder="1" applyAlignment="1">
      <alignment vertical="center"/>
    </xf>
    <xf numFmtId="49" fontId="10" fillId="2" borderId="0" xfId="3" applyNumberFormat="1" applyFont="1" applyFill="1" applyAlignment="1">
      <alignment vertical="center"/>
    </xf>
    <xf numFmtId="0" fontId="10" fillId="2" borderId="0" xfId="3" applyFont="1" applyFill="1" applyAlignment="1">
      <alignment horizontal="right" vertical="center"/>
    </xf>
    <xf numFmtId="0" fontId="10" fillId="2" borderId="17" xfId="3" applyFont="1" applyFill="1" applyBorder="1" applyAlignment="1">
      <alignment horizontal="right" vertical="center"/>
    </xf>
    <xf numFmtId="49" fontId="10" fillId="2" borderId="26" xfId="3" applyNumberFormat="1" applyFont="1" applyFill="1" applyBorder="1" applyAlignment="1">
      <alignment vertical="center"/>
    </xf>
    <xf numFmtId="49" fontId="10" fillId="2" borderId="7" xfId="3" applyNumberFormat="1" applyFont="1" applyFill="1" applyBorder="1" applyAlignment="1">
      <alignment vertical="center"/>
    </xf>
    <xf numFmtId="0" fontId="10" fillId="2" borderId="7" xfId="3" applyFont="1" applyFill="1" applyBorder="1" applyAlignment="1">
      <alignment horizontal="right" vertical="center"/>
    </xf>
    <xf numFmtId="0" fontId="10" fillId="2" borderId="18" xfId="3" applyFont="1" applyFill="1" applyBorder="1" applyAlignment="1">
      <alignment horizontal="right" vertical="center"/>
    </xf>
    <xf numFmtId="49" fontId="10" fillId="6" borderId="7" xfId="3" applyNumberFormat="1" applyFont="1" applyFill="1" applyBorder="1" applyAlignment="1">
      <alignment horizontal="center" vertical="center"/>
    </xf>
    <xf numFmtId="49" fontId="10" fillId="6" borderId="18" xfId="3" applyNumberFormat="1" applyFont="1" applyFill="1" applyBorder="1" applyAlignment="1">
      <alignment vertical="center"/>
    </xf>
    <xf numFmtId="49" fontId="34" fillId="6" borderId="7" xfId="3" applyNumberFormat="1" applyFont="1" applyFill="1" applyBorder="1" applyAlignment="1">
      <alignment horizontal="center" vertical="center"/>
    </xf>
    <xf numFmtId="0" fontId="38" fillId="13" borderId="18" xfId="3" applyFont="1" applyFill="1" applyBorder="1" applyAlignment="1">
      <alignment horizontal="right" vertical="center"/>
    </xf>
    <xf numFmtId="0" fontId="36" fillId="0" borderId="0" xfId="3" applyFont="1"/>
    <xf numFmtId="0" fontId="17" fillId="0" borderId="0" xfId="3" applyFont="1"/>
    <xf numFmtId="0" fontId="3" fillId="6" borderId="0" xfId="3" applyFill="1"/>
    <xf numFmtId="49" fontId="13" fillId="0" borderId="0" xfId="3" applyNumberFormat="1" applyFont="1" applyAlignment="1">
      <alignment vertical="top"/>
    </xf>
    <xf numFmtId="49" fontId="6" fillId="0" borderId="0" xfId="3" applyNumberFormat="1" applyFont="1" applyAlignment="1">
      <alignment vertical="top"/>
    </xf>
    <xf numFmtId="49" fontId="43" fillId="0" borderId="0" xfId="3" applyNumberFormat="1" applyFont="1" applyAlignment="1">
      <alignment vertical="top"/>
    </xf>
    <xf numFmtId="49" fontId="31" fillId="0" borderId="0" xfId="3" applyNumberFormat="1" applyFont="1" applyAlignment="1">
      <alignment vertical="top"/>
    </xf>
    <xf numFmtId="49" fontId="35" fillId="0" borderId="0" xfId="3" applyNumberFormat="1" applyFont="1" applyAlignment="1">
      <alignment horizontal="center"/>
    </xf>
    <xf numFmtId="49" fontId="35" fillId="0" borderId="0" xfId="3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32" fillId="0" borderId="0" xfId="3" applyFont="1"/>
    <xf numFmtId="49" fontId="15" fillId="0" borderId="0" xfId="3" applyNumberFormat="1" applyFont="1" applyAlignment="1">
      <alignment horizontal="left"/>
    </xf>
    <xf numFmtId="49" fontId="32" fillId="0" borderId="0" xfId="3" applyNumberFormat="1" applyFont="1"/>
    <xf numFmtId="49" fontId="2" fillId="0" borderId="0" xfId="3" applyNumberFormat="1" applyFont="1"/>
    <xf numFmtId="49" fontId="17" fillId="0" borderId="0" xfId="3" applyNumberFormat="1" applyFont="1"/>
    <xf numFmtId="0" fontId="2" fillId="3" borderId="0" xfId="3" applyFont="1" applyFill="1"/>
    <xf numFmtId="0" fontId="2" fillId="3" borderId="0" xfId="3" applyFont="1" applyFill="1" applyAlignment="1">
      <alignment horizontal="center"/>
    </xf>
    <xf numFmtId="14" fontId="18" fillId="0" borderId="6" xfId="3" applyNumberFormat="1" applyFont="1" applyBorder="1" applyAlignment="1">
      <alignment horizontal="left" vertical="center"/>
    </xf>
    <xf numFmtId="49" fontId="18" fillId="0" borderId="6" xfId="3" applyNumberFormat="1" applyFont="1" applyBorder="1" applyAlignment="1">
      <alignment vertical="center"/>
    </xf>
    <xf numFmtId="49" fontId="3" fillId="0" borderId="6" xfId="3" applyNumberFormat="1" applyBorder="1" applyAlignment="1">
      <alignment vertical="center"/>
    </xf>
    <xf numFmtId="49" fontId="37" fillId="0" borderId="6" xfId="3" applyNumberFormat="1" applyFont="1" applyBorder="1" applyAlignment="1">
      <alignment vertical="center"/>
    </xf>
    <xf numFmtId="49" fontId="18" fillId="0" borderId="6" xfId="2" applyNumberFormat="1" applyFont="1" applyBorder="1" applyAlignment="1" applyProtection="1">
      <alignment vertical="center"/>
      <protection locked="0"/>
    </xf>
    <xf numFmtId="0" fontId="19" fillId="0" borderId="6" xfId="3" applyFont="1" applyBorder="1" applyAlignment="1">
      <alignment horizontal="left" vertical="center"/>
    </xf>
    <xf numFmtId="49" fontId="19" fillId="0" borderId="6" xfId="3" applyNumberFormat="1" applyFont="1" applyBorder="1" applyAlignment="1">
      <alignment horizontal="right" vertical="center"/>
    </xf>
    <xf numFmtId="49" fontId="57" fillId="2" borderId="0" xfId="3" applyNumberFormat="1" applyFont="1" applyFill="1" applyAlignment="1">
      <alignment horizontal="right" vertical="center"/>
    </xf>
    <xf numFmtId="0" fontId="57" fillId="0" borderId="0" xfId="3" applyFont="1"/>
    <xf numFmtId="0" fontId="60" fillId="0" borderId="7" xfId="3" applyFont="1" applyBorder="1" applyAlignment="1">
      <alignment horizontal="center" vertical="center"/>
    </xf>
    <xf numFmtId="0" fontId="60" fillId="0" borderId="7" xfId="3" applyFont="1" applyBorder="1" applyAlignment="1">
      <alignment horizontal="center" vertical="center" shrinkToFit="1"/>
    </xf>
    <xf numFmtId="0" fontId="61" fillId="15" borderId="7" xfId="3" applyFont="1" applyFill="1" applyBorder="1" applyAlignment="1">
      <alignment horizontal="center" vertical="center"/>
    </xf>
    <xf numFmtId="0" fontId="70" fillId="0" borderId="7" xfId="3" applyFont="1" applyBorder="1" applyAlignment="1">
      <alignment vertical="center"/>
    </xf>
    <xf numFmtId="0" fontId="59" fillId="0" borderId="7" xfId="3" applyFont="1" applyBorder="1" applyAlignment="1">
      <alignment vertical="center"/>
    </xf>
    <xf numFmtId="0" fontId="8" fillId="0" borderId="0" xfId="3" applyFont="1"/>
    <xf numFmtId="0" fontId="62" fillId="0" borderId="7" xfId="3" applyFont="1" applyBorder="1" applyAlignment="1">
      <alignment horizontal="center" vertical="center"/>
    </xf>
    <xf numFmtId="0" fontId="62" fillId="0" borderId="0" xfId="3" applyFont="1" applyAlignment="1">
      <alignment vertical="center"/>
    </xf>
    <xf numFmtId="0" fontId="2" fillId="0" borderId="10" xfId="3" applyFont="1" applyBorder="1" applyAlignment="1">
      <alignment vertical="center"/>
    </xf>
    <xf numFmtId="0" fontId="60" fillId="0" borderId="0" xfId="3" applyFont="1" applyAlignment="1">
      <alignment horizontal="center" vertical="center"/>
    </xf>
    <xf numFmtId="0" fontId="60" fillId="0" borderId="0" xfId="3" applyFont="1" applyAlignment="1">
      <alignment horizontal="center" vertical="center" shrinkToFit="1"/>
    </xf>
    <xf numFmtId="0" fontId="63" fillId="0" borderId="0" xfId="3" applyFont="1" applyAlignment="1">
      <alignment horizontal="center" vertical="center"/>
    </xf>
    <xf numFmtId="0" fontId="65" fillId="0" borderId="0" xfId="3" applyFont="1" applyAlignment="1">
      <alignment vertical="center"/>
    </xf>
    <xf numFmtId="0" fontId="66" fillId="0" borderId="0" xfId="3" applyFont="1" applyAlignment="1">
      <alignment vertical="center"/>
    </xf>
    <xf numFmtId="0" fontId="67" fillId="0" borderId="0" xfId="3" applyFont="1" applyAlignment="1">
      <alignment horizontal="right" vertical="center"/>
    </xf>
    <xf numFmtId="0" fontId="62" fillId="0" borderId="7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63" fillId="0" borderId="7" xfId="3" applyFont="1" applyBorder="1" applyAlignment="1">
      <alignment vertical="center"/>
    </xf>
    <xf numFmtId="0" fontId="62" fillId="0" borderId="18" xfId="3" applyFont="1" applyBorder="1" applyAlignment="1">
      <alignment horizontal="center" vertical="center"/>
    </xf>
    <xf numFmtId="0" fontId="62" fillId="0" borderId="17" xfId="3" applyFont="1" applyBorder="1" applyAlignment="1">
      <alignment horizontal="left" vertical="center"/>
    </xf>
    <xf numFmtId="0" fontId="61" fillId="0" borderId="0" xfId="3" applyFont="1" applyAlignment="1">
      <alignment horizontal="center" vertical="center"/>
    </xf>
    <xf numFmtId="0" fontId="62" fillId="0" borderId="0" xfId="3" applyFont="1" applyAlignment="1">
      <alignment horizontal="center" vertical="center"/>
    </xf>
    <xf numFmtId="0" fontId="36" fillId="0" borderId="0" xfId="3" applyFont="1" applyAlignment="1">
      <alignment horizontal="right" vertical="center"/>
    </xf>
    <xf numFmtId="49" fontId="62" fillId="0" borderId="7" xfId="3" applyNumberFormat="1" applyFont="1" applyBorder="1" applyAlignment="1">
      <alignment vertical="center"/>
    </xf>
    <xf numFmtId="49" fontId="62" fillId="0" borderId="0" xfId="3" applyNumberFormat="1" applyFont="1" applyAlignment="1">
      <alignment vertical="center"/>
    </xf>
    <xf numFmtId="0" fontId="60" fillId="0" borderId="7" xfId="3" applyFont="1" applyBorder="1" applyAlignment="1">
      <alignment vertical="center"/>
    </xf>
    <xf numFmtId="0" fontId="62" fillId="0" borderId="17" xfId="3" applyFont="1" applyBorder="1" applyAlignment="1">
      <alignment vertical="center"/>
    </xf>
    <xf numFmtId="49" fontId="62" fillId="0" borderId="17" xfId="3" applyNumberFormat="1" applyFont="1" applyBorder="1" applyAlignment="1">
      <alignment vertical="center"/>
    </xf>
    <xf numFmtId="0" fontId="78" fillId="0" borderId="0" xfId="3" applyFont="1" applyAlignment="1">
      <alignment vertical="center"/>
    </xf>
    <xf numFmtId="0" fontId="62" fillId="0" borderId="18" xfId="3" applyFont="1" applyBorder="1" applyAlignment="1">
      <alignment vertical="center"/>
    </xf>
    <xf numFmtId="0" fontId="69" fillId="0" borderId="18" xfId="3" applyFont="1" applyBorder="1" applyAlignment="1">
      <alignment horizontal="center" vertical="center"/>
    </xf>
    <xf numFmtId="0" fontId="71" fillId="0" borderId="0" xfId="3" applyFont="1" applyAlignment="1">
      <alignment vertical="center"/>
    </xf>
    <xf numFmtId="0" fontId="69" fillId="0" borderId="7" xfId="3" applyFont="1" applyBorder="1" applyAlignment="1">
      <alignment horizontal="center" vertical="center"/>
    </xf>
    <xf numFmtId="0" fontId="2" fillId="0" borderId="16" xfId="3" applyFont="1" applyBorder="1" applyAlignment="1">
      <alignment vertical="center"/>
    </xf>
    <xf numFmtId="49" fontId="62" fillId="0" borderId="18" xfId="3" applyNumberFormat="1" applyFont="1" applyBorder="1" applyAlignment="1">
      <alignment vertical="center"/>
    </xf>
    <xf numFmtId="49" fontId="63" fillId="0" borderId="0" xfId="3" applyNumberFormat="1" applyFont="1" applyAlignment="1">
      <alignment horizontal="center" vertical="center"/>
    </xf>
    <xf numFmtId="0" fontId="72" fillId="0" borderId="0" xfId="3" applyFont="1" applyAlignment="1">
      <alignment vertical="center"/>
    </xf>
    <xf numFmtId="49" fontId="59" fillId="0" borderId="0" xfId="3" applyNumberFormat="1" applyFont="1" applyAlignment="1">
      <alignment horizontal="center" vertical="center"/>
    </xf>
    <xf numFmtId="0" fontId="63" fillId="0" borderId="0" xfId="3" applyFont="1" applyAlignment="1">
      <alignment vertical="center"/>
    </xf>
    <xf numFmtId="49" fontId="63" fillId="0" borderId="0" xfId="3" applyNumberFormat="1" applyFont="1" applyAlignment="1">
      <alignment vertical="center"/>
    </xf>
    <xf numFmtId="0" fontId="10" fillId="0" borderId="0" xfId="3" applyFont="1" applyAlignment="1">
      <alignment horizontal="right" vertical="center"/>
    </xf>
    <xf numFmtId="0" fontId="63" fillId="0" borderId="0" xfId="3" applyFont="1" applyAlignment="1">
      <alignment horizontal="left" vertical="center"/>
    </xf>
    <xf numFmtId="49" fontId="74" fillId="0" borderId="0" xfId="3" applyNumberFormat="1" applyFont="1" applyAlignment="1">
      <alignment vertical="center"/>
    </xf>
    <xf numFmtId="49" fontId="10" fillId="0" borderId="24" xfId="3" applyNumberFormat="1" applyFont="1" applyBorder="1" applyAlignment="1">
      <alignment vertical="center"/>
    </xf>
    <xf numFmtId="49" fontId="10" fillId="0" borderId="25" xfId="3" applyNumberFormat="1" applyFont="1" applyBorder="1" applyAlignment="1">
      <alignment vertical="center"/>
    </xf>
    <xf numFmtId="49" fontId="10" fillId="0" borderId="25" xfId="3" applyNumberFormat="1" applyFont="1" applyBorder="1" applyAlignment="1">
      <alignment horizontal="right" vertical="center"/>
    </xf>
    <xf numFmtId="49" fontId="10" fillId="0" borderId="19" xfId="3" applyNumberFormat="1" applyFont="1" applyBorder="1" applyAlignment="1">
      <alignment horizontal="right" vertical="center"/>
    </xf>
    <xf numFmtId="49" fontId="10" fillId="0" borderId="0" xfId="3" applyNumberFormat="1" applyFont="1" applyAlignment="1">
      <alignment horizontal="center" vertical="center"/>
    </xf>
    <xf numFmtId="49" fontId="34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vertical="center"/>
    </xf>
    <xf numFmtId="49" fontId="36" fillId="0" borderId="0" xfId="3" applyNumberFormat="1" applyFont="1" applyAlignment="1">
      <alignment vertical="center"/>
    </xf>
    <xf numFmtId="49" fontId="36" fillId="0" borderId="17" xfId="3" applyNumberFormat="1" applyFont="1" applyBorder="1" applyAlignment="1">
      <alignment vertical="center"/>
    </xf>
    <xf numFmtId="49" fontId="30" fillId="2" borderId="24" xfId="3" applyNumberFormat="1" applyFont="1" applyFill="1" applyBorder="1" applyAlignment="1">
      <alignment vertical="center"/>
    </xf>
    <xf numFmtId="49" fontId="30" fillId="2" borderId="25" xfId="3" applyNumberFormat="1" applyFont="1" applyFill="1" applyBorder="1" applyAlignment="1">
      <alignment vertical="center"/>
    </xf>
    <xf numFmtId="49" fontId="36" fillId="2" borderId="17" xfId="3" applyNumberFormat="1" applyFont="1" applyFill="1" applyBorder="1" applyAlignment="1">
      <alignment vertical="center"/>
    </xf>
    <xf numFmtId="49" fontId="10" fillId="0" borderId="26" xfId="3" applyNumberFormat="1" applyFont="1" applyBorder="1" applyAlignment="1">
      <alignment vertical="center"/>
    </xf>
    <xf numFmtId="49" fontId="10" fillId="0" borderId="7" xfId="3" applyNumberFormat="1" applyFont="1" applyBorder="1" applyAlignment="1">
      <alignment vertical="center"/>
    </xf>
    <xf numFmtId="49" fontId="10" fillId="0" borderId="7" xfId="3" applyNumberFormat="1" applyFont="1" applyBorder="1" applyAlignment="1">
      <alignment horizontal="right" vertical="center"/>
    </xf>
    <xf numFmtId="49" fontId="10" fillId="0" borderId="18" xfId="3" applyNumberFormat="1" applyFont="1" applyBorder="1" applyAlignment="1">
      <alignment horizontal="right" vertical="center"/>
    </xf>
    <xf numFmtId="0" fontId="10" fillId="0" borderId="7" xfId="3" applyFont="1" applyBorder="1" applyAlignment="1">
      <alignment vertical="center"/>
    </xf>
    <xf numFmtId="49" fontId="36" fillId="0" borderId="7" xfId="3" applyNumberFormat="1" applyFont="1" applyBorder="1" applyAlignment="1">
      <alignment vertical="center"/>
    </xf>
    <xf numFmtId="49" fontId="36" fillId="0" borderId="18" xfId="3" applyNumberFormat="1" applyFont="1" applyBorder="1" applyAlignment="1">
      <alignment vertical="center"/>
    </xf>
    <xf numFmtId="49" fontId="10" fillId="0" borderId="7" xfId="3" applyNumberFormat="1" applyFont="1" applyBorder="1" applyAlignment="1">
      <alignment horizontal="center" vertical="center"/>
    </xf>
    <xf numFmtId="49" fontId="34" fillId="0" borderId="7" xfId="3" applyNumberFormat="1" applyFont="1" applyBorder="1" applyAlignment="1">
      <alignment horizontal="center" vertical="center"/>
    </xf>
    <xf numFmtId="0" fontId="1" fillId="0" borderId="0" xfId="4"/>
    <xf numFmtId="49" fontId="81" fillId="0" borderId="5" xfId="4" applyNumberFormat="1" applyFont="1" applyBorder="1" applyAlignment="1">
      <alignment textRotation="90" wrapText="1"/>
    </xf>
    <xf numFmtId="49" fontId="1" fillId="0" borderId="5" xfId="4" applyNumberFormat="1" applyBorder="1"/>
    <xf numFmtId="49" fontId="1" fillId="0" borderId="29" xfId="4" applyNumberFormat="1" applyBorder="1"/>
    <xf numFmtId="49" fontId="54" fillId="14" borderId="29" xfId="4" applyNumberFormat="1" applyFont="1" applyFill="1" applyBorder="1"/>
    <xf numFmtId="49" fontId="55" fillId="0" borderId="5" xfId="4" applyNumberFormat="1" applyFont="1" applyBorder="1"/>
    <xf numFmtId="49" fontId="1" fillId="0" borderId="29" xfId="4" applyNumberFormat="1" applyBorder="1" applyAlignment="1">
      <alignment horizontal="center" vertical="center"/>
    </xf>
    <xf numFmtId="49" fontId="54" fillId="0" borderId="5" xfId="4" applyNumberFormat="1" applyFont="1" applyBorder="1"/>
    <xf numFmtId="49" fontId="1" fillId="0" borderId="5" xfId="4" applyNumberFormat="1" applyBorder="1" applyAlignment="1">
      <alignment horizontal="center" vertical="center"/>
    </xf>
    <xf numFmtId="0" fontId="1" fillId="0" borderId="18" xfId="4" applyBorder="1"/>
    <xf numFmtId="49" fontId="1" fillId="0" borderId="0" xfId="4" applyNumberFormat="1"/>
    <xf numFmtId="49" fontId="54" fillId="0" borderId="5" xfId="4" applyNumberFormat="1" applyFont="1" applyBorder="1" applyAlignment="1">
      <alignment horizontal="center"/>
    </xf>
    <xf numFmtId="0" fontId="82" fillId="0" borderId="0" xfId="4" applyFont="1" applyAlignment="1">
      <alignment wrapText="1"/>
    </xf>
    <xf numFmtId="49" fontId="33" fillId="0" borderId="0" xfId="3" applyNumberFormat="1" applyFont="1" applyAlignment="1">
      <alignment vertical="center"/>
    </xf>
    <xf numFmtId="49" fontId="24" fillId="0" borderId="0" xfId="3" applyNumberFormat="1" applyFont="1" applyAlignment="1">
      <alignment vertical="center"/>
    </xf>
    <xf numFmtId="49" fontId="37" fillId="0" borderId="0" xfId="3" applyNumberFormat="1" applyFont="1" applyAlignment="1">
      <alignment vertical="center"/>
    </xf>
    <xf numFmtId="49" fontId="18" fillId="0" borderId="0" xfId="3" applyNumberFormat="1" applyFont="1" applyAlignment="1">
      <alignment vertical="center"/>
    </xf>
    <xf numFmtId="0" fontId="3" fillId="2" borderId="0" xfId="3" applyFill="1"/>
    <xf numFmtId="0" fontId="2" fillId="2" borderId="0" xfId="3" applyFont="1" applyFill="1"/>
    <xf numFmtId="0" fontId="49" fillId="2" borderId="0" xfId="3" applyFont="1" applyFill="1" applyAlignment="1">
      <alignment horizontal="center" shrinkToFit="1"/>
    </xf>
    <xf numFmtId="49" fontId="2" fillId="3" borderId="0" xfId="3" applyNumberFormat="1" applyFont="1" applyFill="1"/>
    <xf numFmtId="49" fontId="2" fillId="4" borderId="0" xfId="3" applyNumberFormat="1" applyFont="1" applyFill="1"/>
    <xf numFmtId="0" fontId="3" fillId="4" borderId="0" xfId="3" applyFill="1" applyAlignment="1">
      <alignment horizontal="center"/>
    </xf>
    <xf numFmtId="0" fontId="47" fillId="6" borderId="0" xfId="3" applyFont="1" applyFill="1" applyAlignment="1">
      <alignment horizontal="center"/>
    </xf>
    <xf numFmtId="0" fontId="47" fillId="7" borderId="0" xfId="3" applyFont="1" applyFill="1" applyAlignment="1">
      <alignment horizontal="center"/>
    </xf>
    <xf numFmtId="0" fontId="47" fillId="6" borderId="7" xfId="3" applyFont="1" applyFill="1" applyBorder="1"/>
    <xf numFmtId="0" fontId="3" fillId="7" borderId="7" xfId="3" applyFill="1" applyBorder="1" applyAlignment="1">
      <alignment horizontal="center"/>
    </xf>
    <xf numFmtId="0" fontId="3" fillId="9" borderId="29" xfId="3" applyFill="1" applyBorder="1" applyAlignment="1">
      <alignment horizontal="center"/>
    </xf>
    <xf numFmtId="0" fontId="52" fillId="6" borderId="7" xfId="3" applyFont="1" applyFill="1" applyBorder="1" applyAlignment="1">
      <alignment horizontal="center"/>
    </xf>
    <xf numFmtId="49" fontId="2" fillId="8" borderId="0" xfId="3" applyNumberFormat="1" applyFont="1" applyFill="1"/>
    <xf numFmtId="0" fontId="3" fillId="8" borderId="0" xfId="3" applyFill="1" applyAlignment="1">
      <alignment horizontal="center"/>
    </xf>
    <xf numFmtId="0" fontId="3" fillId="6" borderId="0" xfId="3" applyFill="1" applyAlignment="1">
      <alignment horizontal="center"/>
    </xf>
    <xf numFmtId="0" fontId="83" fillId="6" borderId="0" xfId="3" applyFont="1" applyFill="1" applyAlignment="1">
      <alignment horizontal="center"/>
    </xf>
    <xf numFmtId="0" fontId="52" fillId="6" borderId="0" xfId="3" applyFont="1" applyFill="1" applyAlignment="1">
      <alignment horizontal="center"/>
    </xf>
    <xf numFmtId="0" fontId="83" fillId="7" borderId="0" xfId="3" applyFont="1" applyFill="1" applyAlignment="1">
      <alignment horizontal="center"/>
    </xf>
    <xf numFmtId="0" fontId="3" fillId="6" borderId="7" xfId="3" applyFill="1" applyBorder="1"/>
    <xf numFmtId="0" fontId="3" fillId="10" borderId="0" xfId="3" applyFill="1"/>
    <xf numFmtId="0" fontId="3" fillId="6" borderId="5" xfId="3" applyFill="1" applyBorder="1"/>
    <xf numFmtId="0" fontId="3" fillId="6" borderId="5" xfId="3" applyFill="1" applyBorder="1" applyAlignment="1">
      <alignment horizontal="center" vertical="center"/>
    </xf>
    <xf numFmtId="0" fontId="47" fillId="7" borderId="5" xfId="3" applyFont="1" applyFill="1" applyBorder="1" applyAlignment="1">
      <alignment horizontal="center" vertical="center"/>
    </xf>
    <xf numFmtId="0" fontId="3" fillId="6" borderId="0" xfId="3" applyFill="1" applyAlignment="1">
      <alignment horizontal="center" vertical="center"/>
    </xf>
    <xf numFmtId="49" fontId="39" fillId="2" borderId="25" xfId="3" applyNumberFormat="1" applyFont="1" applyFill="1" applyBorder="1" applyAlignment="1">
      <alignment horizontal="center" vertical="center"/>
    </xf>
    <xf numFmtId="49" fontId="39" fillId="2" borderId="25" xfId="3" applyNumberFormat="1" applyFont="1" applyFill="1" applyBorder="1" applyAlignment="1">
      <alignment vertical="center"/>
    </xf>
    <xf numFmtId="0" fontId="3" fillId="2" borderId="21" xfId="3" applyFill="1" applyBorder="1"/>
    <xf numFmtId="49" fontId="40" fillId="2" borderId="25" xfId="3" applyNumberFormat="1" applyFont="1" applyFill="1" applyBorder="1" applyAlignment="1">
      <alignment vertical="center"/>
    </xf>
    <xf numFmtId="49" fontId="30" fillId="2" borderId="25" xfId="3" applyNumberFormat="1" applyFont="1" applyFill="1" applyBorder="1" applyAlignment="1">
      <alignment horizontal="left" vertical="center"/>
    </xf>
    <xf numFmtId="49" fontId="30" fillId="0" borderId="0" xfId="3" applyNumberFormat="1" applyFont="1" applyAlignment="1">
      <alignment horizontal="left" vertical="center"/>
    </xf>
    <xf numFmtId="49" fontId="40" fillId="0" borderId="0" xfId="3" applyNumberFormat="1" applyFont="1" applyAlignment="1">
      <alignment vertical="center"/>
    </xf>
    <xf numFmtId="49" fontId="10" fillId="6" borderId="24" xfId="3" applyNumberFormat="1" applyFont="1" applyFill="1" applyBorder="1" applyAlignment="1">
      <alignment horizontal="center" vertical="center"/>
    </xf>
    <xf numFmtId="49" fontId="34" fillId="6" borderId="24" xfId="3" applyNumberFormat="1" applyFont="1" applyFill="1" applyBorder="1" applyAlignment="1">
      <alignment horizontal="center" vertical="center"/>
    </xf>
    <xf numFmtId="49" fontId="36" fillId="6" borderId="25" xfId="3" applyNumberFormat="1" applyFont="1" applyFill="1" applyBorder="1" applyAlignment="1">
      <alignment vertical="center"/>
    </xf>
    <xf numFmtId="49" fontId="10" fillId="6" borderId="19" xfId="3" applyNumberFormat="1" applyFont="1" applyFill="1" applyBorder="1" applyAlignment="1">
      <alignment vertical="center"/>
    </xf>
    <xf numFmtId="0" fontId="3" fillId="6" borderId="25" xfId="3" applyFill="1" applyBorder="1"/>
    <xf numFmtId="0" fontId="3" fillId="6" borderId="19" xfId="3" applyFill="1" applyBorder="1"/>
    <xf numFmtId="49" fontId="30" fillId="0" borderId="0" xfId="3" applyNumberFormat="1" applyFont="1" applyAlignment="1">
      <alignment vertical="center"/>
    </xf>
    <xf numFmtId="49" fontId="10" fillId="6" borderId="23" xfId="3" applyNumberFormat="1" applyFont="1" applyFill="1" applyBorder="1" applyAlignment="1">
      <alignment horizontal="center" vertical="center"/>
    </xf>
    <xf numFmtId="49" fontId="34" fillId="6" borderId="23" xfId="3" applyNumberFormat="1" applyFont="1" applyFill="1" applyBorder="1" applyAlignment="1">
      <alignment horizontal="center" vertical="center"/>
    </xf>
    <xf numFmtId="0" fontId="10" fillId="6" borderId="26" xfId="3" applyFont="1" applyFill="1" applyBorder="1" applyAlignment="1">
      <alignment vertical="center"/>
    </xf>
    <xf numFmtId="0" fontId="3" fillId="6" borderId="18" xfId="3" applyFill="1" applyBorder="1"/>
    <xf numFmtId="49" fontId="10" fillId="6" borderId="23" xfId="3" applyNumberFormat="1" applyFont="1" applyFill="1" applyBorder="1" applyAlignment="1">
      <alignment vertical="center"/>
    </xf>
    <xf numFmtId="0" fontId="3" fillId="6" borderId="17" xfId="3" applyFill="1" applyBorder="1"/>
    <xf numFmtId="49" fontId="10" fillId="6" borderId="26" xfId="3" applyNumberFormat="1" applyFont="1" applyFill="1" applyBorder="1" applyAlignment="1">
      <alignment horizontal="center" vertical="center"/>
    </xf>
    <xf numFmtId="49" fontId="34" fillId="6" borderId="26" xfId="3" applyNumberFormat="1" applyFont="1" applyFill="1" applyBorder="1" applyAlignment="1">
      <alignment horizontal="center" vertical="center"/>
    </xf>
    <xf numFmtId="0" fontId="38" fillId="0" borderId="0" xfId="3" applyFont="1" applyAlignment="1">
      <alignment horizontal="right" vertical="center"/>
    </xf>
    <xf numFmtId="0" fontId="2" fillId="6" borderId="0" xfId="3" applyFont="1" applyFill="1" applyAlignment="1">
      <alignment horizontal="center"/>
    </xf>
    <xf numFmtId="0" fontId="3" fillId="6" borderId="0" xfId="3" applyFill="1" applyAlignment="1">
      <alignment horizontal="right" vertical="center" shrinkToFit="1"/>
    </xf>
    <xf numFmtId="0" fontId="47" fillId="6" borderId="0" xfId="3" applyFont="1" applyFill="1" applyAlignment="1">
      <alignment horizontal="center" vertical="center"/>
    </xf>
    <xf numFmtId="0" fontId="3" fillId="0" borderId="6" xfId="3" applyBorder="1"/>
    <xf numFmtId="0" fontId="50" fillId="7" borderId="0" xfId="3" applyFont="1" applyFill="1"/>
    <xf numFmtId="0" fontId="3" fillId="6" borderId="7" xfId="3" applyFill="1" applyBorder="1" applyAlignment="1">
      <alignment horizontal="center" vertical="center" shrinkToFit="1"/>
    </xf>
    <xf numFmtId="0" fontId="50" fillId="6" borderId="0" xfId="3" applyFont="1" applyFill="1"/>
    <xf numFmtId="0" fontId="3" fillId="6" borderId="0" xfId="3" applyFill="1" applyAlignment="1">
      <alignment shrinkToFit="1"/>
    </xf>
    <xf numFmtId="14" fontId="26" fillId="2" borderId="25" xfId="0" applyNumberFormat="1" applyFont="1" applyFill="1" applyBorder="1" applyAlignment="1">
      <alignment horizontal="left" vertical="center" wrapText="1"/>
    </xf>
    <xf numFmtId="0" fontId="79" fillId="0" borderId="20" xfId="4" applyFont="1" applyBorder="1" applyAlignment="1">
      <alignment horizontal="center" vertical="center"/>
    </xf>
    <xf numFmtId="0" fontId="79" fillId="0" borderId="21" xfId="4" applyFont="1" applyBorder="1" applyAlignment="1">
      <alignment horizontal="center" vertical="center"/>
    </xf>
    <xf numFmtId="0" fontId="79" fillId="0" borderId="22" xfId="4" applyFont="1" applyBorder="1" applyAlignment="1">
      <alignment horizontal="center" vertical="center"/>
    </xf>
    <xf numFmtId="0" fontId="80" fillId="16" borderId="24" xfId="4" applyFont="1" applyFill="1" applyBorder="1" applyAlignment="1">
      <alignment horizontal="center" vertical="center" wrapText="1"/>
    </xf>
    <xf numFmtId="0" fontId="80" fillId="16" borderId="25" xfId="4" applyFont="1" applyFill="1" applyBorder="1" applyAlignment="1">
      <alignment horizontal="center" vertical="center" wrapText="1"/>
    </xf>
    <xf numFmtId="0" fontId="80" fillId="16" borderId="19" xfId="4" applyFont="1" applyFill="1" applyBorder="1" applyAlignment="1">
      <alignment horizontal="center" vertical="center" wrapText="1"/>
    </xf>
    <xf numFmtId="0" fontId="80" fillId="16" borderId="26" xfId="4" applyFont="1" applyFill="1" applyBorder="1" applyAlignment="1">
      <alignment horizontal="center" vertical="center" wrapText="1"/>
    </xf>
    <xf numFmtId="0" fontId="80" fillId="16" borderId="7" xfId="4" applyFont="1" applyFill="1" applyBorder="1" applyAlignment="1">
      <alignment horizontal="center" vertical="center" wrapText="1"/>
    </xf>
    <xf numFmtId="0" fontId="80" fillId="16" borderId="18" xfId="4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vertical="center" shrinkToFit="1"/>
    </xf>
    <xf numFmtId="0" fontId="48" fillId="6" borderId="7" xfId="0" applyFont="1" applyFill="1" applyBorder="1" applyAlignment="1">
      <alignment vertical="center" shrinkToFit="1"/>
    </xf>
    <xf numFmtId="49" fontId="13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0" fillId="1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10" fillId="6" borderId="0" xfId="0" applyFont="1" applyFill="1" applyAlignment="1">
      <alignment horizontal="left" vertical="center"/>
    </xf>
    <xf numFmtId="0" fontId="10" fillId="6" borderId="25" xfId="0" applyFont="1" applyFill="1" applyBorder="1" applyAlignment="1">
      <alignment horizontal="left" vertical="center"/>
    </xf>
    <xf numFmtId="14" fontId="18" fillId="0" borderId="6" xfId="3" applyNumberFormat="1" applyFont="1" applyBorder="1" applyAlignment="1">
      <alignment horizontal="left" vertical="center"/>
    </xf>
    <xf numFmtId="14" fontId="18" fillId="6" borderId="6" xfId="3" applyNumberFormat="1" applyFont="1" applyFill="1" applyBorder="1" applyAlignment="1">
      <alignment horizontal="left" vertical="center"/>
    </xf>
    <xf numFmtId="0" fontId="3" fillId="6" borderId="7" xfId="3" applyFill="1" applyBorder="1" applyAlignment="1">
      <alignment horizontal="center"/>
    </xf>
    <xf numFmtId="0" fontId="10" fillId="6" borderId="25" xfId="3" applyFont="1" applyFill="1" applyBorder="1" applyAlignment="1">
      <alignment horizontal="left" vertical="center"/>
    </xf>
    <xf numFmtId="0" fontId="10" fillId="6" borderId="0" xfId="3" applyFont="1" applyFill="1" applyAlignment="1">
      <alignment horizontal="left" vertical="center"/>
    </xf>
    <xf numFmtId="0" fontId="3" fillId="0" borderId="5" xfId="3" applyBorder="1" applyAlignment="1">
      <alignment horizontal="right" vertical="center" shrinkToFit="1"/>
    </xf>
    <xf numFmtId="0" fontId="3" fillId="0" borderId="5" xfId="3" applyBorder="1" applyAlignment="1">
      <alignment horizontal="center" vertical="center"/>
    </xf>
    <xf numFmtId="0" fontId="3" fillId="12" borderId="5" xfId="3" applyFill="1" applyBorder="1" applyAlignment="1">
      <alignment horizontal="center" vertical="center"/>
    </xf>
    <xf numFmtId="0" fontId="3" fillId="2" borderId="5" xfId="3" applyFill="1" applyBorder="1" applyAlignment="1">
      <alignment vertical="center"/>
    </xf>
    <xf numFmtId="0" fontId="3" fillId="0" borderId="5" xfId="3" applyBorder="1" applyAlignment="1">
      <alignment horizontal="center" vertical="center" shrinkToFit="1"/>
    </xf>
    <xf numFmtId="49" fontId="13" fillId="6" borderId="0" xfId="3" applyNumberFormat="1" applyFont="1" applyFill="1" applyAlignment="1">
      <alignment vertical="top" shrinkToFit="1"/>
    </xf>
    <xf numFmtId="0" fontId="3" fillId="6" borderId="7" xfId="3" applyFill="1" applyBorder="1" applyAlignment="1">
      <alignment vertical="center" shrinkToFit="1"/>
    </xf>
    <xf numFmtId="0" fontId="84" fillId="0" borderId="0" xfId="3" applyFont="1"/>
    <xf numFmtId="0" fontId="28" fillId="0" borderId="0" xfId="3" applyFont="1" applyAlignment="1">
      <alignment vertical="center"/>
    </xf>
  </cellXfs>
  <cellStyles count="5">
    <cellStyle name="Hivatkozás" xfId="1" builtinId="8"/>
    <cellStyle name="Normál" xfId="0" builtinId="0"/>
    <cellStyle name="Normál 2" xfId="3" xr:uid="{07BBA774-F3A4-45B4-BE2A-EB616D26014A}"/>
    <cellStyle name="Normál 3" xfId="4" xr:uid="{78B04360-1FDC-4EC1-B211-59AD32596917}"/>
    <cellStyle name="Pénznem" xfId="2" builtinId="4"/>
  </cellStyles>
  <dxfs count="182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59393" name="Butto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6B2B928F-F351-4589-950E-8596F0165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59394" name="Butto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9BBB5A14-1162-43CD-828B-995DA8C6F3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F20EE416-147A-4FFC-AAB3-D82520A48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40961" name="Button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9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40962" name="Button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9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6C700D0-3662-4961-AF8A-A934EB568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43009" name="Button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A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43010" name="Button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A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EBA1F739-B5FF-474E-9ABB-67C4B3A31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45057" name="Button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B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45058" name="Button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id="{00000000-0008-0000-0B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BC5BF543-906A-4924-8FB4-CC605B2F1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9915A8D8-2473-4E15-B673-18ED1236F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60960"/>
          <a:ext cx="5105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51201" name="Button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D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51202" name="Button 2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00000000-0008-0000-0D00-00000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41DC96D3-AA6F-42BA-96A7-15E48EB94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57345" name="Button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DED40349-5464-4144-9417-4CDF28948F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57346" name="Button 2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36C61DBD-A23D-4C73-BF92-66CEBDA53D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18765D75-58B7-4557-BBB6-39EBFC9A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8070" name="Kép 2">
          <a:extLst>
            <a:ext uri="{FF2B5EF4-FFF2-40B4-BE49-F238E27FC236}">
              <a16:creationId xmlns:a16="http://schemas.microsoft.com/office/drawing/2014/main" id="{00000000-0008-0000-0900-0000568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41985" name="Button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5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41986" name="Button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5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65F4C3DB-CD7F-41AB-9030-C1D66E09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620" y="0"/>
          <a:ext cx="5486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44033" name="Button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6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44034" name="Button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6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481661B3-133F-4E12-8B4B-39E62BA89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24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314B5AA2-6A7C-4C6C-8BDD-AC7845059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3048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D916C3D7-BF71-46EE-80A2-A97C63AA2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53340"/>
          <a:ext cx="5105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54273" name="Button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68DBECED-1360-49B7-AB44-374AA5FAB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54274" name="Button 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31CA1C2F-B99F-4EDF-ADC1-BCF62A6C31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572EF5FF-A789-43CD-A898-5091A9693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58369" name="Button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88834521-332B-49AF-A5E8-D005ADDE55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58370" name="Button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EB851054-CDDF-476B-9F54-7D898A531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D96BCD42-A3CC-4C60-B32A-E1FC700BD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486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.%20B%20Fiu&#769;%20.xlsx" TargetMode="External"/><Relationship Id="rId1" Type="http://schemas.openxmlformats.org/officeDocument/2006/relationships/externalLinkPath" Target="V.%20B%20Fiu&#769;%2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I.%20A%20la&#769;ny.xlsx" TargetMode="External"/><Relationship Id="rId1" Type="http://schemas.openxmlformats.org/officeDocument/2006/relationships/externalLinkPath" Target="VII.%20A%20la&#769;ny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I.%20B%20Fiu&#769;.xlsx" TargetMode="External"/><Relationship Id="rId1" Type="http://schemas.openxmlformats.org/officeDocument/2006/relationships/externalLinkPath" Target="VII.%20B%20Fiu&#769;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I.%20B%20la&#769;ny.xlsx" TargetMode="External"/><Relationship Id="rId1" Type="http://schemas.openxmlformats.org/officeDocument/2006/relationships/externalLinkPath" Target="VII.%20B%20la&#769;ny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II.%20A%20Fiu&#769;.xlsx" TargetMode="External"/><Relationship Id="rId1" Type="http://schemas.openxmlformats.org/officeDocument/2006/relationships/externalLinkPath" Target="VIII.%20A%20Fiu&#769;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II.%20B%20Fiu&#769;.xlsx" TargetMode="External"/><Relationship Id="rId1" Type="http://schemas.openxmlformats.org/officeDocument/2006/relationships/externalLinkPath" Target="VIII.%20B%20Fiu&#7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abopetergeza/Desktop/Dia&#769;kolimpia%202025/V.%20B%20Fiu&#76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.%20A%20Fiu&#769;.xlsx" TargetMode="External"/><Relationship Id="rId1" Type="http://schemas.openxmlformats.org/officeDocument/2006/relationships/externalLinkPath" Target="VI.%20A%20Fiu&#76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.%20B%20Fiu&#769;.xlsx" TargetMode="External"/><Relationship Id="rId1" Type="http://schemas.openxmlformats.org/officeDocument/2006/relationships/externalLinkPath" Target="VI.%20B%20Fiu&#76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I.%20A%20Fiu&#769;.xlsx" TargetMode="External"/><Relationship Id="rId1" Type="http://schemas.openxmlformats.org/officeDocument/2006/relationships/externalLinkPath" Target="VII.%20A%20Fiu&#769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.%20A%20la&#769;ny.xlsx" TargetMode="External"/><Relationship Id="rId1" Type="http://schemas.openxmlformats.org/officeDocument/2006/relationships/externalLinkPath" Target="V.%20A%20la&#769;ny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.%20B%20la&#769;ny.xlsx" TargetMode="External"/><Relationship Id="rId1" Type="http://schemas.openxmlformats.org/officeDocument/2006/relationships/externalLinkPath" Target="V.%20B%20la&#769;ny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.%20A%20la&#769;ny.xlsx" TargetMode="External"/><Relationship Id="rId1" Type="http://schemas.openxmlformats.org/officeDocument/2006/relationships/externalLinkPath" Target="VI.%20A%20la&#769;ny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Vas%20v&#225;rmegye%20-%20Lipt&#225;k%20J&#225;nos\Savaria\VI.%20B%20la&#769;ny.xlsx" TargetMode="External"/><Relationship Id="rId1" Type="http://schemas.openxmlformats.org/officeDocument/2006/relationships/externalLinkPath" Target="VI.%20B%20la&#769;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Q ELO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F13" sqref="F13"/>
    </sheetView>
  </sheetViews>
  <sheetFormatPr defaultColWidth="8.77734375"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02" t="s">
        <v>80</v>
      </c>
      <c r="B1" s="3"/>
      <c r="C1" s="3"/>
      <c r="D1" s="103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11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14" t="s">
        <v>12</v>
      </c>
      <c r="B5" s="20"/>
      <c r="C5" s="20"/>
      <c r="D5" s="20"/>
      <c r="E5" s="199"/>
      <c r="F5" s="21"/>
      <c r="G5" s="22"/>
    </row>
    <row r="6" spans="1:7" s="2" customFormat="1" ht="24.6" x14ac:dyDescent="0.25">
      <c r="A6" s="201" t="s">
        <v>86</v>
      </c>
      <c r="B6" s="200"/>
      <c r="C6" s="23"/>
      <c r="D6" s="24"/>
      <c r="E6" s="25"/>
      <c r="F6" s="5"/>
      <c r="G6" s="5"/>
    </row>
    <row r="7" spans="1:7" s="18" customFormat="1" ht="15" customHeight="1" x14ac:dyDescent="0.25">
      <c r="A7" s="115" t="s">
        <v>81</v>
      </c>
      <c r="B7" s="115" t="s">
        <v>82</v>
      </c>
      <c r="C7" s="115" t="s">
        <v>83</v>
      </c>
      <c r="D7" s="115" t="s">
        <v>84</v>
      </c>
      <c r="E7" s="115" t="s">
        <v>85</v>
      </c>
      <c r="F7" s="21"/>
      <c r="G7" s="22"/>
    </row>
    <row r="8" spans="1:7" s="2" customFormat="1" ht="16.5" customHeight="1" x14ac:dyDescent="0.25">
      <c r="A8" s="120"/>
      <c r="B8" s="120"/>
      <c r="C8" s="120"/>
      <c r="D8" s="120"/>
      <c r="E8" s="120"/>
      <c r="F8" s="5"/>
      <c r="G8" s="5"/>
    </row>
    <row r="9" spans="1:7" s="2" customFormat="1" ht="15" customHeight="1" x14ac:dyDescent="0.25">
      <c r="A9" s="114" t="s">
        <v>13</v>
      </c>
      <c r="B9" s="20"/>
      <c r="C9" s="115" t="s">
        <v>14</v>
      </c>
      <c r="D9" s="115"/>
      <c r="E9" s="116" t="s">
        <v>15</v>
      </c>
      <c r="F9" s="5"/>
      <c r="G9" s="5"/>
    </row>
    <row r="10" spans="1:7" s="2" customFormat="1" x14ac:dyDescent="0.25">
      <c r="A10" s="27"/>
      <c r="B10" s="28"/>
      <c r="C10" s="29"/>
      <c r="D10" s="115" t="s">
        <v>42</v>
      </c>
      <c r="E10" s="193"/>
      <c r="F10" s="5"/>
      <c r="G10" s="5"/>
    </row>
    <row r="11" spans="1:7" x14ac:dyDescent="0.25">
      <c r="A11" s="19"/>
      <c r="B11" s="20"/>
      <c r="C11" s="119" t="s">
        <v>40</v>
      </c>
      <c r="D11" s="119" t="s">
        <v>77</v>
      </c>
      <c r="E11" s="119" t="s">
        <v>78</v>
      </c>
      <c r="F11" s="31"/>
      <c r="G11" s="31"/>
    </row>
    <row r="12" spans="1:7" s="2" customFormat="1" x14ac:dyDescent="0.25">
      <c r="A12" s="104"/>
      <c r="B12" s="5"/>
      <c r="C12" s="121"/>
      <c r="D12" s="121"/>
      <c r="E12" s="121"/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0"/>
      <c r="F16" s="31"/>
      <c r="G16" s="31"/>
    </row>
    <row r="17" spans="1:7" ht="12.75" customHeight="1" x14ac:dyDescent="0.25">
      <c r="A17" s="36"/>
      <c r="B17" s="189"/>
      <c r="C17" s="105"/>
      <c r="D17" s="37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1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691B0-92B9-43CD-B893-512B6EE5D72A}">
  <sheetPr>
    <tabColor indexed="11"/>
  </sheetPr>
  <dimension ref="A1:AS140"/>
  <sheetViews>
    <sheetView workbookViewId="0"/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33203125" style="287" customWidth="1"/>
    <col min="5" max="5" width="4.33203125" style="287" customWidth="1"/>
    <col min="6" max="6" width="17" style="287" customWidth="1"/>
    <col min="7" max="7" width="2.6640625" style="287" customWidth="1"/>
    <col min="8" max="8" width="24.77734375" style="287" bestFit="1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27" width="0" style="287" hidden="1" customWidth="1"/>
    <col min="28" max="28" width="10.33203125" style="287" hidden="1" customWidth="1"/>
    <col min="29" max="34" width="0" style="287" hidden="1" customWidth="1"/>
    <col min="35" max="37" width="9.109375" style="369" customWidth="1"/>
    <col min="38" max="16384" width="8.77734375" style="287"/>
  </cols>
  <sheetData>
    <row r="1" spans="1:45" s="209" customFormat="1" ht="21.75" customHeight="1" x14ac:dyDescent="0.25">
      <c r="A1" s="202" t="str">
        <f>[11]Altalanos!$A$6</f>
        <v>OB</v>
      </c>
      <c r="B1" s="202"/>
      <c r="C1" s="203"/>
      <c r="D1" s="203"/>
      <c r="E1" s="203"/>
      <c r="F1" s="203"/>
      <c r="G1" s="203"/>
      <c r="H1" s="202"/>
      <c r="I1" s="204"/>
      <c r="J1" s="205"/>
      <c r="K1" s="206" t="s">
        <v>33</v>
      </c>
      <c r="L1" s="207"/>
      <c r="M1" s="208"/>
      <c r="N1" s="205"/>
      <c r="O1" s="205" t="s">
        <v>9</v>
      </c>
      <c r="P1" s="205"/>
      <c r="Q1" s="203"/>
      <c r="R1" s="205"/>
      <c r="T1" s="210"/>
      <c r="U1" s="210"/>
      <c r="V1" s="210"/>
      <c r="W1" s="210"/>
      <c r="X1" s="210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  <c r="AI1" s="212"/>
      <c r="AJ1" s="212"/>
      <c r="AK1" s="212"/>
    </row>
    <row r="2" spans="1:45" s="218" customFormat="1" x14ac:dyDescent="0.25">
      <c r="A2" s="213" t="s">
        <v>32</v>
      </c>
      <c r="B2" s="214"/>
      <c r="C2" s="214"/>
      <c r="D2" s="214"/>
      <c r="E2" s="214">
        <f>[11]Altalanos!$A$8</f>
        <v>0</v>
      </c>
      <c r="F2" s="214"/>
      <c r="G2" s="215"/>
      <c r="H2" s="216"/>
      <c r="I2" s="216"/>
      <c r="J2" s="217"/>
      <c r="K2" s="207"/>
      <c r="L2" s="207"/>
      <c r="M2" s="207"/>
      <c r="N2" s="217"/>
      <c r="O2" s="216"/>
      <c r="P2" s="217"/>
      <c r="Q2" s="216"/>
      <c r="R2" s="217"/>
      <c r="T2" s="219"/>
      <c r="U2" s="219"/>
      <c r="V2" s="219"/>
      <c r="W2" s="219"/>
      <c r="X2" s="219"/>
      <c r="Y2" s="220"/>
      <c r="Z2" s="221"/>
      <c r="AA2" s="221" t="s">
        <v>43</v>
      </c>
      <c r="AB2" s="222">
        <v>300</v>
      </c>
      <c r="AC2" s="222">
        <v>250</v>
      </c>
      <c r="AD2" s="222">
        <v>200</v>
      </c>
      <c r="AE2" s="222">
        <v>150</v>
      </c>
      <c r="AF2" s="222">
        <v>120</v>
      </c>
      <c r="AG2" s="222">
        <v>90</v>
      </c>
      <c r="AH2" s="222">
        <v>40</v>
      </c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</row>
    <row r="3" spans="1:45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T3" s="227"/>
      <c r="U3" s="227"/>
      <c r="V3" s="227"/>
      <c r="W3" s="227"/>
      <c r="X3" s="227"/>
      <c r="Y3" s="221" t="str">
        <f>IF(K4="OB","A",IF(K4="IX","W",IF(K4="","",K4)))</f>
        <v/>
      </c>
      <c r="Z3" s="221"/>
      <c r="AA3" s="221" t="s">
        <v>44</v>
      </c>
      <c r="AB3" s="222">
        <v>280</v>
      </c>
      <c r="AC3" s="222">
        <v>230</v>
      </c>
      <c r="AD3" s="222">
        <v>180</v>
      </c>
      <c r="AE3" s="222">
        <v>140</v>
      </c>
      <c r="AF3" s="222">
        <v>80</v>
      </c>
      <c r="AG3" s="222">
        <v>0</v>
      </c>
      <c r="AH3" s="222">
        <v>0</v>
      </c>
      <c r="AI3" s="219"/>
      <c r="AJ3" s="219"/>
      <c r="AK3" s="219"/>
      <c r="AL3" s="227"/>
      <c r="AM3" s="227"/>
      <c r="AN3" s="227"/>
      <c r="AO3" s="227"/>
      <c r="AP3" s="227"/>
      <c r="AQ3" s="227"/>
      <c r="AR3" s="227"/>
      <c r="AS3" s="227"/>
    </row>
    <row r="4" spans="1:45" s="234" customFormat="1" ht="11.25" customHeight="1" thickBot="1" x14ac:dyDescent="0.3">
      <c r="A4" s="551">
        <f>[11]Altalanos!$A$10</f>
        <v>0</v>
      </c>
      <c r="B4" s="551"/>
      <c r="C4" s="551"/>
      <c r="D4" s="228"/>
      <c r="E4" s="229"/>
      <c r="F4" s="229"/>
      <c r="G4" s="229">
        <f>[11]Altalanos!$C$10</f>
        <v>0</v>
      </c>
      <c r="H4" s="230"/>
      <c r="I4" s="229"/>
      <c r="J4" s="231"/>
      <c r="K4" s="136"/>
      <c r="L4" s="231"/>
      <c r="M4" s="232"/>
      <c r="N4" s="231"/>
      <c r="O4" s="229"/>
      <c r="P4" s="231"/>
      <c r="Q4" s="229"/>
      <c r="R4" s="233">
        <f>[11]Altalanos!$E$10</f>
        <v>0</v>
      </c>
      <c r="T4" s="235"/>
      <c r="U4" s="235"/>
      <c r="V4" s="235"/>
      <c r="W4" s="235"/>
      <c r="X4" s="235"/>
      <c r="Y4" s="221"/>
      <c r="Z4" s="221"/>
      <c r="AA4" s="221" t="s">
        <v>67</v>
      </c>
      <c r="AB4" s="222">
        <v>250</v>
      </c>
      <c r="AC4" s="222">
        <v>200</v>
      </c>
      <c r="AD4" s="222">
        <v>150</v>
      </c>
      <c r="AE4" s="222">
        <v>120</v>
      </c>
      <c r="AF4" s="222">
        <v>90</v>
      </c>
      <c r="AG4" s="222">
        <v>60</v>
      </c>
      <c r="AH4" s="222">
        <v>25</v>
      </c>
      <c r="AI4" s="219"/>
      <c r="AJ4" s="219"/>
      <c r="AK4" s="219"/>
      <c r="AL4" s="235"/>
      <c r="AM4" s="235"/>
      <c r="AN4" s="235"/>
      <c r="AO4" s="235"/>
      <c r="AP4" s="235"/>
      <c r="AQ4" s="235"/>
      <c r="AR4" s="235"/>
      <c r="AS4" s="235"/>
    </row>
    <row r="5" spans="1:45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97</v>
      </c>
      <c r="N5" s="240"/>
      <c r="O5" s="237" t="s">
        <v>98</v>
      </c>
      <c r="P5" s="240"/>
      <c r="Q5" s="237"/>
      <c r="R5" s="241"/>
      <c r="T5" s="227"/>
      <c r="U5" s="227"/>
      <c r="V5" s="227"/>
      <c r="W5" s="227"/>
      <c r="X5" s="227"/>
      <c r="Y5" s="221">
        <f>IF(OR([11]Altalanos!$A$8="F1",[11]Altalanos!$A$8="F2",[11]Altalanos!$A$8="N1",[11]Altalanos!$A$8="N2"),1,2)</f>
        <v>2</v>
      </c>
      <c r="Z5" s="221"/>
      <c r="AA5" s="221" t="s">
        <v>68</v>
      </c>
      <c r="AB5" s="222">
        <v>200</v>
      </c>
      <c r="AC5" s="222">
        <v>150</v>
      </c>
      <c r="AD5" s="222">
        <v>120</v>
      </c>
      <c r="AE5" s="222">
        <v>90</v>
      </c>
      <c r="AF5" s="222">
        <v>60</v>
      </c>
      <c r="AG5" s="222">
        <v>40</v>
      </c>
      <c r="AH5" s="222">
        <v>15</v>
      </c>
      <c r="AI5" s="219"/>
      <c r="AJ5" s="219"/>
      <c r="AK5" s="219"/>
      <c r="AL5" s="227"/>
      <c r="AM5" s="227"/>
      <c r="AN5" s="227"/>
      <c r="AO5" s="227"/>
      <c r="AP5" s="227"/>
      <c r="AQ5" s="227"/>
      <c r="AR5" s="227"/>
      <c r="AS5" s="227"/>
    </row>
    <row r="6" spans="1:45" s="248" customFormat="1" ht="10.95" customHeight="1" thickBot="1" x14ac:dyDescent="0.3">
      <c r="A6" s="242"/>
      <c r="B6" s="243"/>
      <c r="C6" s="243"/>
      <c r="D6" s="243"/>
      <c r="E6" s="243"/>
      <c r="F6" s="242" t="str">
        <f>IF(Y3="","",CONCATENATE(VLOOKUP(Y3,AB1:AH1,4)," pont"))</f>
        <v/>
      </c>
      <c r="G6" s="244"/>
      <c r="H6" s="245"/>
      <c r="I6" s="244"/>
      <c r="J6" s="246"/>
      <c r="K6" s="243" t="str">
        <f>IF(Y3="","",CONCATENATE(VLOOKUP(Y3,AB1:AH1,3)," pont"))</f>
        <v/>
      </c>
      <c r="L6" s="246"/>
      <c r="M6" s="243" t="str">
        <f>IF(Y3="","",CONCATENATE(VLOOKUP(Y3,AB1:AH1,2)," pont"))</f>
        <v/>
      </c>
      <c r="N6" s="246"/>
      <c r="O6" s="243" t="str">
        <f>IF(Y3="","",CONCATENATE(VLOOKUP(Y3,AB1:AH1,1)," pont"))</f>
        <v/>
      </c>
      <c r="P6" s="246"/>
      <c r="Q6" s="243"/>
      <c r="R6" s="247"/>
      <c r="T6" s="249"/>
      <c r="U6" s="249"/>
      <c r="V6" s="249"/>
      <c r="W6" s="249"/>
      <c r="X6" s="249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252"/>
      <c r="AJ6" s="252"/>
      <c r="AK6" s="252"/>
      <c r="AL6" s="249"/>
      <c r="AM6" s="249"/>
      <c r="AN6" s="249"/>
      <c r="AO6" s="249"/>
      <c r="AP6" s="249"/>
      <c r="AQ6" s="249"/>
      <c r="AR6" s="249"/>
      <c r="AS6" s="249"/>
    </row>
    <row r="7" spans="1:45" s="266" customFormat="1" ht="13.05" customHeight="1" x14ac:dyDescent="0.25">
      <c r="A7" s="253">
        <v>1</v>
      </c>
      <c r="B7" s="254" t="str">
        <f>IF($E7="","",VLOOKUP($E7,'[11]1MD ELO'!$A$7:$O$22,14))</f>
        <v/>
      </c>
      <c r="C7" s="255" t="str">
        <f>IF($E7="","",VLOOKUP($E7,'[11]1MD ELO'!$A$7:$O$22,15))</f>
        <v/>
      </c>
      <c r="D7" s="255" t="str">
        <f>IF($E7="","",VLOOKUP($E7,'[11]1MD ELO'!$A$7:$O$22,5))</f>
        <v/>
      </c>
      <c r="E7" s="256"/>
      <c r="F7" s="257" t="s">
        <v>429</v>
      </c>
      <c r="G7" s="257"/>
      <c r="H7" s="287" t="s">
        <v>428</v>
      </c>
      <c r="J7" s="258"/>
      <c r="K7" s="259"/>
      <c r="L7" s="259"/>
      <c r="M7" s="259"/>
      <c r="N7" s="259"/>
      <c r="O7" s="260"/>
      <c r="P7" s="261"/>
      <c r="Q7" s="262"/>
      <c r="R7" s="263"/>
      <c r="S7" s="264"/>
      <c r="T7" s="264"/>
      <c r="U7" s="265" t="str">
        <f>[11]Birók!P21</f>
        <v>Bíró</v>
      </c>
      <c r="V7" s="264"/>
      <c r="W7" s="264"/>
      <c r="X7" s="264"/>
      <c r="Y7" s="221"/>
      <c r="Z7" s="221"/>
      <c r="AA7" s="221" t="s">
        <v>70</v>
      </c>
      <c r="AB7" s="222">
        <v>120</v>
      </c>
      <c r="AC7" s="222">
        <v>90</v>
      </c>
      <c r="AD7" s="222">
        <v>60</v>
      </c>
      <c r="AE7" s="222">
        <v>40</v>
      </c>
      <c r="AF7" s="222">
        <v>25</v>
      </c>
      <c r="AG7" s="222">
        <v>10</v>
      </c>
      <c r="AH7" s="222">
        <v>5</v>
      </c>
      <c r="AI7" s="219"/>
      <c r="AJ7" s="219"/>
      <c r="AK7" s="219"/>
      <c r="AL7" s="264"/>
      <c r="AM7" s="264"/>
      <c r="AN7" s="264"/>
      <c r="AO7" s="264"/>
      <c r="AP7" s="264"/>
      <c r="AQ7" s="264"/>
      <c r="AR7" s="264"/>
      <c r="AS7" s="264"/>
    </row>
    <row r="8" spans="1:45" s="266" customFormat="1" ht="13.05" customHeight="1" x14ac:dyDescent="0.25">
      <c r="A8" s="267"/>
      <c r="B8" s="268"/>
      <c r="C8" s="269"/>
      <c r="D8" s="269"/>
      <c r="E8" s="270"/>
      <c r="F8" s="271"/>
      <c r="G8" s="271"/>
      <c r="H8" s="272"/>
      <c r="I8" s="273" t="s">
        <v>99</v>
      </c>
      <c r="J8" s="274"/>
      <c r="K8" s="275" t="str">
        <f>UPPER(IF(OR(J8="a",J8="as"),F7,IF(OR(J8="b",J8="bs"),F9,)))</f>
        <v/>
      </c>
      <c r="L8" s="275"/>
      <c r="M8" s="259"/>
      <c r="N8" s="259"/>
      <c r="O8" s="260"/>
      <c r="P8" s="261"/>
      <c r="Q8" s="262"/>
      <c r="R8" s="263"/>
      <c r="S8" s="264"/>
      <c r="T8" s="264"/>
      <c r="U8" s="276" t="str">
        <f>[11]Birók!P22</f>
        <v xml:space="preserve"> </v>
      </c>
      <c r="V8" s="264"/>
      <c r="W8" s="264"/>
      <c r="X8" s="264"/>
      <c r="Y8" s="221"/>
      <c r="Z8" s="221"/>
      <c r="AA8" s="221" t="s">
        <v>71</v>
      </c>
      <c r="AB8" s="222">
        <v>90</v>
      </c>
      <c r="AC8" s="222">
        <v>60</v>
      </c>
      <c r="AD8" s="222">
        <v>40</v>
      </c>
      <c r="AE8" s="222">
        <v>25</v>
      </c>
      <c r="AF8" s="222">
        <v>10</v>
      </c>
      <c r="AG8" s="222">
        <v>5</v>
      </c>
      <c r="AH8" s="222">
        <v>2</v>
      </c>
      <c r="AI8" s="219"/>
      <c r="AJ8" s="219"/>
      <c r="AK8" s="219"/>
      <c r="AL8" s="264"/>
      <c r="AM8" s="264"/>
      <c r="AN8" s="264"/>
      <c r="AO8" s="264"/>
      <c r="AP8" s="264"/>
      <c r="AQ8" s="264"/>
      <c r="AR8" s="264"/>
      <c r="AS8" s="264"/>
    </row>
    <row r="9" spans="1:45" s="266" customFormat="1" ht="13.05" customHeight="1" x14ac:dyDescent="0.25">
      <c r="A9" s="267">
        <v>2</v>
      </c>
      <c r="B9" s="254" t="str">
        <f>IF($E9="","",VLOOKUP($E9,'[11]1MD ELO'!$A$7:$O$22,14))</f>
        <v/>
      </c>
      <c r="C9" s="255" t="str">
        <f>IF($E9="","",VLOOKUP($E9,'[11]1MD ELO'!$A$7:$O$22,15))</f>
        <v/>
      </c>
      <c r="D9" s="255" t="str">
        <f>IF($E9="","",VLOOKUP($E9,'[11]1MD ELO'!$A$7:$O$22,5))</f>
        <v/>
      </c>
      <c r="E9" s="277"/>
      <c r="F9" s="278" t="s">
        <v>434</v>
      </c>
      <c r="G9" s="278"/>
      <c r="H9" s="287" t="s">
        <v>92</v>
      </c>
      <c r="I9" s="278" t="str">
        <f>IF($E9="","",VLOOKUP($E9,'[11]1MD ELO'!$A$7:$O$22,4))</f>
        <v/>
      </c>
      <c r="J9" s="279"/>
      <c r="K9" s="259"/>
      <c r="L9" s="280"/>
      <c r="M9" s="259"/>
      <c r="N9" s="259"/>
      <c r="O9" s="260"/>
      <c r="P9" s="261"/>
      <c r="Q9" s="262"/>
      <c r="R9" s="263"/>
      <c r="S9" s="264"/>
      <c r="T9" s="264"/>
      <c r="U9" s="276" t="str">
        <f>[11]Birók!P23</f>
        <v xml:space="preserve"> </v>
      </c>
      <c r="V9" s="264"/>
      <c r="W9" s="264"/>
      <c r="X9" s="264"/>
      <c r="Y9" s="221"/>
      <c r="Z9" s="221"/>
      <c r="AA9" s="221" t="s">
        <v>72</v>
      </c>
      <c r="AB9" s="222">
        <v>60</v>
      </c>
      <c r="AC9" s="222">
        <v>40</v>
      </c>
      <c r="AD9" s="222">
        <v>25</v>
      </c>
      <c r="AE9" s="222">
        <v>10</v>
      </c>
      <c r="AF9" s="222">
        <v>5</v>
      </c>
      <c r="AG9" s="222">
        <v>2</v>
      </c>
      <c r="AH9" s="222">
        <v>1</v>
      </c>
      <c r="AI9" s="219"/>
      <c r="AJ9" s="219"/>
      <c r="AK9" s="219"/>
      <c r="AL9" s="264"/>
      <c r="AM9" s="264"/>
      <c r="AN9" s="264"/>
      <c r="AO9" s="264"/>
      <c r="AP9" s="264"/>
      <c r="AQ9" s="264"/>
      <c r="AR9" s="264"/>
      <c r="AS9" s="264"/>
    </row>
    <row r="10" spans="1:45" s="266" customFormat="1" ht="13.05" customHeight="1" x14ac:dyDescent="0.25">
      <c r="A10" s="267"/>
      <c r="B10" s="268"/>
      <c r="C10" s="269"/>
      <c r="D10" s="269"/>
      <c r="E10" s="281"/>
      <c r="F10" s="271"/>
      <c r="G10" s="271"/>
      <c r="H10" s="272"/>
      <c r="I10" s="271"/>
      <c r="J10" s="282"/>
      <c r="K10" s="273" t="s">
        <v>99</v>
      </c>
      <c r="L10" s="283"/>
      <c r="M10" s="275"/>
      <c r="N10" s="284"/>
      <c r="O10" s="285"/>
      <c r="P10" s="285"/>
      <c r="Q10" s="262"/>
      <c r="R10" s="263"/>
      <c r="S10" s="264"/>
      <c r="T10" s="264"/>
      <c r="U10" s="276" t="str">
        <f>[11]Birók!P24</f>
        <v xml:space="preserve"> </v>
      </c>
      <c r="V10" s="264"/>
      <c r="W10" s="264"/>
      <c r="X10" s="264"/>
      <c r="Y10" s="221"/>
      <c r="Z10" s="221"/>
      <c r="AA10" s="221" t="s">
        <v>73</v>
      </c>
      <c r="AB10" s="222">
        <v>40</v>
      </c>
      <c r="AC10" s="222">
        <v>25</v>
      </c>
      <c r="AD10" s="222">
        <v>15</v>
      </c>
      <c r="AE10" s="222">
        <v>7</v>
      </c>
      <c r="AF10" s="222">
        <v>4</v>
      </c>
      <c r="AG10" s="222">
        <v>1</v>
      </c>
      <c r="AH10" s="222">
        <v>0</v>
      </c>
      <c r="AI10" s="219"/>
      <c r="AJ10" s="219"/>
      <c r="AK10" s="219"/>
      <c r="AL10" s="264"/>
      <c r="AM10" s="264"/>
      <c r="AN10" s="264"/>
      <c r="AO10" s="264"/>
      <c r="AP10" s="264"/>
      <c r="AQ10" s="264"/>
      <c r="AR10" s="264"/>
      <c r="AS10" s="264"/>
    </row>
    <row r="11" spans="1:45" s="266" customFormat="1" ht="13.05" customHeight="1" x14ac:dyDescent="0.25">
      <c r="A11" s="267">
        <v>3</v>
      </c>
      <c r="B11" s="254" t="str">
        <f>IF($E11="","",VLOOKUP($E11,'[11]1MD ELO'!$A$7:$O$22,14))</f>
        <v/>
      </c>
      <c r="C11" s="255" t="str">
        <f>IF($E11="","",VLOOKUP($E11,'[11]1MD ELO'!$A$7:$O$22,15))</f>
        <v/>
      </c>
      <c r="D11" s="255" t="str">
        <f>IF($E11="","",VLOOKUP($E11,'[11]1MD ELO'!$A$7:$O$22,5))</f>
        <v/>
      </c>
      <c r="E11" s="277"/>
      <c r="F11" s="278" t="s">
        <v>436</v>
      </c>
      <c r="G11" s="278"/>
      <c r="H11" s="287" t="s">
        <v>92</v>
      </c>
      <c r="I11" s="278" t="str">
        <f>IF($E11="","",VLOOKUP($E11,'[11]1MD ELO'!$A$7:$O$22,4))</f>
        <v/>
      </c>
      <c r="J11" s="258"/>
      <c r="K11" s="259"/>
      <c r="L11" s="286"/>
      <c r="M11" s="287"/>
      <c r="N11" s="288"/>
      <c r="O11" s="285"/>
      <c r="P11" s="285"/>
      <c r="Q11" s="262"/>
      <c r="R11" s="263"/>
      <c r="S11" s="264"/>
      <c r="T11" s="264"/>
      <c r="U11" s="276" t="str">
        <f>[11]Birók!P25</f>
        <v xml:space="preserve"> </v>
      </c>
      <c r="V11" s="264"/>
      <c r="W11" s="264"/>
      <c r="X11" s="264"/>
      <c r="Y11" s="221"/>
      <c r="Z11" s="221"/>
      <c r="AA11" s="221" t="s">
        <v>74</v>
      </c>
      <c r="AB11" s="222">
        <v>25</v>
      </c>
      <c r="AC11" s="222">
        <v>15</v>
      </c>
      <c r="AD11" s="222">
        <v>10</v>
      </c>
      <c r="AE11" s="222">
        <v>6</v>
      </c>
      <c r="AF11" s="222">
        <v>3</v>
      </c>
      <c r="AG11" s="222">
        <v>1</v>
      </c>
      <c r="AH11" s="222">
        <v>0</v>
      </c>
      <c r="AI11" s="219"/>
      <c r="AJ11" s="219"/>
      <c r="AK11" s="219"/>
      <c r="AL11" s="264"/>
      <c r="AM11" s="264"/>
      <c r="AN11" s="264"/>
      <c r="AO11" s="264"/>
      <c r="AP11" s="264"/>
      <c r="AQ11" s="264"/>
      <c r="AR11" s="264"/>
      <c r="AS11" s="264"/>
    </row>
    <row r="12" spans="1:45" s="266" customFormat="1" ht="13.05" customHeight="1" x14ac:dyDescent="0.25">
      <c r="A12" s="267"/>
      <c r="B12" s="268"/>
      <c r="C12" s="269"/>
      <c r="D12" s="269"/>
      <c r="E12" s="281"/>
      <c r="F12" s="271"/>
      <c r="G12" s="271"/>
      <c r="H12" s="272"/>
      <c r="I12" s="273" t="s">
        <v>99</v>
      </c>
      <c r="J12" s="274"/>
      <c r="K12" s="275" t="str">
        <f>UPPER(IF(OR(J12="a",J12="as"),F11,IF(OR(J12="b",J12="bs"),F13,)))</f>
        <v/>
      </c>
      <c r="L12" s="289"/>
      <c r="M12" s="259"/>
      <c r="N12" s="288"/>
      <c r="O12" s="285"/>
      <c r="P12" s="285"/>
      <c r="Q12" s="262"/>
      <c r="R12" s="263"/>
      <c r="S12" s="264"/>
      <c r="T12" s="264"/>
      <c r="U12" s="276" t="str">
        <f>[11]Birók!P26</f>
        <v xml:space="preserve"> </v>
      </c>
      <c r="V12" s="264"/>
      <c r="W12" s="264"/>
      <c r="X12" s="264"/>
      <c r="Y12" s="221"/>
      <c r="Z12" s="221"/>
      <c r="AA12" s="221" t="s">
        <v>79</v>
      </c>
      <c r="AB12" s="222">
        <v>15</v>
      </c>
      <c r="AC12" s="222">
        <v>10</v>
      </c>
      <c r="AD12" s="222">
        <v>6</v>
      </c>
      <c r="AE12" s="222">
        <v>3</v>
      </c>
      <c r="AF12" s="222">
        <v>1</v>
      </c>
      <c r="AG12" s="222">
        <v>0</v>
      </c>
      <c r="AH12" s="222">
        <v>0</v>
      </c>
      <c r="AI12" s="219"/>
      <c r="AJ12" s="219"/>
      <c r="AK12" s="219"/>
      <c r="AL12" s="264"/>
      <c r="AM12" s="264"/>
      <c r="AN12" s="264"/>
      <c r="AO12" s="264"/>
      <c r="AP12" s="264"/>
      <c r="AQ12" s="264"/>
      <c r="AR12" s="264"/>
      <c r="AS12" s="264"/>
    </row>
    <row r="13" spans="1:45" s="266" customFormat="1" ht="13.05" customHeight="1" x14ac:dyDescent="0.25">
      <c r="A13" s="267">
        <v>4</v>
      </c>
      <c r="B13" s="254" t="str">
        <f>IF($E13="","",VLOOKUP($E13,'[11]1MD ELO'!$A$7:$O$22,14))</f>
        <v/>
      </c>
      <c r="C13" s="255" t="str">
        <f>IF($E13="","",VLOOKUP($E13,'[11]1MD ELO'!$A$7:$O$22,15))</f>
        <v/>
      </c>
      <c r="D13" s="255" t="str">
        <f>IF($E13="","",VLOOKUP($E13,'[11]1MD ELO'!$A$7:$O$22,5))</f>
        <v/>
      </c>
      <c r="E13" s="277"/>
      <c r="F13" s="278" t="s">
        <v>437</v>
      </c>
      <c r="G13" s="278"/>
      <c r="H13" s="287" t="s">
        <v>123</v>
      </c>
      <c r="I13" s="278" t="str">
        <f>IF($E13="","",VLOOKUP($E13,'[11]1MD ELO'!$A$7:$O$22,4))</f>
        <v/>
      </c>
      <c r="J13" s="290"/>
      <c r="K13" s="259"/>
      <c r="L13" s="259"/>
      <c r="M13" s="259"/>
      <c r="N13" s="288"/>
      <c r="O13" s="285"/>
      <c r="P13" s="285"/>
      <c r="Q13" s="262"/>
      <c r="R13" s="263"/>
      <c r="S13" s="264"/>
      <c r="T13" s="264"/>
      <c r="U13" s="276" t="str">
        <f>[11]Birók!P27</f>
        <v xml:space="preserve"> </v>
      </c>
      <c r="V13" s="264"/>
      <c r="W13" s="264"/>
      <c r="X13" s="264"/>
      <c r="Y13" s="221"/>
      <c r="Z13" s="221"/>
      <c r="AA13" s="221" t="s">
        <v>75</v>
      </c>
      <c r="AB13" s="222">
        <v>10</v>
      </c>
      <c r="AC13" s="222">
        <v>6</v>
      </c>
      <c r="AD13" s="222">
        <v>3</v>
      </c>
      <c r="AE13" s="222">
        <v>1</v>
      </c>
      <c r="AF13" s="222">
        <v>0</v>
      </c>
      <c r="AG13" s="222">
        <v>0</v>
      </c>
      <c r="AH13" s="222">
        <v>0</v>
      </c>
      <c r="AI13" s="219"/>
      <c r="AJ13" s="219"/>
      <c r="AK13" s="219"/>
      <c r="AL13" s="264"/>
      <c r="AM13" s="264"/>
      <c r="AN13" s="264"/>
      <c r="AO13" s="264"/>
      <c r="AP13" s="264"/>
      <c r="AQ13" s="264"/>
      <c r="AR13" s="264"/>
      <c r="AS13" s="264"/>
    </row>
    <row r="14" spans="1:45" s="266" customFormat="1" ht="13.05" customHeight="1" x14ac:dyDescent="0.25">
      <c r="A14" s="267"/>
      <c r="B14" s="268"/>
      <c r="C14" s="269"/>
      <c r="D14" s="269"/>
      <c r="E14" s="281"/>
      <c r="F14" s="271"/>
      <c r="G14" s="271"/>
      <c r="H14" s="272"/>
      <c r="I14" s="271"/>
      <c r="J14" s="282"/>
      <c r="K14" s="259"/>
      <c r="L14" s="259"/>
      <c r="M14" s="273" t="s">
        <v>99</v>
      </c>
      <c r="N14" s="283"/>
      <c r="O14" s="275"/>
      <c r="P14" s="284"/>
      <c r="Q14" s="262"/>
      <c r="R14" s="263"/>
      <c r="S14" s="264"/>
      <c r="T14" s="264"/>
      <c r="U14" s="276" t="str">
        <f>[11]Birók!P28</f>
        <v xml:space="preserve"> </v>
      </c>
      <c r="V14" s="264"/>
      <c r="W14" s="264"/>
      <c r="X14" s="264"/>
      <c r="Y14" s="221"/>
      <c r="Z14" s="221"/>
      <c r="AA14" s="221" t="s">
        <v>76</v>
      </c>
      <c r="AB14" s="222">
        <v>3</v>
      </c>
      <c r="AC14" s="222">
        <v>2</v>
      </c>
      <c r="AD14" s="222">
        <v>1</v>
      </c>
      <c r="AE14" s="222">
        <v>0</v>
      </c>
      <c r="AF14" s="222">
        <v>0</v>
      </c>
      <c r="AG14" s="222">
        <v>0</v>
      </c>
      <c r="AH14" s="222">
        <v>0</v>
      </c>
      <c r="AI14" s="219"/>
      <c r="AJ14" s="219"/>
      <c r="AK14" s="219"/>
      <c r="AL14" s="264"/>
      <c r="AM14" s="264"/>
      <c r="AN14" s="264"/>
      <c r="AO14" s="264"/>
      <c r="AP14" s="264"/>
      <c r="AQ14" s="264"/>
      <c r="AR14" s="264"/>
      <c r="AS14" s="264"/>
    </row>
    <row r="15" spans="1:45" s="266" customFormat="1" ht="13.05" customHeight="1" x14ac:dyDescent="0.3">
      <c r="A15" s="291">
        <v>5</v>
      </c>
      <c r="B15" s="254" t="str">
        <f>IF($E15="","",VLOOKUP($E15,'[11]1MD ELO'!$A$7:$O$22,14))</f>
        <v/>
      </c>
      <c r="C15" s="255" t="str">
        <f>IF($E15="","",VLOOKUP($E15,'[11]1MD ELO'!$A$7:$O$22,15))</f>
        <v/>
      </c>
      <c r="D15" s="255" t="str">
        <f>IF($E15="","",VLOOKUP($E15,'[11]1MD ELO'!$A$7:$O$22,5))</f>
        <v/>
      </c>
      <c r="E15" s="277"/>
      <c r="F15" s="278" t="s">
        <v>439</v>
      </c>
      <c r="G15" s="278"/>
      <c r="H15" s="562" t="s">
        <v>123</v>
      </c>
      <c r="I15" s="278" t="str">
        <f>IF($E15="","",VLOOKUP($E15,'[11]1MD ELO'!$A$7:$O$22,4))</f>
        <v/>
      </c>
      <c r="J15" s="292"/>
      <c r="K15" s="259"/>
      <c r="L15" s="259"/>
      <c r="M15" s="259"/>
      <c r="N15" s="288"/>
      <c r="O15" s="287"/>
      <c r="P15" s="285"/>
      <c r="Q15" s="262"/>
      <c r="R15" s="263"/>
      <c r="S15" s="264"/>
      <c r="T15" s="264"/>
      <c r="U15" s="276" t="str">
        <f>[11]Birók!P29</f>
        <v xml:space="preserve"> </v>
      </c>
      <c r="V15" s="264"/>
      <c r="W15" s="264"/>
      <c r="X15" s="264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19"/>
      <c r="AJ15" s="219"/>
      <c r="AK15" s="219"/>
      <c r="AL15" s="264"/>
      <c r="AM15" s="264"/>
      <c r="AN15" s="264"/>
      <c r="AO15" s="264"/>
      <c r="AP15" s="264"/>
      <c r="AQ15" s="264"/>
      <c r="AR15" s="264"/>
      <c r="AS15" s="264"/>
    </row>
    <row r="16" spans="1:45" s="266" customFormat="1" ht="13.05" customHeight="1" thickBot="1" x14ac:dyDescent="0.3">
      <c r="A16" s="267"/>
      <c r="B16" s="268"/>
      <c r="C16" s="269"/>
      <c r="D16" s="269"/>
      <c r="E16" s="281"/>
      <c r="F16" s="271"/>
      <c r="G16" s="271"/>
      <c r="H16" s="272"/>
      <c r="I16" s="273" t="s">
        <v>99</v>
      </c>
      <c r="J16" s="274"/>
      <c r="K16" s="275" t="str">
        <f>UPPER(IF(OR(J16="a",J16="as"),F15,IF(OR(J16="b",J16="bs"),F17,)))</f>
        <v/>
      </c>
      <c r="L16" s="275"/>
      <c r="M16" s="259"/>
      <c r="N16" s="288"/>
      <c r="O16" s="273"/>
      <c r="P16" s="285"/>
      <c r="Q16" s="262"/>
      <c r="R16" s="263"/>
      <c r="S16" s="264"/>
      <c r="T16" s="264"/>
      <c r="U16" s="293" t="str">
        <f>[11]Birók!P30</f>
        <v>Egyik sem</v>
      </c>
      <c r="V16" s="264"/>
      <c r="W16" s="264"/>
      <c r="X16" s="264"/>
      <c r="Y16" s="221"/>
      <c r="Z16" s="221"/>
      <c r="AA16" s="221" t="s">
        <v>43</v>
      </c>
      <c r="AB16" s="222">
        <v>150</v>
      </c>
      <c r="AC16" s="222">
        <v>120</v>
      </c>
      <c r="AD16" s="222">
        <v>90</v>
      </c>
      <c r="AE16" s="222">
        <v>60</v>
      </c>
      <c r="AF16" s="222">
        <v>40</v>
      </c>
      <c r="AG16" s="222">
        <v>25</v>
      </c>
      <c r="AH16" s="222">
        <v>15</v>
      </c>
      <c r="AI16" s="219"/>
      <c r="AJ16" s="219"/>
      <c r="AK16" s="219"/>
      <c r="AL16" s="264"/>
      <c r="AM16" s="264"/>
      <c r="AN16" s="264"/>
      <c r="AO16" s="264"/>
      <c r="AP16" s="264"/>
      <c r="AQ16" s="264"/>
      <c r="AR16" s="264"/>
      <c r="AS16" s="264"/>
    </row>
    <row r="17" spans="1:45" s="266" customFormat="1" ht="13.05" customHeight="1" x14ac:dyDescent="0.25">
      <c r="A17" s="267">
        <v>6</v>
      </c>
      <c r="B17" s="254" t="str">
        <f>IF($E17="","",VLOOKUP($E17,'[11]1MD ELO'!$A$7:$O$22,14))</f>
        <v/>
      </c>
      <c r="C17" s="255" t="str">
        <f>IF($E17="","",VLOOKUP($E17,'[11]1MD ELO'!$A$7:$O$22,15))</f>
        <v/>
      </c>
      <c r="D17" s="255" t="str">
        <f>IF($E17="","",VLOOKUP($E17,'[11]1MD ELO'!$A$7:$O$22,5))</f>
        <v/>
      </c>
      <c r="E17" s="277"/>
      <c r="F17" s="278" t="s">
        <v>218</v>
      </c>
      <c r="G17" s="278"/>
      <c r="H17" s="287" t="s">
        <v>440</v>
      </c>
      <c r="I17" s="278" t="str">
        <f>IF($E17="","",VLOOKUP($E17,'[11]1MD ELO'!$A$7:$O$22,4))</f>
        <v/>
      </c>
      <c r="J17" s="279"/>
      <c r="K17" s="259"/>
      <c r="L17" s="280"/>
      <c r="M17" s="259"/>
      <c r="N17" s="288"/>
      <c r="O17" s="285"/>
      <c r="P17" s="285"/>
      <c r="Q17" s="262"/>
      <c r="R17" s="263"/>
      <c r="S17" s="264"/>
      <c r="T17" s="264"/>
      <c r="U17" s="264"/>
      <c r="V17" s="264"/>
      <c r="W17" s="264"/>
      <c r="X17" s="264"/>
      <c r="Y17" s="221"/>
      <c r="Z17" s="221"/>
      <c r="AA17" s="221" t="s">
        <v>67</v>
      </c>
      <c r="AB17" s="222">
        <v>120</v>
      </c>
      <c r="AC17" s="222">
        <v>90</v>
      </c>
      <c r="AD17" s="222">
        <v>60</v>
      </c>
      <c r="AE17" s="222">
        <v>40</v>
      </c>
      <c r="AF17" s="222">
        <v>25</v>
      </c>
      <c r="AG17" s="222">
        <v>15</v>
      </c>
      <c r="AH17" s="222">
        <v>8</v>
      </c>
      <c r="AI17" s="219"/>
      <c r="AJ17" s="219"/>
      <c r="AK17" s="219"/>
      <c r="AL17" s="264"/>
      <c r="AM17" s="264"/>
      <c r="AN17" s="264"/>
      <c r="AO17" s="264"/>
      <c r="AP17" s="264"/>
      <c r="AQ17" s="264"/>
      <c r="AR17" s="264"/>
      <c r="AS17" s="264"/>
    </row>
    <row r="18" spans="1:45" s="266" customFormat="1" ht="13.05" customHeight="1" x14ac:dyDescent="0.25">
      <c r="A18" s="267"/>
      <c r="B18" s="268"/>
      <c r="C18" s="269"/>
      <c r="D18" s="269"/>
      <c r="E18" s="281"/>
      <c r="F18" s="271"/>
      <c r="G18" s="271"/>
      <c r="H18" s="272"/>
      <c r="I18" s="271"/>
      <c r="J18" s="282"/>
      <c r="K18" s="273" t="s">
        <v>99</v>
      </c>
      <c r="L18" s="283"/>
      <c r="M18" s="275"/>
      <c r="N18" s="294"/>
      <c r="O18" s="285"/>
      <c r="P18" s="285"/>
      <c r="Q18" s="262"/>
      <c r="R18" s="263"/>
      <c r="S18" s="264"/>
      <c r="T18" s="264"/>
      <c r="U18" s="264"/>
      <c r="V18" s="264"/>
      <c r="W18" s="264"/>
      <c r="X18" s="264"/>
      <c r="Y18" s="221"/>
      <c r="Z18" s="221"/>
      <c r="AA18" s="221" t="s">
        <v>68</v>
      </c>
      <c r="AB18" s="222">
        <v>90</v>
      </c>
      <c r="AC18" s="222">
        <v>60</v>
      </c>
      <c r="AD18" s="222">
        <v>40</v>
      </c>
      <c r="AE18" s="222">
        <v>25</v>
      </c>
      <c r="AF18" s="222">
        <v>15</v>
      </c>
      <c r="AG18" s="222">
        <v>8</v>
      </c>
      <c r="AH18" s="222">
        <v>4</v>
      </c>
      <c r="AI18" s="219"/>
      <c r="AJ18" s="219"/>
      <c r="AK18" s="219"/>
      <c r="AL18" s="264"/>
      <c r="AM18" s="264"/>
      <c r="AN18" s="264"/>
      <c r="AO18" s="264"/>
      <c r="AP18" s="264"/>
      <c r="AQ18" s="264"/>
      <c r="AR18" s="264"/>
      <c r="AS18" s="264"/>
    </row>
    <row r="19" spans="1:45" s="266" customFormat="1" ht="13.05" customHeight="1" x14ac:dyDescent="0.25">
      <c r="A19" s="267">
        <v>7</v>
      </c>
      <c r="B19" s="254" t="str">
        <f>IF($E19="","",VLOOKUP($E19,'[11]1MD ELO'!$A$7:$O$22,14))</f>
        <v/>
      </c>
      <c r="C19" s="255" t="str">
        <f>IF($E19="","",VLOOKUP($E19,'[11]1MD ELO'!$A$7:$O$22,15))</f>
        <v/>
      </c>
      <c r="D19" s="255" t="str">
        <f>IF($E19="","",VLOOKUP($E19,'[11]1MD ELO'!$A$7:$O$22,5))</f>
        <v/>
      </c>
      <c r="E19" s="277"/>
      <c r="F19" s="278" t="s">
        <v>435</v>
      </c>
      <c r="G19" s="278"/>
      <c r="H19" s="287" t="s">
        <v>92</v>
      </c>
      <c r="I19" s="278" t="str">
        <f>IF($E19="","",VLOOKUP($E19,'[11]1MD ELO'!$A$7:$O$22,4))</f>
        <v/>
      </c>
      <c r="J19" s="258"/>
      <c r="K19" s="259"/>
      <c r="L19" s="286"/>
      <c r="M19" s="287"/>
      <c r="N19" s="285"/>
      <c r="O19" s="285"/>
      <c r="P19" s="285"/>
      <c r="Q19" s="262"/>
      <c r="R19" s="263"/>
      <c r="S19" s="264"/>
      <c r="T19" s="264"/>
      <c r="U19" s="264"/>
      <c r="V19" s="264"/>
      <c r="W19" s="264"/>
      <c r="X19" s="264"/>
      <c r="Y19" s="221"/>
      <c r="Z19" s="221"/>
      <c r="AA19" s="221" t="s">
        <v>69</v>
      </c>
      <c r="AB19" s="222">
        <v>60</v>
      </c>
      <c r="AC19" s="222">
        <v>40</v>
      </c>
      <c r="AD19" s="222">
        <v>25</v>
      </c>
      <c r="AE19" s="222">
        <v>15</v>
      </c>
      <c r="AF19" s="222">
        <v>8</v>
      </c>
      <c r="AG19" s="222">
        <v>4</v>
      </c>
      <c r="AH19" s="222">
        <v>2</v>
      </c>
      <c r="AI19" s="219"/>
      <c r="AJ19" s="219"/>
      <c r="AK19" s="219"/>
      <c r="AL19" s="264"/>
      <c r="AM19" s="264"/>
      <c r="AN19" s="264"/>
      <c r="AO19" s="264"/>
      <c r="AP19" s="264"/>
      <c r="AQ19" s="264"/>
      <c r="AR19" s="264"/>
      <c r="AS19" s="264"/>
    </row>
    <row r="20" spans="1:45" s="266" customFormat="1" ht="13.05" customHeight="1" x14ac:dyDescent="0.25">
      <c r="A20" s="267"/>
      <c r="B20" s="268"/>
      <c r="C20" s="269"/>
      <c r="D20" s="269"/>
      <c r="E20" s="270"/>
      <c r="F20" s="271"/>
      <c r="G20" s="271"/>
      <c r="H20" s="272"/>
      <c r="I20" s="273" t="s">
        <v>99</v>
      </c>
      <c r="J20" s="274"/>
      <c r="K20" s="275" t="str">
        <f>UPPER(IF(OR(J20="a",J20="as"),F19,IF(OR(J20="b",J20="bs"),F21,)))</f>
        <v/>
      </c>
      <c r="L20" s="289"/>
      <c r="M20" s="259"/>
      <c r="N20" s="285"/>
      <c r="O20" s="285"/>
      <c r="P20" s="285"/>
      <c r="Q20" s="262"/>
      <c r="R20" s="263"/>
      <c r="S20" s="264"/>
      <c r="T20" s="264"/>
      <c r="U20" s="264"/>
      <c r="V20" s="264"/>
      <c r="W20" s="264"/>
      <c r="X20" s="264"/>
      <c r="Y20" s="221"/>
      <c r="Z20" s="221"/>
      <c r="AA20" s="221" t="s">
        <v>70</v>
      </c>
      <c r="AB20" s="222">
        <v>40</v>
      </c>
      <c r="AC20" s="222">
        <v>25</v>
      </c>
      <c r="AD20" s="222">
        <v>15</v>
      </c>
      <c r="AE20" s="222">
        <v>8</v>
      </c>
      <c r="AF20" s="222">
        <v>4</v>
      </c>
      <c r="AG20" s="222">
        <v>2</v>
      </c>
      <c r="AH20" s="222">
        <v>1</v>
      </c>
      <c r="AI20" s="219"/>
      <c r="AJ20" s="219"/>
      <c r="AK20" s="219"/>
      <c r="AL20" s="264"/>
      <c r="AM20" s="264"/>
      <c r="AN20" s="264"/>
      <c r="AO20" s="264"/>
      <c r="AP20" s="264"/>
      <c r="AQ20" s="264"/>
      <c r="AR20" s="264"/>
      <c r="AS20" s="264"/>
    </row>
    <row r="21" spans="1:45" s="266" customFormat="1" ht="13.05" customHeight="1" x14ac:dyDescent="0.25">
      <c r="A21" s="295">
        <v>8</v>
      </c>
      <c r="B21" s="254" t="str">
        <f>IF($E21="","",VLOOKUP($E21,'[11]1MD ELO'!$A$7:$O$22,14))</f>
        <v/>
      </c>
      <c r="C21" s="255" t="str">
        <f>IF($E21="","",VLOOKUP($E21,'[11]1MD ELO'!$A$7:$O$22,15))</f>
        <v/>
      </c>
      <c r="D21" s="255" t="str">
        <f>IF($E21="","",VLOOKUP($E21,'[11]1MD ELO'!$A$7:$O$22,5))</f>
        <v/>
      </c>
      <c r="E21" s="256"/>
      <c r="F21" s="296" t="s">
        <v>431</v>
      </c>
      <c r="G21" s="296"/>
      <c r="H21" s="287" t="s">
        <v>428</v>
      </c>
      <c r="I21" s="296" t="str">
        <f>IF($E21="","",VLOOKUP($E21,'[11]1MD ELO'!$A$7:$O$22,4))</f>
        <v/>
      </c>
      <c r="J21" s="290"/>
      <c r="K21" s="259"/>
      <c r="L21" s="259"/>
      <c r="M21" s="259"/>
      <c r="N21" s="285"/>
      <c r="O21" s="285"/>
      <c r="P21" s="285"/>
      <c r="Q21" s="262"/>
      <c r="R21" s="263"/>
      <c r="S21" s="264"/>
      <c r="T21" s="264"/>
      <c r="U21" s="264"/>
      <c r="V21" s="264"/>
      <c r="W21" s="264"/>
      <c r="X21" s="264"/>
      <c r="Y21" s="221"/>
      <c r="Z21" s="221"/>
      <c r="AA21" s="221" t="s">
        <v>71</v>
      </c>
      <c r="AB21" s="222">
        <v>25</v>
      </c>
      <c r="AC21" s="222">
        <v>15</v>
      </c>
      <c r="AD21" s="222">
        <v>10</v>
      </c>
      <c r="AE21" s="222">
        <v>6</v>
      </c>
      <c r="AF21" s="222">
        <v>3</v>
      </c>
      <c r="AG21" s="222">
        <v>1</v>
      </c>
      <c r="AH21" s="222">
        <v>0</v>
      </c>
      <c r="AI21" s="219"/>
      <c r="AJ21" s="219"/>
      <c r="AK21" s="219"/>
      <c r="AL21" s="264"/>
      <c r="AM21" s="264"/>
      <c r="AN21" s="264"/>
      <c r="AO21" s="264"/>
      <c r="AP21" s="264"/>
      <c r="AQ21" s="264"/>
      <c r="AR21" s="264"/>
      <c r="AS21" s="264"/>
    </row>
    <row r="22" spans="1:45" s="266" customFormat="1" ht="9.4499999999999993" customHeight="1" x14ac:dyDescent="0.25">
      <c r="A22" s="297"/>
      <c r="B22" s="260"/>
      <c r="C22" s="260"/>
      <c r="D22" s="260"/>
      <c r="E22" s="270"/>
      <c r="F22" s="260"/>
      <c r="G22" s="260"/>
      <c r="H22" s="260"/>
      <c r="I22" s="260"/>
      <c r="J22" s="270"/>
      <c r="K22" s="260"/>
      <c r="L22" s="260"/>
      <c r="M22" s="260"/>
      <c r="N22" s="262"/>
      <c r="O22" s="262"/>
      <c r="P22" s="262"/>
      <c r="Q22" s="262"/>
      <c r="R22" s="263"/>
      <c r="S22" s="264"/>
      <c r="T22" s="264"/>
      <c r="U22" s="264"/>
      <c r="V22" s="264"/>
      <c r="W22" s="264"/>
      <c r="X22" s="264"/>
      <c r="Y22" s="221"/>
      <c r="Z22" s="221"/>
      <c r="AA22" s="221" t="s">
        <v>72</v>
      </c>
      <c r="AB22" s="222">
        <v>15</v>
      </c>
      <c r="AC22" s="222">
        <v>10</v>
      </c>
      <c r="AD22" s="222">
        <v>6</v>
      </c>
      <c r="AE22" s="222">
        <v>3</v>
      </c>
      <c r="AF22" s="222">
        <v>1</v>
      </c>
      <c r="AG22" s="222">
        <v>0</v>
      </c>
      <c r="AH22" s="222">
        <v>0</v>
      </c>
      <c r="AI22" s="219"/>
      <c r="AJ22" s="219"/>
      <c r="AK22" s="219"/>
      <c r="AL22" s="264"/>
      <c r="AM22" s="264"/>
      <c r="AN22" s="264"/>
      <c r="AO22" s="264"/>
      <c r="AP22" s="264"/>
      <c r="AQ22" s="264"/>
      <c r="AR22" s="264"/>
      <c r="AS22" s="264"/>
    </row>
    <row r="23" spans="1:45" s="266" customFormat="1" ht="9.4499999999999993" customHeight="1" x14ac:dyDescent="0.25">
      <c r="A23" s="298"/>
      <c r="B23" s="270"/>
      <c r="C23" s="270"/>
      <c r="D23" s="270"/>
      <c r="E23" s="270"/>
      <c r="F23" s="260"/>
      <c r="G23" s="260"/>
      <c r="H23" s="264"/>
      <c r="I23" s="299"/>
      <c r="J23" s="270"/>
      <c r="K23" s="260"/>
      <c r="L23" s="260"/>
      <c r="M23" s="260"/>
      <c r="N23" s="262"/>
      <c r="O23" s="262"/>
      <c r="P23" s="262"/>
      <c r="Q23" s="262"/>
      <c r="R23" s="263"/>
      <c r="S23" s="264"/>
      <c r="T23" s="264"/>
      <c r="U23" s="264"/>
      <c r="V23" s="264"/>
      <c r="W23" s="264"/>
      <c r="X23" s="264"/>
      <c r="Y23" s="221"/>
      <c r="Z23" s="221"/>
      <c r="AA23" s="221" t="s">
        <v>73</v>
      </c>
      <c r="AB23" s="222">
        <v>10</v>
      </c>
      <c r="AC23" s="222">
        <v>6</v>
      </c>
      <c r="AD23" s="222">
        <v>3</v>
      </c>
      <c r="AE23" s="222">
        <v>1</v>
      </c>
      <c r="AF23" s="222">
        <v>0</v>
      </c>
      <c r="AG23" s="222">
        <v>0</v>
      </c>
      <c r="AH23" s="222">
        <v>0</v>
      </c>
      <c r="AI23" s="219"/>
      <c r="AJ23" s="219"/>
      <c r="AK23" s="219"/>
      <c r="AL23" s="264"/>
      <c r="AM23" s="264"/>
      <c r="AN23" s="264"/>
      <c r="AO23" s="264"/>
      <c r="AP23" s="264"/>
      <c r="AQ23" s="264"/>
      <c r="AR23" s="264"/>
      <c r="AS23" s="264"/>
    </row>
    <row r="24" spans="1:45" s="266" customFormat="1" ht="9.4499999999999993" customHeight="1" x14ac:dyDescent="0.25">
      <c r="A24" s="298"/>
      <c r="B24" s="260"/>
      <c r="C24" s="260"/>
      <c r="D24" s="260"/>
      <c r="E24" s="270"/>
      <c r="F24" s="260"/>
      <c r="G24" s="260"/>
      <c r="H24" s="260"/>
      <c r="I24" s="260"/>
      <c r="J24" s="270"/>
      <c r="K24" s="260"/>
      <c r="L24" s="300"/>
      <c r="M24" s="260"/>
      <c r="N24" s="262"/>
      <c r="O24" s="262"/>
      <c r="P24" s="262"/>
      <c r="Q24" s="262"/>
      <c r="R24" s="263"/>
      <c r="S24" s="264"/>
      <c r="T24" s="264"/>
      <c r="U24" s="264"/>
      <c r="V24" s="264"/>
      <c r="W24" s="264"/>
      <c r="X24" s="264"/>
      <c r="Y24" s="221"/>
      <c r="Z24" s="221"/>
      <c r="AA24" s="221" t="s">
        <v>74</v>
      </c>
      <c r="AB24" s="222">
        <v>6</v>
      </c>
      <c r="AC24" s="222">
        <v>3</v>
      </c>
      <c r="AD24" s="222">
        <v>1</v>
      </c>
      <c r="AE24" s="222">
        <v>0</v>
      </c>
      <c r="AF24" s="222">
        <v>0</v>
      </c>
      <c r="AG24" s="222">
        <v>0</v>
      </c>
      <c r="AH24" s="222">
        <v>0</v>
      </c>
      <c r="AI24" s="219"/>
      <c r="AJ24" s="219"/>
      <c r="AK24" s="219"/>
      <c r="AL24" s="264"/>
      <c r="AM24" s="264"/>
      <c r="AN24" s="264"/>
      <c r="AO24" s="264"/>
      <c r="AP24" s="264"/>
      <c r="AQ24" s="264"/>
      <c r="AR24" s="264"/>
      <c r="AS24" s="264"/>
    </row>
    <row r="25" spans="1:45" s="266" customFormat="1" ht="9.4499999999999993" customHeight="1" x14ac:dyDescent="0.25">
      <c r="A25" s="298"/>
      <c r="B25" s="270"/>
      <c r="C25" s="270"/>
      <c r="D25" s="270"/>
      <c r="E25" s="270"/>
      <c r="F25" s="260"/>
      <c r="G25" s="260"/>
      <c r="H25" s="264"/>
      <c r="I25" s="260"/>
      <c r="J25" s="270"/>
      <c r="K25" s="299"/>
      <c r="L25" s="270"/>
      <c r="M25" s="260"/>
      <c r="N25" s="262"/>
      <c r="O25" s="262"/>
      <c r="P25" s="262"/>
      <c r="Q25" s="262"/>
      <c r="R25" s="263"/>
      <c r="S25" s="264"/>
      <c r="T25" s="264"/>
      <c r="U25" s="264"/>
      <c r="V25" s="264"/>
      <c r="W25" s="264"/>
      <c r="X25" s="264"/>
      <c r="Y25" s="221"/>
      <c r="Z25" s="221"/>
      <c r="AA25" s="221" t="s">
        <v>79</v>
      </c>
      <c r="AB25" s="222">
        <v>3</v>
      </c>
      <c r="AC25" s="222">
        <v>2</v>
      </c>
      <c r="AD25" s="222">
        <v>1</v>
      </c>
      <c r="AE25" s="222">
        <v>0</v>
      </c>
      <c r="AF25" s="222">
        <v>0</v>
      </c>
      <c r="AG25" s="222">
        <v>0</v>
      </c>
      <c r="AH25" s="222">
        <v>0</v>
      </c>
      <c r="AI25" s="219"/>
      <c r="AJ25" s="219"/>
      <c r="AK25" s="219"/>
      <c r="AL25" s="264"/>
      <c r="AM25" s="264"/>
      <c r="AN25" s="264"/>
      <c r="AO25" s="264"/>
      <c r="AP25" s="264"/>
      <c r="AQ25" s="264"/>
      <c r="AR25" s="264"/>
      <c r="AS25" s="264"/>
    </row>
    <row r="26" spans="1:45" s="266" customFormat="1" ht="9.4499999999999993" customHeight="1" x14ac:dyDescent="0.25">
      <c r="A26" s="298"/>
      <c r="B26" s="260"/>
      <c r="C26" s="260"/>
      <c r="D26" s="260"/>
      <c r="E26" s="270"/>
      <c r="F26" s="260"/>
      <c r="G26" s="260"/>
      <c r="H26" s="260"/>
      <c r="I26" s="260"/>
      <c r="J26" s="270"/>
      <c r="K26" s="260"/>
      <c r="L26" s="260"/>
      <c r="M26" s="260"/>
      <c r="N26" s="262"/>
      <c r="O26" s="262"/>
      <c r="P26" s="262"/>
      <c r="Q26" s="262"/>
      <c r="R26" s="263"/>
      <c r="S26" s="301"/>
      <c r="T26" s="264"/>
      <c r="U26" s="264"/>
      <c r="V26" s="264"/>
      <c r="W26" s="264"/>
      <c r="X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19"/>
      <c r="AJ26" s="219"/>
      <c r="AK26" s="219"/>
      <c r="AL26" s="264"/>
      <c r="AM26" s="264"/>
      <c r="AN26" s="264"/>
      <c r="AO26" s="264"/>
      <c r="AP26" s="264"/>
      <c r="AQ26" s="264"/>
      <c r="AR26" s="264"/>
      <c r="AS26" s="264"/>
    </row>
    <row r="27" spans="1:45" s="266" customFormat="1" ht="9.4499999999999993" customHeight="1" x14ac:dyDescent="0.25">
      <c r="A27" s="298"/>
      <c r="B27" s="270"/>
      <c r="C27" s="270"/>
      <c r="D27" s="270"/>
      <c r="E27" s="270"/>
      <c r="F27" s="260"/>
      <c r="G27" s="260"/>
      <c r="H27" s="264"/>
      <c r="I27" s="299"/>
      <c r="J27" s="270"/>
      <c r="K27" s="260"/>
      <c r="L27" s="260"/>
      <c r="M27" s="260"/>
      <c r="N27" s="262"/>
      <c r="O27" s="262"/>
      <c r="P27" s="262"/>
      <c r="Q27" s="262"/>
      <c r="R27" s="263"/>
      <c r="S27" s="264"/>
      <c r="T27" s="264"/>
      <c r="U27" s="264"/>
      <c r="V27" s="264"/>
      <c r="W27" s="264"/>
      <c r="X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19"/>
      <c r="AJ27" s="219"/>
      <c r="AK27" s="219"/>
      <c r="AL27" s="264"/>
      <c r="AM27" s="264"/>
      <c r="AN27" s="264"/>
      <c r="AO27" s="264"/>
      <c r="AP27" s="264"/>
      <c r="AQ27" s="264"/>
      <c r="AR27" s="264"/>
      <c r="AS27" s="264"/>
    </row>
    <row r="28" spans="1:45" s="266" customFormat="1" ht="9.4499999999999993" customHeight="1" x14ac:dyDescent="0.25">
      <c r="A28" s="298"/>
      <c r="B28" s="260"/>
      <c r="C28" s="260"/>
      <c r="D28" s="260"/>
      <c r="E28" s="270"/>
      <c r="F28" s="260"/>
      <c r="G28" s="260"/>
      <c r="H28" s="260"/>
      <c r="I28" s="260"/>
      <c r="J28" s="270"/>
      <c r="K28" s="260"/>
      <c r="L28" s="260"/>
      <c r="M28" s="260"/>
      <c r="N28" s="262"/>
      <c r="O28" s="262"/>
      <c r="P28" s="262"/>
      <c r="Q28" s="262"/>
      <c r="R28" s="263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</row>
    <row r="29" spans="1:45" s="266" customFormat="1" ht="9.4499999999999993" customHeight="1" x14ac:dyDescent="0.25">
      <c r="A29" s="298"/>
      <c r="B29" s="270"/>
      <c r="C29" s="270"/>
      <c r="D29" s="270"/>
      <c r="E29" s="270"/>
      <c r="F29" s="260"/>
      <c r="G29" s="260"/>
      <c r="H29" s="264"/>
      <c r="I29" s="260"/>
      <c r="J29" s="270"/>
      <c r="K29" s="260"/>
      <c r="L29" s="260"/>
      <c r="M29" s="299"/>
      <c r="N29" s="270"/>
      <c r="O29" s="260"/>
      <c r="P29" s="262"/>
      <c r="Q29" s="262"/>
      <c r="R29" s="263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</row>
    <row r="30" spans="1:45" s="266" customFormat="1" ht="9.4499999999999993" customHeight="1" x14ac:dyDescent="0.25">
      <c r="A30" s="298"/>
      <c r="B30" s="260"/>
      <c r="C30" s="260"/>
      <c r="D30" s="260"/>
      <c r="E30" s="270"/>
      <c r="F30" s="260"/>
      <c r="G30" s="260"/>
      <c r="H30" s="260"/>
      <c r="I30" s="260"/>
      <c r="J30" s="270"/>
      <c r="K30" s="260"/>
      <c r="L30" s="260"/>
      <c r="M30" s="260"/>
      <c r="N30" s="262"/>
      <c r="O30" s="260"/>
      <c r="P30" s="262"/>
      <c r="Q30" s="262"/>
      <c r="R30" s="263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</row>
    <row r="31" spans="1:45" s="266" customFormat="1" ht="9.4499999999999993" customHeight="1" x14ac:dyDescent="0.25">
      <c r="A31" s="298"/>
      <c r="B31" s="270"/>
      <c r="C31" s="270"/>
      <c r="D31" s="270"/>
      <c r="E31" s="270"/>
      <c r="F31" s="260"/>
      <c r="G31" s="260"/>
      <c r="H31" s="264"/>
      <c r="I31" s="299"/>
      <c r="J31" s="270"/>
      <c r="K31" s="260"/>
      <c r="L31" s="260"/>
      <c r="M31" s="260"/>
      <c r="N31" s="262"/>
      <c r="O31" s="262"/>
      <c r="P31" s="262"/>
      <c r="Q31" s="262"/>
      <c r="R31" s="263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</row>
    <row r="32" spans="1:45" s="266" customFormat="1" ht="9.4499999999999993" customHeight="1" x14ac:dyDescent="0.25">
      <c r="A32" s="298"/>
      <c r="B32" s="260"/>
      <c r="C32" s="260"/>
      <c r="D32" s="260"/>
      <c r="E32" s="270"/>
      <c r="F32" s="260"/>
      <c r="G32" s="260"/>
      <c r="H32" s="260"/>
      <c r="I32" s="260"/>
      <c r="J32" s="270"/>
      <c r="K32" s="260"/>
      <c r="L32" s="300"/>
      <c r="M32" s="260"/>
      <c r="N32" s="262"/>
      <c r="O32" s="262"/>
      <c r="P32" s="262"/>
      <c r="Q32" s="262"/>
      <c r="R32" s="263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</row>
    <row r="33" spans="1:45" s="266" customFormat="1" ht="9.4499999999999993" customHeight="1" x14ac:dyDescent="0.25">
      <c r="A33" s="298"/>
      <c r="B33" s="270"/>
      <c r="C33" s="270"/>
      <c r="D33" s="270"/>
      <c r="E33" s="270"/>
      <c r="F33" s="260"/>
      <c r="G33" s="260"/>
      <c r="H33" s="264"/>
      <c r="I33" s="260"/>
      <c r="J33" s="270"/>
      <c r="K33" s="299"/>
      <c r="L33" s="270"/>
      <c r="M33" s="260"/>
      <c r="N33" s="262"/>
      <c r="O33" s="262"/>
      <c r="P33" s="262"/>
      <c r="Q33" s="262"/>
      <c r="R33" s="26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</row>
    <row r="34" spans="1:45" s="266" customFormat="1" ht="9.4499999999999993" customHeight="1" x14ac:dyDescent="0.25">
      <c r="A34" s="298"/>
      <c r="B34" s="260"/>
      <c r="C34" s="260"/>
      <c r="D34" s="260"/>
      <c r="E34" s="270"/>
      <c r="F34" s="260"/>
      <c r="G34" s="260"/>
      <c r="H34" s="260"/>
      <c r="I34" s="260"/>
      <c r="J34" s="270"/>
      <c r="K34" s="260"/>
      <c r="L34" s="260"/>
      <c r="M34" s="260"/>
      <c r="N34" s="262"/>
      <c r="O34" s="262"/>
      <c r="P34" s="262"/>
      <c r="Q34" s="262"/>
      <c r="R34" s="263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</row>
    <row r="35" spans="1:45" s="266" customFormat="1" ht="9.4499999999999993" customHeight="1" x14ac:dyDescent="0.25">
      <c r="A35" s="298"/>
      <c r="B35" s="270"/>
      <c r="C35" s="270"/>
      <c r="D35" s="270"/>
      <c r="E35" s="270"/>
      <c r="F35" s="260"/>
      <c r="G35" s="260"/>
      <c r="H35" s="264"/>
      <c r="I35" s="299"/>
      <c r="J35" s="270"/>
      <c r="K35" s="260"/>
      <c r="L35" s="260"/>
      <c r="M35" s="260"/>
      <c r="N35" s="262"/>
      <c r="O35" s="262"/>
      <c r="P35" s="262"/>
      <c r="Q35" s="262"/>
      <c r="R35" s="263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</row>
    <row r="36" spans="1:45" s="266" customFormat="1" ht="9.4499999999999993" customHeight="1" x14ac:dyDescent="0.25">
      <c r="A36" s="297"/>
      <c r="B36" s="260"/>
      <c r="C36" s="260"/>
      <c r="D36" s="260"/>
      <c r="E36" s="270"/>
      <c r="F36" s="260"/>
      <c r="G36" s="260"/>
      <c r="H36" s="260"/>
      <c r="I36" s="260"/>
      <c r="J36" s="270"/>
      <c r="K36" s="260"/>
      <c r="L36" s="260"/>
      <c r="M36" s="260"/>
      <c r="N36" s="260"/>
      <c r="O36" s="260"/>
      <c r="P36" s="260"/>
      <c r="Q36" s="262"/>
      <c r="R36" s="263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</row>
    <row r="37" spans="1:45" s="266" customFormat="1" ht="9.4499999999999993" customHeight="1" x14ac:dyDescent="0.25">
      <c r="A37" s="298"/>
      <c r="B37" s="270"/>
      <c r="C37" s="270"/>
      <c r="D37" s="270"/>
      <c r="E37" s="270"/>
      <c r="F37" s="302"/>
      <c r="G37" s="302"/>
      <c r="H37" s="303"/>
      <c r="I37" s="259"/>
      <c r="J37" s="282"/>
      <c r="K37" s="259"/>
      <c r="L37" s="259"/>
      <c r="M37" s="259"/>
      <c r="N37" s="285"/>
      <c r="O37" s="285"/>
      <c r="P37" s="285"/>
      <c r="Q37" s="262"/>
      <c r="R37" s="263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</row>
    <row r="38" spans="1:45" s="266" customFormat="1" ht="9.4499999999999993" customHeight="1" x14ac:dyDescent="0.25">
      <c r="A38" s="297"/>
      <c r="B38" s="260"/>
      <c r="C38" s="260"/>
      <c r="D38" s="260"/>
      <c r="E38" s="270"/>
      <c r="F38" s="260"/>
      <c r="G38" s="260"/>
      <c r="H38" s="260"/>
      <c r="I38" s="260"/>
      <c r="J38" s="270"/>
      <c r="K38" s="260"/>
      <c r="L38" s="260"/>
      <c r="M38" s="260"/>
      <c r="N38" s="262"/>
      <c r="O38" s="262"/>
      <c r="P38" s="262"/>
      <c r="Q38" s="262"/>
      <c r="R38" s="263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</row>
    <row r="39" spans="1:45" s="266" customFormat="1" ht="9.4499999999999993" customHeight="1" x14ac:dyDescent="0.25">
      <c r="A39" s="298"/>
      <c r="B39" s="270"/>
      <c r="C39" s="270"/>
      <c r="D39" s="270"/>
      <c r="E39" s="270"/>
      <c r="F39" s="260"/>
      <c r="G39" s="260"/>
      <c r="H39" s="264"/>
      <c r="I39" s="299"/>
      <c r="J39" s="270"/>
      <c r="K39" s="260"/>
      <c r="L39" s="260"/>
      <c r="M39" s="260"/>
      <c r="N39" s="262"/>
      <c r="O39" s="262"/>
      <c r="P39" s="262"/>
      <c r="Q39" s="262"/>
      <c r="R39" s="263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</row>
    <row r="40" spans="1:45" s="266" customFormat="1" ht="9.4499999999999993" customHeight="1" x14ac:dyDescent="0.25">
      <c r="A40" s="298"/>
      <c r="B40" s="260"/>
      <c r="C40" s="260"/>
      <c r="D40" s="260"/>
      <c r="E40" s="270"/>
      <c r="F40" s="260"/>
      <c r="G40" s="260"/>
      <c r="H40" s="260"/>
      <c r="I40" s="260"/>
      <c r="J40" s="270"/>
      <c r="K40" s="260"/>
      <c r="L40" s="300"/>
      <c r="M40" s="260"/>
      <c r="N40" s="262"/>
      <c r="O40" s="262"/>
      <c r="P40" s="262"/>
      <c r="Q40" s="262"/>
      <c r="R40" s="263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</row>
    <row r="41" spans="1:45" s="266" customFormat="1" ht="9.4499999999999993" customHeight="1" x14ac:dyDescent="0.25">
      <c r="A41" s="298"/>
      <c r="B41" s="270"/>
      <c r="C41" s="270"/>
      <c r="D41" s="270"/>
      <c r="E41" s="270"/>
      <c r="F41" s="260"/>
      <c r="G41" s="260"/>
      <c r="H41" s="264"/>
      <c r="I41" s="260"/>
      <c r="J41" s="270"/>
      <c r="K41" s="299"/>
      <c r="L41" s="270"/>
      <c r="M41" s="260"/>
      <c r="N41" s="262"/>
      <c r="O41" s="262"/>
      <c r="P41" s="262"/>
      <c r="Q41" s="262"/>
      <c r="R41" s="263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</row>
    <row r="42" spans="1:45" s="266" customFormat="1" ht="9.4499999999999993" customHeight="1" x14ac:dyDescent="0.25">
      <c r="A42" s="298"/>
      <c r="B42" s="260"/>
      <c r="C42" s="260"/>
      <c r="D42" s="260"/>
      <c r="E42" s="270"/>
      <c r="F42" s="260"/>
      <c r="G42" s="260"/>
      <c r="H42" s="260"/>
      <c r="I42" s="260"/>
      <c r="J42" s="270"/>
      <c r="K42" s="260"/>
      <c r="L42" s="260"/>
      <c r="M42" s="260"/>
      <c r="N42" s="262"/>
      <c r="O42" s="262"/>
      <c r="P42" s="262"/>
      <c r="Q42" s="262"/>
      <c r="R42" s="263"/>
      <c r="S42" s="301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</row>
    <row r="43" spans="1:45" s="266" customFormat="1" ht="9.4499999999999993" customHeight="1" x14ac:dyDescent="0.25">
      <c r="A43" s="298"/>
      <c r="B43" s="270"/>
      <c r="C43" s="270"/>
      <c r="D43" s="270"/>
      <c r="E43" s="270"/>
      <c r="F43" s="260"/>
      <c r="G43" s="260"/>
      <c r="H43" s="264"/>
      <c r="I43" s="299"/>
      <c r="J43" s="270"/>
      <c r="K43" s="260"/>
      <c r="L43" s="260"/>
      <c r="M43" s="260"/>
      <c r="N43" s="262"/>
      <c r="O43" s="262"/>
      <c r="P43" s="262"/>
      <c r="Q43" s="262"/>
      <c r="R43" s="263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</row>
    <row r="44" spans="1:45" s="266" customFormat="1" ht="9.4499999999999993" customHeight="1" x14ac:dyDescent="0.25">
      <c r="A44" s="298"/>
      <c r="B44" s="260"/>
      <c r="C44" s="260"/>
      <c r="D44" s="260"/>
      <c r="E44" s="270"/>
      <c r="F44" s="260"/>
      <c r="G44" s="260"/>
      <c r="H44" s="260"/>
      <c r="I44" s="260"/>
      <c r="J44" s="270"/>
      <c r="K44" s="260"/>
      <c r="L44" s="260"/>
      <c r="M44" s="260"/>
      <c r="N44" s="262"/>
      <c r="O44" s="262"/>
      <c r="P44" s="262"/>
      <c r="Q44" s="262"/>
      <c r="R44" s="263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</row>
    <row r="45" spans="1:45" s="266" customFormat="1" ht="9.4499999999999993" customHeight="1" x14ac:dyDescent="0.25">
      <c r="A45" s="298"/>
      <c r="B45" s="270"/>
      <c r="C45" s="270"/>
      <c r="D45" s="270"/>
      <c r="E45" s="270"/>
      <c r="F45" s="260"/>
      <c r="G45" s="260"/>
      <c r="H45" s="264"/>
      <c r="I45" s="260"/>
      <c r="J45" s="270"/>
      <c r="K45" s="260"/>
      <c r="L45" s="260"/>
      <c r="M45" s="299"/>
      <c r="N45" s="270"/>
      <c r="O45" s="260"/>
      <c r="P45" s="262"/>
      <c r="Q45" s="262"/>
      <c r="R45" s="263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</row>
    <row r="46" spans="1:45" s="266" customFormat="1" ht="9.4499999999999993" customHeight="1" x14ac:dyDescent="0.25">
      <c r="A46" s="298"/>
      <c r="B46" s="260"/>
      <c r="C46" s="260"/>
      <c r="D46" s="260"/>
      <c r="E46" s="270"/>
      <c r="F46" s="260"/>
      <c r="G46" s="260"/>
      <c r="H46" s="260"/>
      <c r="I46" s="260"/>
      <c r="J46" s="270"/>
      <c r="K46" s="260"/>
      <c r="L46" s="260"/>
      <c r="M46" s="260"/>
      <c r="N46" s="262"/>
      <c r="O46" s="260"/>
      <c r="P46" s="262"/>
      <c r="Q46" s="262"/>
      <c r="R46" s="263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</row>
    <row r="47" spans="1:45" s="266" customFormat="1" ht="9.4499999999999993" customHeight="1" x14ac:dyDescent="0.25">
      <c r="A47" s="298"/>
      <c r="B47" s="270"/>
      <c r="C47" s="270"/>
      <c r="D47" s="270"/>
      <c r="E47" s="270"/>
      <c r="F47" s="260"/>
      <c r="G47" s="260"/>
      <c r="H47" s="264"/>
      <c r="I47" s="299"/>
      <c r="J47" s="270"/>
      <c r="K47" s="260"/>
      <c r="L47" s="260"/>
      <c r="M47" s="260"/>
      <c r="N47" s="262"/>
      <c r="O47" s="262"/>
      <c r="P47" s="262"/>
      <c r="Q47" s="262"/>
      <c r="R47" s="263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</row>
    <row r="48" spans="1:45" s="266" customFormat="1" ht="9.4499999999999993" customHeight="1" x14ac:dyDescent="0.25">
      <c r="A48" s="298"/>
      <c r="B48" s="260"/>
      <c r="C48" s="260"/>
      <c r="D48" s="260"/>
      <c r="E48" s="270"/>
      <c r="F48" s="260"/>
      <c r="G48" s="260"/>
      <c r="H48" s="260"/>
      <c r="I48" s="260"/>
      <c r="J48" s="270"/>
      <c r="K48" s="260"/>
      <c r="L48" s="300"/>
      <c r="M48" s="260"/>
      <c r="N48" s="262"/>
      <c r="O48" s="262"/>
      <c r="P48" s="262"/>
      <c r="Q48" s="262"/>
      <c r="R48" s="263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</row>
    <row r="49" spans="1:45" s="266" customFormat="1" ht="9.4499999999999993" customHeight="1" x14ac:dyDescent="0.25">
      <c r="A49" s="298"/>
      <c r="B49" s="270"/>
      <c r="C49" s="270"/>
      <c r="D49" s="270"/>
      <c r="E49" s="270"/>
      <c r="F49" s="260"/>
      <c r="G49" s="260"/>
      <c r="H49" s="264"/>
      <c r="I49" s="260"/>
      <c r="J49" s="270"/>
      <c r="K49" s="299"/>
      <c r="L49" s="270"/>
      <c r="M49" s="260"/>
      <c r="N49" s="262"/>
      <c r="O49" s="262"/>
      <c r="P49" s="262"/>
      <c r="Q49" s="262"/>
      <c r="R49" s="263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</row>
    <row r="50" spans="1:45" s="266" customFormat="1" ht="9.4499999999999993" customHeight="1" x14ac:dyDescent="0.25">
      <c r="A50" s="298"/>
      <c r="B50" s="260"/>
      <c r="C50" s="260"/>
      <c r="D50" s="260"/>
      <c r="E50" s="270"/>
      <c r="F50" s="260"/>
      <c r="G50" s="260"/>
      <c r="H50" s="260"/>
      <c r="I50" s="260"/>
      <c r="J50" s="270"/>
      <c r="K50" s="260"/>
      <c r="L50" s="260"/>
      <c r="M50" s="260"/>
      <c r="N50" s="262"/>
      <c r="O50" s="262"/>
      <c r="P50" s="262"/>
      <c r="Q50" s="262"/>
      <c r="R50" s="263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</row>
    <row r="51" spans="1:45" s="266" customFormat="1" ht="9.4499999999999993" customHeight="1" x14ac:dyDescent="0.25">
      <c r="A51" s="298"/>
      <c r="B51" s="270"/>
      <c r="C51" s="270"/>
      <c r="D51" s="270"/>
      <c r="E51" s="270"/>
      <c r="F51" s="260"/>
      <c r="G51" s="260"/>
      <c r="H51" s="264"/>
      <c r="I51" s="299"/>
      <c r="J51" s="270"/>
      <c r="K51" s="260"/>
      <c r="L51" s="260"/>
      <c r="M51" s="260"/>
      <c r="N51" s="262"/>
      <c r="O51" s="262"/>
      <c r="P51" s="262"/>
      <c r="Q51" s="262"/>
      <c r="R51" s="263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</row>
    <row r="52" spans="1:45" s="266" customFormat="1" ht="9.4499999999999993" customHeight="1" x14ac:dyDescent="0.25">
      <c r="A52" s="297"/>
      <c r="B52" s="260"/>
      <c r="C52" s="260"/>
      <c r="D52" s="260"/>
      <c r="E52" s="270"/>
      <c r="F52" s="304"/>
      <c r="G52" s="304"/>
      <c r="H52" s="304"/>
      <c r="I52" s="304"/>
      <c r="J52" s="270"/>
      <c r="K52" s="260"/>
      <c r="L52" s="260"/>
      <c r="M52" s="260"/>
      <c r="N52" s="260"/>
      <c r="O52" s="260"/>
      <c r="P52" s="260"/>
      <c r="Q52" s="262"/>
      <c r="R52" s="263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</row>
    <row r="53" spans="1:45" s="311" customFormat="1" ht="6.75" customHeight="1" x14ac:dyDescent="0.25">
      <c r="A53" s="305"/>
      <c r="B53" s="305"/>
      <c r="C53" s="305"/>
      <c r="D53" s="305"/>
      <c r="E53" s="305"/>
      <c r="F53" s="306"/>
      <c r="G53" s="306"/>
      <c r="H53" s="306"/>
      <c r="I53" s="306"/>
      <c r="J53" s="307"/>
      <c r="K53" s="308"/>
      <c r="L53" s="309"/>
      <c r="M53" s="308"/>
      <c r="N53" s="309"/>
      <c r="O53" s="308"/>
      <c r="P53" s="309"/>
      <c r="Q53" s="308"/>
      <c r="R53" s="309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264"/>
      <c r="AJ53" s="264"/>
      <c r="AK53" s="264"/>
      <c r="AL53" s="310"/>
      <c r="AM53" s="310"/>
      <c r="AN53" s="310"/>
      <c r="AO53" s="310"/>
      <c r="AP53" s="310"/>
      <c r="AQ53" s="310"/>
      <c r="AR53" s="310"/>
      <c r="AS53" s="310"/>
    </row>
    <row r="54" spans="1:45" s="324" customFormat="1" ht="10.5" customHeight="1" x14ac:dyDescent="0.25">
      <c r="A54" s="312" t="s">
        <v>26</v>
      </c>
      <c r="B54" s="313"/>
      <c r="C54" s="313"/>
      <c r="D54" s="314"/>
      <c r="E54" s="315" t="s">
        <v>0</v>
      </c>
      <c r="F54" s="316" t="s">
        <v>28</v>
      </c>
      <c r="G54" s="315"/>
      <c r="H54" s="317"/>
      <c r="I54" s="318"/>
      <c r="J54" s="315" t="s">
        <v>0</v>
      </c>
      <c r="K54" s="316" t="s">
        <v>35</v>
      </c>
      <c r="L54" s="319"/>
      <c r="M54" s="316" t="s">
        <v>36</v>
      </c>
      <c r="N54" s="320"/>
      <c r="O54" s="321" t="s">
        <v>37</v>
      </c>
      <c r="P54" s="321"/>
      <c r="Q54" s="322"/>
      <c r="R54" s="323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6"/>
      <c r="AJ54" s="326"/>
      <c r="AK54" s="326"/>
      <c r="AL54" s="325"/>
      <c r="AM54" s="325"/>
      <c r="AN54" s="325"/>
      <c r="AO54" s="325"/>
      <c r="AP54" s="325"/>
      <c r="AQ54" s="325"/>
      <c r="AR54" s="325"/>
      <c r="AS54" s="325"/>
    </row>
    <row r="55" spans="1:45" s="324" customFormat="1" ht="9" customHeight="1" x14ac:dyDescent="0.25">
      <c r="A55" s="327" t="s">
        <v>27</v>
      </c>
      <c r="B55" s="328"/>
      <c r="C55" s="329"/>
      <c r="D55" s="330"/>
      <c r="E55" s="331">
        <v>1</v>
      </c>
      <c r="F55" s="325" t="str">
        <f>IF(E55&gt;$R$62,,UPPER(VLOOKUP(E55,'[11]1MD ELO'!$A$7:$Q$134,2)))</f>
        <v/>
      </c>
      <c r="G55" s="331"/>
      <c r="H55" s="325"/>
      <c r="I55" s="332"/>
      <c r="J55" s="333" t="s">
        <v>1</v>
      </c>
      <c r="K55" s="334"/>
      <c r="L55" s="335"/>
      <c r="M55" s="334"/>
      <c r="N55" s="336"/>
      <c r="O55" s="337" t="s">
        <v>29</v>
      </c>
      <c r="P55" s="338"/>
      <c r="Q55" s="338"/>
      <c r="R55" s="336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6"/>
      <c r="AJ55" s="326"/>
      <c r="AK55" s="326"/>
      <c r="AL55" s="325"/>
      <c r="AM55" s="325"/>
      <c r="AN55" s="325"/>
      <c r="AO55" s="325"/>
      <c r="AP55" s="325"/>
      <c r="AQ55" s="325"/>
      <c r="AR55" s="325"/>
      <c r="AS55" s="325"/>
    </row>
    <row r="56" spans="1:45" s="324" customFormat="1" ht="9" customHeight="1" x14ac:dyDescent="0.25">
      <c r="A56" s="339" t="s">
        <v>34</v>
      </c>
      <c r="B56" s="340"/>
      <c r="C56" s="341"/>
      <c r="D56" s="342"/>
      <c r="E56" s="331">
        <v>2</v>
      </c>
      <c r="F56" s="325" t="str">
        <f>IF(E56&gt;$R$62,,UPPER(VLOOKUP(E56,'[11]1MD ELO'!$A$7:$Q$134,2)))</f>
        <v/>
      </c>
      <c r="G56" s="331"/>
      <c r="H56" s="325"/>
      <c r="I56" s="332"/>
      <c r="J56" s="333" t="s">
        <v>2</v>
      </c>
      <c r="K56" s="334"/>
      <c r="L56" s="335"/>
      <c r="M56" s="334"/>
      <c r="N56" s="336"/>
      <c r="O56" s="343"/>
      <c r="P56" s="344"/>
      <c r="Q56" s="340"/>
      <c r="R56" s="34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6"/>
      <c r="AJ56" s="326"/>
      <c r="AK56" s="326"/>
      <c r="AL56" s="325"/>
      <c r="AM56" s="325"/>
      <c r="AN56" s="325"/>
      <c r="AO56" s="325"/>
      <c r="AP56" s="325"/>
      <c r="AQ56" s="325"/>
      <c r="AR56" s="325"/>
      <c r="AS56" s="325"/>
    </row>
    <row r="57" spans="1:45" s="324" customFormat="1" ht="9" customHeight="1" x14ac:dyDescent="0.25">
      <c r="A57" s="346"/>
      <c r="B57" s="347"/>
      <c r="C57" s="348"/>
      <c r="D57" s="349"/>
      <c r="E57" s="331"/>
      <c r="F57" s="325"/>
      <c r="G57" s="331"/>
      <c r="H57" s="325"/>
      <c r="I57" s="332"/>
      <c r="J57" s="333" t="s">
        <v>3</v>
      </c>
      <c r="K57" s="334"/>
      <c r="L57" s="335"/>
      <c r="M57" s="334"/>
      <c r="N57" s="336"/>
      <c r="O57" s="337" t="s">
        <v>30</v>
      </c>
      <c r="P57" s="338"/>
      <c r="Q57" s="338"/>
      <c r="R57" s="336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6"/>
      <c r="AJ57" s="326"/>
      <c r="AK57" s="326"/>
      <c r="AL57" s="325"/>
      <c r="AM57" s="325"/>
      <c r="AN57" s="325"/>
      <c r="AO57" s="325"/>
      <c r="AP57" s="325"/>
      <c r="AQ57" s="325"/>
      <c r="AR57" s="325"/>
      <c r="AS57" s="325"/>
    </row>
    <row r="58" spans="1:45" s="324" customFormat="1" ht="9" customHeight="1" x14ac:dyDescent="0.25">
      <c r="A58" s="350"/>
      <c r="B58" s="236"/>
      <c r="C58" s="236"/>
      <c r="D58" s="351"/>
      <c r="E58" s="331"/>
      <c r="F58" s="325"/>
      <c r="G58" s="331"/>
      <c r="H58" s="325"/>
      <c r="I58" s="332"/>
      <c r="J58" s="333" t="s">
        <v>4</v>
      </c>
      <c r="K58" s="334"/>
      <c r="L58" s="335"/>
      <c r="M58" s="334"/>
      <c r="N58" s="336"/>
      <c r="O58" s="334"/>
      <c r="P58" s="335"/>
      <c r="Q58" s="334"/>
      <c r="R58" s="336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6"/>
      <c r="AJ58" s="326"/>
      <c r="AK58" s="326"/>
      <c r="AL58" s="325"/>
      <c r="AM58" s="325"/>
      <c r="AN58" s="325"/>
      <c r="AO58" s="325"/>
      <c r="AP58" s="325"/>
      <c r="AQ58" s="325"/>
      <c r="AR58" s="325"/>
      <c r="AS58" s="325"/>
    </row>
    <row r="59" spans="1:45" s="324" customFormat="1" ht="9" customHeight="1" x14ac:dyDescent="0.25">
      <c r="A59" s="352"/>
      <c r="B59" s="353"/>
      <c r="C59" s="353"/>
      <c r="D59" s="354"/>
      <c r="E59" s="331"/>
      <c r="F59" s="325"/>
      <c r="G59" s="331"/>
      <c r="H59" s="325"/>
      <c r="I59" s="332"/>
      <c r="J59" s="333" t="s">
        <v>5</v>
      </c>
      <c r="K59" s="334"/>
      <c r="L59" s="335"/>
      <c r="M59" s="334"/>
      <c r="N59" s="336"/>
      <c r="O59" s="340"/>
      <c r="P59" s="344"/>
      <c r="Q59" s="340"/>
      <c r="R59" s="34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6"/>
      <c r="AJ59" s="326"/>
      <c r="AK59" s="326"/>
      <c r="AL59" s="325"/>
      <c r="AM59" s="325"/>
      <c r="AN59" s="325"/>
      <c r="AO59" s="325"/>
      <c r="AP59" s="325"/>
      <c r="AQ59" s="325"/>
      <c r="AR59" s="325"/>
      <c r="AS59" s="325"/>
    </row>
    <row r="60" spans="1:45" s="324" customFormat="1" ht="9" customHeight="1" x14ac:dyDescent="0.25">
      <c r="A60" s="355"/>
      <c r="B60" s="356"/>
      <c r="C60" s="236"/>
      <c r="D60" s="351"/>
      <c r="E60" s="331"/>
      <c r="F60" s="325"/>
      <c r="G60" s="331"/>
      <c r="H60" s="325"/>
      <c r="I60" s="332"/>
      <c r="J60" s="333" t="s">
        <v>6</v>
      </c>
      <c r="K60" s="334"/>
      <c r="L60" s="335"/>
      <c r="M60" s="334"/>
      <c r="N60" s="336"/>
      <c r="O60" s="337" t="s">
        <v>25</v>
      </c>
      <c r="P60" s="338"/>
      <c r="Q60" s="338"/>
      <c r="R60" s="336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6"/>
      <c r="AJ60" s="326"/>
      <c r="AK60" s="326"/>
      <c r="AL60" s="325"/>
      <c r="AM60" s="325"/>
      <c r="AN60" s="325"/>
      <c r="AO60" s="325"/>
      <c r="AP60" s="325"/>
      <c r="AQ60" s="325"/>
      <c r="AR60" s="325"/>
      <c r="AS60" s="325"/>
    </row>
    <row r="61" spans="1:45" s="324" customFormat="1" ht="9" customHeight="1" x14ac:dyDescent="0.25">
      <c r="A61" s="355"/>
      <c r="B61" s="356"/>
      <c r="C61" s="357"/>
      <c r="D61" s="358"/>
      <c r="E61" s="331"/>
      <c r="F61" s="325"/>
      <c r="G61" s="331"/>
      <c r="H61" s="325"/>
      <c r="I61" s="332"/>
      <c r="J61" s="333" t="s">
        <v>7</v>
      </c>
      <c r="K61" s="334"/>
      <c r="L61" s="335"/>
      <c r="M61" s="334"/>
      <c r="N61" s="336"/>
      <c r="O61" s="334"/>
      <c r="P61" s="335"/>
      <c r="Q61" s="334"/>
      <c r="R61" s="336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6"/>
      <c r="AJ61" s="326"/>
      <c r="AK61" s="326"/>
      <c r="AL61" s="325"/>
      <c r="AM61" s="325"/>
      <c r="AN61" s="325"/>
      <c r="AO61" s="325"/>
      <c r="AP61" s="325"/>
      <c r="AQ61" s="325"/>
      <c r="AR61" s="325"/>
      <c r="AS61" s="325"/>
    </row>
    <row r="62" spans="1:45" s="324" customFormat="1" ht="9" customHeight="1" x14ac:dyDescent="0.25">
      <c r="A62" s="359"/>
      <c r="B62" s="360"/>
      <c r="C62" s="361"/>
      <c r="D62" s="362"/>
      <c r="E62" s="363"/>
      <c r="F62" s="343"/>
      <c r="G62" s="363"/>
      <c r="H62" s="343"/>
      <c r="I62" s="364"/>
      <c r="J62" s="365" t="s">
        <v>8</v>
      </c>
      <c r="K62" s="340"/>
      <c r="L62" s="344"/>
      <c r="M62" s="340"/>
      <c r="N62" s="345"/>
      <c r="O62" s="340">
        <f>R4</f>
        <v>0</v>
      </c>
      <c r="P62" s="344"/>
      <c r="Q62" s="340"/>
      <c r="R62" s="366">
        <f>MIN(4,'[11]1MD ELO'!Q5)</f>
        <v>4</v>
      </c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6"/>
      <c r="AJ62" s="326"/>
      <c r="AK62" s="326"/>
      <c r="AL62" s="325"/>
      <c r="AM62" s="325"/>
      <c r="AN62" s="325"/>
      <c r="AO62" s="325"/>
      <c r="AP62" s="325"/>
      <c r="AQ62" s="325"/>
      <c r="AR62" s="325"/>
      <c r="AS62" s="325"/>
    </row>
    <row r="63" spans="1:45" x14ac:dyDescent="0.25"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L63" s="369"/>
      <c r="AM63" s="369"/>
      <c r="AN63" s="369"/>
      <c r="AO63" s="369"/>
      <c r="AP63" s="369"/>
      <c r="AQ63" s="369"/>
      <c r="AR63" s="369"/>
      <c r="AS63" s="369"/>
    </row>
    <row r="64" spans="1:45" x14ac:dyDescent="0.25"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L64" s="369"/>
      <c r="AM64" s="369"/>
      <c r="AN64" s="369"/>
      <c r="AO64" s="369"/>
      <c r="AP64" s="369"/>
      <c r="AQ64" s="369"/>
      <c r="AR64" s="369"/>
      <c r="AS64" s="369"/>
    </row>
    <row r="65" spans="20:45" x14ac:dyDescent="0.25"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L65" s="369"/>
      <c r="AM65" s="369"/>
      <c r="AN65" s="369"/>
      <c r="AO65" s="369"/>
      <c r="AP65" s="369"/>
      <c r="AQ65" s="369"/>
      <c r="AR65" s="369"/>
      <c r="AS65" s="369"/>
    </row>
    <row r="66" spans="20:45" x14ac:dyDescent="0.25"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L66" s="369"/>
      <c r="AM66" s="369"/>
      <c r="AN66" s="369"/>
      <c r="AO66" s="369"/>
      <c r="AP66" s="369"/>
      <c r="AQ66" s="369"/>
      <c r="AR66" s="369"/>
      <c r="AS66" s="369"/>
    </row>
    <row r="67" spans="20:45" x14ac:dyDescent="0.25"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L67" s="369"/>
      <c r="AM67" s="369"/>
      <c r="AN67" s="369"/>
      <c r="AO67" s="369"/>
      <c r="AP67" s="369"/>
      <c r="AQ67" s="369"/>
      <c r="AR67" s="369"/>
      <c r="AS67" s="369"/>
    </row>
    <row r="68" spans="20:45" x14ac:dyDescent="0.25"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L68" s="369"/>
      <c r="AM68" s="369"/>
      <c r="AN68" s="369"/>
      <c r="AO68" s="369"/>
      <c r="AP68" s="369"/>
      <c r="AQ68" s="369"/>
      <c r="AR68" s="369"/>
      <c r="AS68" s="369"/>
    </row>
    <row r="69" spans="20:45" x14ac:dyDescent="0.25"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L69" s="369"/>
      <c r="AM69" s="369"/>
      <c r="AN69" s="369"/>
      <c r="AO69" s="369"/>
      <c r="AP69" s="369"/>
      <c r="AQ69" s="369"/>
      <c r="AR69" s="369"/>
      <c r="AS69" s="369"/>
    </row>
    <row r="70" spans="20:45" x14ac:dyDescent="0.25"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L70" s="369"/>
      <c r="AM70" s="369"/>
      <c r="AN70" s="369"/>
      <c r="AO70" s="369"/>
      <c r="AP70" s="369"/>
      <c r="AQ70" s="369"/>
      <c r="AR70" s="369"/>
      <c r="AS70" s="369"/>
    </row>
    <row r="71" spans="20:45" x14ac:dyDescent="0.25"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L71" s="369"/>
      <c r="AM71" s="369"/>
      <c r="AN71" s="369"/>
      <c r="AO71" s="369"/>
      <c r="AP71" s="369"/>
      <c r="AQ71" s="369"/>
      <c r="AR71" s="369"/>
      <c r="AS71" s="369"/>
    </row>
    <row r="72" spans="20:45" x14ac:dyDescent="0.25"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L72" s="369"/>
      <c r="AM72" s="369"/>
      <c r="AN72" s="369"/>
      <c r="AO72" s="369"/>
      <c r="AP72" s="369"/>
      <c r="AQ72" s="369"/>
      <c r="AR72" s="369"/>
      <c r="AS72" s="369"/>
    </row>
    <row r="73" spans="20:45" x14ac:dyDescent="0.25"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L73" s="369"/>
      <c r="AM73" s="369"/>
      <c r="AN73" s="369"/>
      <c r="AO73" s="369"/>
      <c r="AP73" s="369"/>
      <c r="AQ73" s="369"/>
      <c r="AR73" s="369"/>
      <c r="AS73" s="369"/>
    </row>
    <row r="74" spans="20:45" x14ac:dyDescent="0.25"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L74" s="369"/>
      <c r="AM74" s="369"/>
      <c r="AN74" s="369"/>
      <c r="AO74" s="369"/>
      <c r="AP74" s="369"/>
      <c r="AQ74" s="369"/>
      <c r="AR74" s="369"/>
      <c r="AS74" s="369"/>
    </row>
    <row r="75" spans="20:45" x14ac:dyDescent="0.25"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L75" s="369"/>
      <c r="AM75" s="369"/>
      <c r="AN75" s="369"/>
      <c r="AO75" s="369"/>
      <c r="AP75" s="369"/>
      <c r="AQ75" s="369"/>
      <c r="AR75" s="369"/>
      <c r="AS75" s="369"/>
    </row>
    <row r="76" spans="20:45" x14ac:dyDescent="0.25"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L76" s="369"/>
      <c r="AM76" s="369"/>
      <c r="AN76" s="369"/>
      <c r="AO76" s="369"/>
      <c r="AP76" s="369"/>
      <c r="AQ76" s="369"/>
      <c r="AR76" s="369"/>
      <c r="AS76" s="369"/>
    </row>
    <row r="77" spans="20:45" x14ac:dyDescent="0.25"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L77" s="369"/>
      <c r="AM77" s="369"/>
      <c r="AN77" s="369"/>
      <c r="AO77" s="369"/>
      <c r="AP77" s="369"/>
      <c r="AQ77" s="369"/>
      <c r="AR77" s="369"/>
      <c r="AS77" s="369"/>
    </row>
    <row r="78" spans="20:45" x14ac:dyDescent="0.25"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L78" s="369"/>
      <c r="AM78" s="369"/>
      <c r="AN78" s="369"/>
      <c r="AO78" s="369"/>
      <c r="AP78" s="369"/>
      <c r="AQ78" s="369"/>
      <c r="AR78" s="369"/>
      <c r="AS78" s="369"/>
    </row>
    <row r="79" spans="20:45" x14ac:dyDescent="0.25"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L79" s="369"/>
      <c r="AM79" s="369"/>
      <c r="AN79" s="369"/>
      <c r="AO79" s="369"/>
      <c r="AP79" s="369"/>
      <c r="AQ79" s="369"/>
      <c r="AR79" s="369"/>
      <c r="AS79" s="369"/>
    </row>
    <row r="80" spans="20:45" x14ac:dyDescent="0.25"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L80" s="369"/>
      <c r="AM80" s="369"/>
      <c r="AN80" s="369"/>
      <c r="AO80" s="369"/>
      <c r="AP80" s="369"/>
      <c r="AQ80" s="369"/>
      <c r="AR80" s="369"/>
      <c r="AS80" s="369"/>
    </row>
    <row r="81" spans="20:45" x14ac:dyDescent="0.25"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L81" s="369"/>
      <c r="AM81" s="369"/>
      <c r="AN81" s="369"/>
      <c r="AO81" s="369"/>
      <c r="AP81" s="369"/>
      <c r="AQ81" s="369"/>
      <c r="AR81" s="369"/>
      <c r="AS81" s="369"/>
    </row>
    <row r="82" spans="20:45" x14ac:dyDescent="0.25"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L82" s="369"/>
      <c r="AM82" s="369"/>
      <c r="AN82" s="369"/>
      <c r="AO82" s="369"/>
      <c r="AP82" s="369"/>
      <c r="AQ82" s="369"/>
      <c r="AR82" s="369"/>
      <c r="AS82" s="369"/>
    </row>
    <row r="83" spans="20:45" x14ac:dyDescent="0.25"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L83" s="369"/>
      <c r="AM83" s="369"/>
      <c r="AN83" s="369"/>
      <c r="AO83" s="369"/>
      <c r="AP83" s="369"/>
      <c r="AQ83" s="369"/>
      <c r="AR83" s="369"/>
      <c r="AS83" s="369"/>
    </row>
    <row r="84" spans="20:45" x14ac:dyDescent="0.25"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L84" s="369"/>
      <c r="AM84" s="369"/>
      <c r="AN84" s="369"/>
      <c r="AO84" s="369"/>
      <c r="AP84" s="369"/>
      <c r="AQ84" s="369"/>
      <c r="AR84" s="369"/>
      <c r="AS84" s="369"/>
    </row>
    <row r="85" spans="20:45" x14ac:dyDescent="0.25"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L85" s="369"/>
      <c r="AM85" s="369"/>
      <c r="AN85" s="369"/>
      <c r="AO85" s="369"/>
      <c r="AP85" s="369"/>
      <c r="AQ85" s="369"/>
      <c r="AR85" s="369"/>
      <c r="AS85" s="369"/>
    </row>
    <row r="86" spans="20:45" x14ac:dyDescent="0.25"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L86" s="369"/>
      <c r="AM86" s="369"/>
      <c r="AN86" s="369"/>
      <c r="AO86" s="369"/>
      <c r="AP86" s="369"/>
      <c r="AQ86" s="369"/>
      <c r="AR86" s="369"/>
      <c r="AS86" s="369"/>
    </row>
    <row r="87" spans="20:45" x14ac:dyDescent="0.25"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L87" s="369"/>
      <c r="AM87" s="369"/>
      <c r="AN87" s="369"/>
      <c r="AO87" s="369"/>
      <c r="AP87" s="369"/>
      <c r="AQ87" s="369"/>
      <c r="AR87" s="369"/>
      <c r="AS87" s="369"/>
    </row>
    <row r="88" spans="20:45" x14ac:dyDescent="0.25"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L88" s="369"/>
      <c r="AM88" s="369"/>
      <c r="AN88" s="369"/>
      <c r="AO88" s="369"/>
      <c r="AP88" s="369"/>
      <c r="AQ88" s="369"/>
      <c r="AR88" s="369"/>
      <c r="AS88" s="369"/>
    </row>
    <row r="89" spans="20:45" x14ac:dyDescent="0.25"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L89" s="369"/>
      <c r="AM89" s="369"/>
      <c r="AN89" s="369"/>
      <c r="AO89" s="369"/>
      <c r="AP89" s="369"/>
      <c r="AQ89" s="369"/>
      <c r="AR89" s="369"/>
      <c r="AS89" s="369"/>
    </row>
    <row r="90" spans="20:45" x14ac:dyDescent="0.25"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L90" s="369"/>
      <c r="AM90" s="369"/>
      <c r="AN90" s="369"/>
      <c r="AO90" s="369"/>
      <c r="AP90" s="369"/>
      <c r="AQ90" s="369"/>
      <c r="AR90" s="369"/>
      <c r="AS90" s="369"/>
    </row>
    <row r="91" spans="20:45" x14ac:dyDescent="0.25"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L91" s="369"/>
      <c r="AM91" s="369"/>
      <c r="AN91" s="369"/>
      <c r="AO91" s="369"/>
      <c r="AP91" s="369"/>
      <c r="AQ91" s="369"/>
      <c r="AR91" s="369"/>
      <c r="AS91" s="369"/>
    </row>
    <row r="92" spans="20:45" x14ac:dyDescent="0.25"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L92" s="369"/>
      <c r="AM92" s="369"/>
      <c r="AN92" s="369"/>
      <c r="AO92" s="369"/>
      <c r="AP92" s="369"/>
      <c r="AQ92" s="369"/>
      <c r="AR92" s="369"/>
      <c r="AS92" s="369"/>
    </row>
    <row r="93" spans="20:45" x14ac:dyDescent="0.25"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L93" s="369"/>
      <c r="AM93" s="369"/>
      <c r="AN93" s="369"/>
      <c r="AO93" s="369"/>
      <c r="AP93" s="369"/>
      <c r="AQ93" s="369"/>
      <c r="AR93" s="369"/>
      <c r="AS93" s="369"/>
    </row>
    <row r="94" spans="20:45" x14ac:dyDescent="0.25"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L94" s="369"/>
      <c r="AM94" s="369"/>
      <c r="AN94" s="369"/>
      <c r="AO94" s="369"/>
      <c r="AP94" s="369"/>
      <c r="AQ94" s="369"/>
      <c r="AR94" s="369"/>
      <c r="AS94" s="369"/>
    </row>
    <row r="95" spans="20:45" x14ac:dyDescent="0.25"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L95" s="369"/>
      <c r="AM95" s="369"/>
      <c r="AN95" s="369"/>
      <c r="AO95" s="369"/>
      <c r="AP95" s="369"/>
      <c r="AQ95" s="369"/>
      <c r="AR95" s="369"/>
      <c r="AS95" s="369"/>
    </row>
    <row r="96" spans="20:45" x14ac:dyDescent="0.25"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L96" s="369"/>
      <c r="AM96" s="369"/>
      <c r="AN96" s="369"/>
      <c r="AO96" s="369"/>
      <c r="AP96" s="369"/>
      <c r="AQ96" s="369"/>
      <c r="AR96" s="369"/>
      <c r="AS96" s="369"/>
    </row>
    <row r="97" spans="20:45" x14ac:dyDescent="0.25"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L97" s="369"/>
      <c r="AM97" s="369"/>
      <c r="AN97" s="369"/>
      <c r="AO97" s="369"/>
      <c r="AP97" s="369"/>
      <c r="AQ97" s="369"/>
      <c r="AR97" s="369"/>
      <c r="AS97" s="369"/>
    </row>
    <row r="98" spans="20:45" x14ac:dyDescent="0.25"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L98" s="369"/>
      <c r="AM98" s="369"/>
      <c r="AN98" s="369"/>
      <c r="AO98" s="369"/>
      <c r="AP98" s="369"/>
      <c r="AQ98" s="369"/>
      <c r="AR98" s="369"/>
      <c r="AS98" s="369"/>
    </row>
    <row r="99" spans="20:45" x14ac:dyDescent="0.25"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L99" s="369"/>
      <c r="AM99" s="369"/>
      <c r="AN99" s="369"/>
      <c r="AO99" s="369"/>
      <c r="AP99" s="369"/>
      <c r="AQ99" s="369"/>
      <c r="AR99" s="369"/>
      <c r="AS99" s="369"/>
    </row>
    <row r="100" spans="20:45" x14ac:dyDescent="0.25"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L100" s="369"/>
      <c r="AM100" s="369"/>
      <c r="AN100" s="369"/>
      <c r="AO100" s="369"/>
      <c r="AP100" s="369"/>
      <c r="AQ100" s="369"/>
      <c r="AR100" s="369"/>
      <c r="AS100" s="369"/>
    </row>
    <row r="101" spans="20:45" x14ac:dyDescent="0.25"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L101" s="369"/>
      <c r="AM101" s="369"/>
      <c r="AN101" s="369"/>
      <c r="AO101" s="369"/>
      <c r="AP101" s="369"/>
      <c r="AQ101" s="369"/>
      <c r="AR101" s="369"/>
      <c r="AS101" s="369"/>
    </row>
    <row r="102" spans="20:45" x14ac:dyDescent="0.25"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L102" s="369"/>
      <c r="AM102" s="369"/>
      <c r="AN102" s="369"/>
      <c r="AO102" s="369"/>
      <c r="AP102" s="369"/>
      <c r="AQ102" s="369"/>
      <c r="AR102" s="369"/>
      <c r="AS102" s="369"/>
    </row>
    <row r="103" spans="20:45" x14ac:dyDescent="0.25"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L103" s="369"/>
      <c r="AM103" s="369"/>
      <c r="AN103" s="369"/>
      <c r="AO103" s="369"/>
      <c r="AP103" s="369"/>
      <c r="AQ103" s="369"/>
      <c r="AR103" s="369"/>
      <c r="AS103" s="369"/>
    </row>
    <row r="104" spans="20:45" x14ac:dyDescent="0.25"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L104" s="369"/>
      <c r="AM104" s="369"/>
      <c r="AN104" s="369"/>
      <c r="AO104" s="369"/>
      <c r="AP104" s="369"/>
      <c r="AQ104" s="369"/>
      <c r="AR104" s="369"/>
      <c r="AS104" s="369"/>
    </row>
    <row r="105" spans="20:45" x14ac:dyDescent="0.25"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L105" s="369"/>
      <c r="AM105" s="369"/>
      <c r="AN105" s="369"/>
      <c r="AO105" s="369"/>
      <c r="AP105" s="369"/>
      <c r="AQ105" s="369"/>
      <c r="AR105" s="369"/>
      <c r="AS105" s="369"/>
    </row>
    <row r="106" spans="20:45" x14ac:dyDescent="0.25"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L106" s="369"/>
      <c r="AM106" s="369"/>
      <c r="AN106" s="369"/>
      <c r="AO106" s="369"/>
      <c r="AP106" s="369"/>
      <c r="AQ106" s="369"/>
      <c r="AR106" s="369"/>
      <c r="AS106" s="369"/>
    </row>
    <row r="107" spans="20:45" x14ac:dyDescent="0.25"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L107" s="369"/>
      <c r="AM107" s="369"/>
      <c r="AN107" s="369"/>
      <c r="AO107" s="369"/>
      <c r="AP107" s="369"/>
      <c r="AQ107" s="369"/>
      <c r="AR107" s="369"/>
      <c r="AS107" s="369"/>
    </row>
    <row r="108" spans="20:45" x14ac:dyDescent="0.25"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L108" s="369"/>
      <c r="AM108" s="369"/>
      <c r="AN108" s="369"/>
      <c r="AO108" s="369"/>
      <c r="AP108" s="369"/>
      <c r="AQ108" s="369"/>
      <c r="AR108" s="369"/>
      <c r="AS108" s="369"/>
    </row>
    <row r="109" spans="20:45" x14ac:dyDescent="0.25"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L109" s="369"/>
      <c r="AM109" s="369"/>
      <c r="AN109" s="369"/>
      <c r="AO109" s="369"/>
      <c r="AP109" s="369"/>
      <c r="AQ109" s="369"/>
      <c r="AR109" s="369"/>
      <c r="AS109" s="369"/>
    </row>
    <row r="110" spans="20:45" x14ac:dyDescent="0.25"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L110" s="369"/>
      <c r="AM110" s="369"/>
      <c r="AN110" s="369"/>
      <c r="AO110" s="369"/>
      <c r="AP110" s="369"/>
      <c r="AQ110" s="369"/>
      <c r="AR110" s="369"/>
      <c r="AS110" s="369"/>
    </row>
    <row r="111" spans="20:45" x14ac:dyDescent="0.25"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L111" s="369"/>
      <c r="AM111" s="369"/>
      <c r="AN111" s="369"/>
      <c r="AO111" s="369"/>
      <c r="AP111" s="369"/>
      <c r="AQ111" s="369"/>
      <c r="AR111" s="369"/>
      <c r="AS111" s="369"/>
    </row>
    <row r="112" spans="20:45" x14ac:dyDescent="0.25"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L112" s="369"/>
      <c r="AM112" s="369"/>
      <c r="AN112" s="369"/>
      <c r="AO112" s="369"/>
      <c r="AP112" s="369"/>
      <c r="AQ112" s="369"/>
      <c r="AR112" s="369"/>
      <c r="AS112" s="369"/>
    </row>
    <row r="113" spans="20:45" x14ac:dyDescent="0.25"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L113" s="369"/>
      <c r="AM113" s="369"/>
      <c r="AN113" s="369"/>
      <c r="AO113" s="369"/>
      <c r="AP113" s="369"/>
      <c r="AQ113" s="369"/>
      <c r="AR113" s="369"/>
      <c r="AS113" s="369"/>
    </row>
    <row r="114" spans="20:45" x14ac:dyDescent="0.25"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L114" s="369"/>
      <c r="AM114" s="369"/>
      <c r="AN114" s="369"/>
      <c r="AO114" s="369"/>
      <c r="AP114" s="369"/>
      <c r="AQ114" s="369"/>
      <c r="AR114" s="369"/>
      <c r="AS114" s="369"/>
    </row>
    <row r="115" spans="20:45" x14ac:dyDescent="0.25"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L115" s="369"/>
      <c r="AM115" s="369"/>
      <c r="AN115" s="369"/>
      <c r="AO115" s="369"/>
      <c r="AP115" s="369"/>
      <c r="AQ115" s="369"/>
      <c r="AR115" s="369"/>
      <c r="AS115" s="369"/>
    </row>
    <row r="116" spans="20:45" x14ac:dyDescent="0.25"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L116" s="369"/>
      <c r="AM116" s="369"/>
      <c r="AN116" s="369"/>
      <c r="AO116" s="369"/>
      <c r="AP116" s="369"/>
      <c r="AQ116" s="369"/>
      <c r="AR116" s="369"/>
      <c r="AS116" s="369"/>
    </row>
    <row r="117" spans="20:45" x14ac:dyDescent="0.25"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L117" s="369"/>
      <c r="AM117" s="369"/>
      <c r="AN117" s="369"/>
      <c r="AO117" s="369"/>
      <c r="AP117" s="369"/>
      <c r="AQ117" s="369"/>
      <c r="AR117" s="369"/>
      <c r="AS117" s="369"/>
    </row>
    <row r="118" spans="20:45" x14ac:dyDescent="0.25"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L118" s="369"/>
      <c r="AM118" s="369"/>
      <c r="AN118" s="369"/>
      <c r="AO118" s="369"/>
      <c r="AP118" s="369"/>
      <c r="AQ118" s="369"/>
      <c r="AR118" s="369"/>
      <c r="AS118" s="369"/>
    </row>
    <row r="119" spans="20:45" x14ac:dyDescent="0.25"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L119" s="369"/>
      <c r="AM119" s="369"/>
      <c r="AN119" s="369"/>
      <c r="AO119" s="369"/>
      <c r="AP119" s="369"/>
      <c r="AQ119" s="369"/>
      <c r="AR119" s="369"/>
      <c r="AS119" s="369"/>
    </row>
    <row r="120" spans="20:45" x14ac:dyDescent="0.25"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L120" s="369"/>
      <c r="AM120" s="369"/>
      <c r="AN120" s="369"/>
      <c r="AO120" s="369"/>
      <c r="AP120" s="369"/>
      <c r="AQ120" s="369"/>
      <c r="AR120" s="369"/>
      <c r="AS120" s="369"/>
    </row>
    <row r="121" spans="20:45" x14ac:dyDescent="0.25"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L121" s="369"/>
      <c r="AM121" s="369"/>
      <c r="AN121" s="369"/>
      <c r="AO121" s="369"/>
      <c r="AP121" s="369"/>
      <c r="AQ121" s="369"/>
      <c r="AR121" s="369"/>
      <c r="AS121" s="369"/>
    </row>
    <row r="122" spans="20:45" x14ac:dyDescent="0.25"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L122" s="369"/>
      <c r="AM122" s="369"/>
      <c r="AN122" s="369"/>
      <c r="AO122" s="369"/>
      <c r="AP122" s="369"/>
      <c r="AQ122" s="369"/>
      <c r="AR122" s="369"/>
      <c r="AS122" s="369"/>
    </row>
    <row r="123" spans="20:45" x14ac:dyDescent="0.25"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L123" s="369"/>
      <c r="AM123" s="369"/>
      <c r="AN123" s="369"/>
      <c r="AO123" s="369"/>
      <c r="AP123" s="369"/>
      <c r="AQ123" s="369"/>
      <c r="AR123" s="369"/>
      <c r="AS123" s="369"/>
    </row>
    <row r="124" spans="20:45" x14ac:dyDescent="0.25"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L124" s="369"/>
      <c r="AM124" s="369"/>
      <c r="AN124" s="369"/>
      <c r="AO124" s="369"/>
      <c r="AP124" s="369"/>
      <c r="AQ124" s="369"/>
      <c r="AR124" s="369"/>
      <c r="AS124" s="369"/>
    </row>
    <row r="125" spans="20:45" x14ac:dyDescent="0.25"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L125" s="369"/>
      <c r="AM125" s="369"/>
      <c r="AN125" s="369"/>
      <c r="AO125" s="369"/>
      <c r="AP125" s="369"/>
      <c r="AQ125" s="369"/>
      <c r="AR125" s="369"/>
      <c r="AS125" s="369"/>
    </row>
    <row r="126" spans="20:45" x14ac:dyDescent="0.25"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L126" s="369"/>
      <c r="AM126" s="369"/>
      <c r="AN126" s="369"/>
      <c r="AO126" s="369"/>
      <c r="AP126" s="369"/>
      <c r="AQ126" s="369"/>
      <c r="AR126" s="369"/>
      <c r="AS126" s="369"/>
    </row>
    <row r="127" spans="20:45" x14ac:dyDescent="0.25"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L127" s="369"/>
      <c r="AM127" s="369"/>
      <c r="AN127" s="369"/>
      <c r="AO127" s="369"/>
      <c r="AP127" s="369"/>
      <c r="AQ127" s="369"/>
      <c r="AR127" s="369"/>
      <c r="AS127" s="369"/>
    </row>
    <row r="128" spans="20:45" x14ac:dyDescent="0.25">
      <c r="T128" s="369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L128" s="369"/>
      <c r="AM128" s="369"/>
      <c r="AN128" s="369"/>
      <c r="AO128" s="369"/>
      <c r="AP128" s="369"/>
      <c r="AQ128" s="369"/>
      <c r="AR128" s="369"/>
      <c r="AS128" s="369"/>
    </row>
    <row r="129" spans="20:45" x14ac:dyDescent="0.25"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L129" s="369"/>
      <c r="AM129" s="369"/>
      <c r="AN129" s="369"/>
      <c r="AO129" s="369"/>
      <c r="AP129" s="369"/>
      <c r="AQ129" s="369"/>
      <c r="AR129" s="369"/>
      <c r="AS129" s="369"/>
    </row>
    <row r="130" spans="20:45" x14ac:dyDescent="0.25"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L130" s="369"/>
      <c r="AM130" s="369"/>
      <c r="AN130" s="369"/>
      <c r="AO130" s="369"/>
      <c r="AP130" s="369"/>
      <c r="AQ130" s="369"/>
      <c r="AR130" s="369"/>
      <c r="AS130" s="369"/>
    </row>
    <row r="131" spans="20:45" x14ac:dyDescent="0.25"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L131" s="369"/>
      <c r="AM131" s="369"/>
      <c r="AN131" s="369"/>
      <c r="AO131" s="369"/>
      <c r="AP131" s="369"/>
      <c r="AQ131" s="369"/>
      <c r="AR131" s="369"/>
      <c r="AS131" s="369"/>
    </row>
    <row r="132" spans="20:45" x14ac:dyDescent="0.25">
      <c r="T132" s="369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L132" s="369"/>
      <c r="AM132" s="369"/>
      <c r="AN132" s="369"/>
      <c r="AO132" s="369"/>
      <c r="AP132" s="369"/>
      <c r="AQ132" s="369"/>
      <c r="AR132" s="369"/>
      <c r="AS132" s="369"/>
    </row>
    <row r="133" spans="20:45" x14ac:dyDescent="0.25"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L133" s="369"/>
      <c r="AM133" s="369"/>
      <c r="AN133" s="369"/>
      <c r="AO133" s="369"/>
      <c r="AP133" s="369"/>
      <c r="AQ133" s="369"/>
      <c r="AR133" s="369"/>
      <c r="AS133" s="369"/>
    </row>
    <row r="134" spans="20:45" x14ac:dyDescent="0.25"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L134" s="369"/>
      <c r="AM134" s="369"/>
      <c r="AN134" s="369"/>
      <c r="AO134" s="369"/>
      <c r="AP134" s="369"/>
      <c r="AQ134" s="369"/>
      <c r="AR134" s="369"/>
      <c r="AS134" s="369"/>
    </row>
    <row r="135" spans="20:45" x14ac:dyDescent="0.25"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L135" s="369"/>
      <c r="AM135" s="369"/>
      <c r="AN135" s="369"/>
      <c r="AO135" s="369"/>
      <c r="AP135" s="369"/>
      <c r="AQ135" s="369"/>
      <c r="AR135" s="369"/>
      <c r="AS135" s="369"/>
    </row>
    <row r="136" spans="20:45" x14ac:dyDescent="0.25"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L136" s="369"/>
      <c r="AM136" s="369"/>
      <c r="AN136" s="369"/>
      <c r="AO136" s="369"/>
      <c r="AP136" s="369"/>
      <c r="AQ136" s="369"/>
      <c r="AR136" s="369"/>
      <c r="AS136" s="369"/>
    </row>
    <row r="137" spans="20:45" x14ac:dyDescent="0.25"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L137" s="369"/>
      <c r="AM137" s="369"/>
      <c r="AN137" s="369"/>
      <c r="AO137" s="369"/>
      <c r="AP137" s="369"/>
      <c r="AQ137" s="369"/>
      <c r="AR137" s="369"/>
      <c r="AS137" s="369"/>
    </row>
    <row r="138" spans="20:45" x14ac:dyDescent="0.25"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L138" s="369"/>
      <c r="AM138" s="369"/>
      <c r="AN138" s="369"/>
      <c r="AO138" s="369"/>
      <c r="AP138" s="369"/>
      <c r="AQ138" s="369"/>
      <c r="AR138" s="369"/>
      <c r="AS138" s="369"/>
    </row>
    <row r="139" spans="20:45" x14ac:dyDescent="0.25"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L139" s="369"/>
      <c r="AM139" s="369"/>
      <c r="AN139" s="369"/>
      <c r="AO139" s="369"/>
      <c r="AP139" s="369"/>
      <c r="AQ139" s="369"/>
      <c r="AR139" s="369"/>
      <c r="AS139" s="369"/>
    </row>
    <row r="140" spans="20:45" x14ac:dyDescent="0.25"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L140" s="369"/>
      <c r="AM140" s="369"/>
      <c r="AN140" s="369"/>
      <c r="AO140" s="369"/>
      <c r="AP140" s="369"/>
      <c r="AQ140" s="369"/>
      <c r="AR140" s="369"/>
      <c r="AS140" s="369"/>
    </row>
  </sheetData>
  <mergeCells count="1">
    <mergeCell ref="A4:C4"/>
  </mergeCells>
  <conditionalFormatting sqref="B22 B24 B26 B28 B30 B32 B34 B36 B38 B40 B42 B44 B46 B48 B50 B52">
    <cfRule type="cellIs" dxfId="64" priority="13" stopIfTrue="1" operator="equal">
      <formula>"QA"</formula>
    </cfRule>
    <cfRule type="cellIs" dxfId="63" priority="14" stopIfTrue="1" operator="equal">
      <formula>"DA"</formula>
    </cfRule>
  </conditionalFormatting>
  <conditionalFormatting sqref="E7 E21">
    <cfRule type="expression" dxfId="62" priority="16" stopIfTrue="1">
      <formula>$E7&lt;5</formula>
    </cfRule>
  </conditionalFormatting>
  <conditionalFormatting sqref="E22 E24 E26 E28 E30 E32 E34 E36 E38 E40 E42 E44 E46 E48 E50 E52">
    <cfRule type="expression" dxfId="61" priority="8" stopIfTrue="1">
      <formula>AND($E22&lt;9,$C22&gt;0)</formula>
    </cfRule>
  </conditionalFormatting>
  <conditionalFormatting sqref="F7 F9 F11 F13 F15 F17 F19">
    <cfRule type="cellIs" dxfId="60" priority="17" stopIfTrue="1" operator="equal">
      <formula>"Bye"</formula>
    </cfRule>
  </conditionalFormatting>
  <conditionalFormatting sqref="F21:F22 F24 F26 F28 F30 F32 F34 F36 F38 F40 F42 F44 F46 F48 F50">
    <cfRule type="cellIs" dxfId="59" priority="9" stopIfTrue="1" operator="equal">
      <formula>"Bye"</formula>
    </cfRule>
  </conditionalFormatting>
  <conditionalFormatting sqref="F22 F24 F26 F28 F30 F32 F34 F36 F38 F40 F42 F44 F46 F48 F50">
    <cfRule type="expression" dxfId="58" priority="10" stopIfTrue="1">
      <formula>AND($E22&lt;9,$C22&gt;0)</formula>
    </cfRule>
  </conditionalFormatting>
  <conditionalFormatting sqref="H9 H11 H13 H17 H19 G22:I22 G24:I24 G26:I26 G28:I28 G30:I30 G32:I32 G34:I34 G36:I36 G38:I38 G40:I40 G42:I42 G44:I44 G46:I46 G48:I48 G50:I50">
    <cfRule type="expression" dxfId="57" priority="4" stopIfTrue="1">
      <formula>AND($E9&lt;9,$C9&gt;0)</formula>
    </cfRule>
  </conditionalFormatting>
  <conditionalFormatting sqref="I8 K10 I12 M14 I16 K18 I20 I23 K25 I27 M29 I31 K33 I35 I39 K41 I43 M45 I47 K49 I51">
    <cfRule type="expression" dxfId="56" priority="5" stopIfTrue="1">
      <formula>AND($O$1="CU",I8="Umpire")</formula>
    </cfRule>
    <cfRule type="expression" dxfId="55" priority="6" stopIfTrue="1">
      <formula>AND($O$1="CU",I8&lt;&gt;"Umpire",J8&lt;&gt;"")</formula>
    </cfRule>
    <cfRule type="expression" dxfId="54" priority="7" stopIfTrue="1">
      <formula>AND($O$1="CU",I8&lt;&gt;"Umpire")</formula>
    </cfRule>
  </conditionalFormatting>
  <conditionalFormatting sqref="J8 L10 J12 N14 J16 L18 J20 R62">
    <cfRule type="expression" dxfId="53" priority="15" stopIfTrue="1">
      <formula>$O$1="CU"</formula>
    </cfRule>
  </conditionalFormatting>
  <conditionalFormatting sqref="K8 M10 K12 O14 K16 M18 K20 K23 M25 K27 O29 K31 M33 K35 K39 M41 K43 O45 K47 M49 K51">
    <cfRule type="expression" dxfId="52" priority="11" stopIfTrue="1">
      <formula>J8="as"</formula>
    </cfRule>
    <cfRule type="expression" dxfId="51" priority="12" stopIfTrue="1">
      <formula>J8="bs"</formula>
    </cfRule>
  </conditionalFormatting>
  <conditionalFormatting sqref="O16">
    <cfRule type="expression" dxfId="50" priority="1" stopIfTrue="1">
      <formula>AND($O$1="CU",O16="Umpire")</formula>
    </cfRule>
    <cfRule type="expression" dxfId="49" priority="2" stopIfTrue="1">
      <formula>AND($O$1="CU",O16&lt;&gt;"Umpire",P16&lt;&gt;"")</formula>
    </cfRule>
    <cfRule type="expression" dxfId="48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FE5F77B3-7DDD-46BC-A804-14BA1C020665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8326C-DA38-400E-9D9F-17A6C0C65DF5}">
  <sheetPr>
    <tabColor indexed="11"/>
    <pageSetUpPr fitToPage="1"/>
  </sheetPr>
  <dimension ref="A1:AK57"/>
  <sheetViews>
    <sheetView showGridLines="0" showZeros="0" topLeftCell="A5" workbookViewId="0">
      <selection activeCell="Q28" sqref="Q28"/>
    </sheetView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44140625" style="287" customWidth="1"/>
    <col min="5" max="5" width="4.33203125" style="287" customWidth="1"/>
    <col min="6" max="6" width="12.6640625" style="287" customWidth="1"/>
    <col min="7" max="7" width="2.6640625" style="287" customWidth="1"/>
    <col min="8" max="8" width="7.6640625" style="287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34" width="9.109375" style="287" hidden="1" customWidth="1"/>
    <col min="35" max="37" width="9.109375" style="287" customWidth="1"/>
    <col min="38" max="16384" width="8.77734375" style="287"/>
  </cols>
  <sheetData>
    <row r="1" spans="1:37" s="209" customFormat="1" ht="21.75" customHeight="1" x14ac:dyDescent="0.25">
      <c r="A1" s="370" t="str">
        <f>[13]Altalanos!$A$6</f>
        <v>OB</v>
      </c>
      <c r="B1" s="370"/>
      <c r="C1" s="371"/>
      <c r="D1" s="371"/>
      <c r="E1" s="371"/>
      <c r="F1" s="371"/>
      <c r="G1" s="371"/>
      <c r="H1" s="370"/>
      <c r="I1" s="372"/>
      <c r="J1" s="373"/>
      <c r="K1" s="374" t="s">
        <v>33</v>
      </c>
      <c r="L1" s="375"/>
      <c r="M1" s="376"/>
      <c r="N1" s="373"/>
      <c r="O1" s="373" t="s">
        <v>104</v>
      </c>
      <c r="P1" s="373"/>
      <c r="Q1" s="371"/>
      <c r="R1" s="373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</row>
    <row r="2" spans="1:37" s="218" customFormat="1" x14ac:dyDescent="0.25">
      <c r="A2" s="377" t="s">
        <v>32</v>
      </c>
      <c r="B2" s="378"/>
      <c r="C2" s="378"/>
      <c r="D2" s="378"/>
      <c r="E2" s="378">
        <f>[13]Altalanos!$A$8</f>
        <v>0</v>
      </c>
      <c r="F2" s="378"/>
      <c r="G2" s="379"/>
      <c r="H2" s="380"/>
      <c r="I2" s="380"/>
      <c r="J2" s="381"/>
      <c r="K2" s="375"/>
      <c r="L2" s="375"/>
      <c r="M2" s="375"/>
      <c r="N2" s="381"/>
      <c r="O2" s="380"/>
      <c r="P2" s="381"/>
      <c r="Q2" s="380"/>
      <c r="R2" s="381"/>
      <c r="Y2" s="220"/>
      <c r="Z2" s="221"/>
      <c r="AA2" s="382" t="s">
        <v>43</v>
      </c>
      <c r="AB2" s="383">
        <v>300</v>
      </c>
      <c r="AC2" s="383">
        <v>250</v>
      </c>
      <c r="AD2" s="383">
        <v>200</v>
      </c>
      <c r="AE2" s="383">
        <v>150</v>
      </c>
      <c r="AF2" s="383">
        <v>120</v>
      </c>
      <c r="AG2" s="383">
        <v>90</v>
      </c>
      <c r="AH2" s="383">
        <v>40</v>
      </c>
      <c r="AI2" s="287"/>
      <c r="AJ2" s="287"/>
      <c r="AK2" s="287"/>
    </row>
    <row r="3" spans="1:37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Y3" s="221" t="str">
        <f>IF(K4="OB","A",IF(K4="IX","W",IF(K4="","",K4)))</f>
        <v/>
      </c>
      <c r="Z3" s="221"/>
      <c r="AA3" s="382" t="s">
        <v>44</v>
      </c>
      <c r="AB3" s="383">
        <v>280</v>
      </c>
      <c r="AC3" s="383">
        <v>230</v>
      </c>
      <c r="AD3" s="383">
        <v>180</v>
      </c>
      <c r="AE3" s="383">
        <v>140</v>
      </c>
      <c r="AF3" s="383">
        <v>80</v>
      </c>
      <c r="AG3" s="383">
        <v>0</v>
      </c>
      <c r="AH3" s="383">
        <v>0</v>
      </c>
      <c r="AI3" s="287"/>
      <c r="AJ3" s="287"/>
      <c r="AK3" s="287"/>
    </row>
    <row r="4" spans="1:37" s="234" customFormat="1" ht="11.25" customHeight="1" thickBot="1" x14ac:dyDescent="0.3">
      <c r="A4" s="550">
        <f>[13]Altalanos!$A$10</f>
        <v>0</v>
      </c>
      <c r="B4" s="550"/>
      <c r="C4" s="550"/>
      <c r="D4" s="384"/>
      <c r="E4" s="385"/>
      <c r="F4" s="385"/>
      <c r="G4" s="385">
        <f>[13]Altalanos!$C$10</f>
        <v>0</v>
      </c>
      <c r="H4" s="386"/>
      <c r="I4" s="385"/>
      <c r="J4" s="387"/>
      <c r="K4" s="388"/>
      <c r="L4" s="387"/>
      <c r="M4" s="389"/>
      <c r="N4" s="387"/>
      <c r="O4" s="385"/>
      <c r="P4" s="387"/>
      <c r="Q4" s="385"/>
      <c r="R4" s="390">
        <f>[13]Altalanos!$E$10</f>
        <v>0</v>
      </c>
      <c r="Y4" s="221"/>
      <c r="Z4" s="221"/>
      <c r="AA4" s="382" t="s">
        <v>67</v>
      </c>
      <c r="AB4" s="383">
        <v>250</v>
      </c>
      <c r="AC4" s="383">
        <v>200</v>
      </c>
      <c r="AD4" s="383">
        <v>150</v>
      </c>
      <c r="AE4" s="383">
        <v>120</v>
      </c>
      <c r="AF4" s="383">
        <v>90</v>
      </c>
      <c r="AG4" s="383">
        <v>60</v>
      </c>
      <c r="AH4" s="383">
        <v>25</v>
      </c>
      <c r="AI4" s="287"/>
      <c r="AJ4" s="287"/>
      <c r="AK4" s="287"/>
    </row>
    <row r="5" spans="1:37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105</v>
      </c>
      <c r="N5" s="240"/>
      <c r="O5" s="237" t="s">
        <v>97</v>
      </c>
      <c r="P5" s="240"/>
      <c r="Q5" s="237" t="s">
        <v>98</v>
      </c>
      <c r="R5" s="241"/>
      <c r="Y5" s="221">
        <f>IF(OR([13]Altalanos!$A$8="F1",[13]Altalanos!$A$8="F2",[13]Altalanos!$A$8="N1",[13]Altalanos!$A$8="N2"),1,2)</f>
        <v>2</v>
      </c>
      <c r="Z5" s="221"/>
      <c r="AA5" s="382" t="s">
        <v>68</v>
      </c>
      <c r="AB5" s="383">
        <v>200</v>
      </c>
      <c r="AC5" s="383">
        <v>150</v>
      </c>
      <c r="AD5" s="383">
        <v>120</v>
      </c>
      <c r="AE5" s="383">
        <v>90</v>
      </c>
      <c r="AF5" s="383">
        <v>60</v>
      </c>
      <c r="AG5" s="383">
        <v>40</v>
      </c>
      <c r="AH5" s="383">
        <v>15</v>
      </c>
      <c r="AI5" s="287"/>
      <c r="AJ5" s="287"/>
      <c r="AK5" s="287"/>
    </row>
    <row r="6" spans="1:37" s="248" customFormat="1" ht="10.95" customHeight="1" thickBot="1" x14ac:dyDescent="0.3">
      <c r="A6" s="391"/>
      <c r="B6" s="243"/>
      <c r="C6" s="243"/>
      <c r="D6" s="243"/>
      <c r="E6" s="243"/>
      <c r="F6" s="242" t="str">
        <f>IF(Y3="","",CONCATENATE(AH1," / ",VLOOKUP(Y3,AB1:AH1,5)," pont"))</f>
        <v/>
      </c>
      <c r="G6" s="244"/>
      <c r="H6" s="245"/>
      <c r="I6" s="244"/>
      <c r="J6" s="246"/>
      <c r="K6" s="243" t="str">
        <f>IF(Y3="","",CONCATENATE(VLOOKUP(Y3,AB1:AH1,4)," pont"))</f>
        <v/>
      </c>
      <c r="L6" s="246"/>
      <c r="M6" s="243" t="str">
        <f>IF(Y3="","",CONCATENATE(VLOOKUP(Y3,AB1:AH1,3)," pont"))</f>
        <v/>
      </c>
      <c r="N6" s="246"/>
      <c r="O6" s="243" t="str">
        <f>IF(Y3="","",CONCATENATE(VLOOKUP(Y3,AB1:AH1,2)," pont"))</f>
        <v/>
      </c>
      <c r="P6" s="246"/>
      <c r="Q6" s="243" t="str">
        <f>IF(Y3="","",CONCATENATE(VLOOKUP(Y3,AB1:AH1,1)," pont"))</f>
        <v/>
      </c>
      <c r="R6" s="247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392"/>
      <c r="AJ6" s="392"/>
      <c r="AK6" s="392"/>
    </row>
    <row r="7" spans="1:37" s="266" customFormat="1" ht="13.05" customHeight="1" x14ac:dyDescent="0.25">
      <c r="A7" s="253">
        <v>1</v>
      </c>
      <c r="B7" s="393" t="str">
        <f>IF($E7="","",VLOOKUP($E7,'[13]1MD ELO'!$A$7:$O$22,14))</f>
        <v/>
      </c>
      <c r="C7" s="394" t="str">
        <f>IF($E7="","",VLOOKUP($E7,'[13]1MD ELO'!$A$7:$O$22,15))</f>
        <v/>
      </c>
      <c r="D7" s="394" t="str">
        <f>IF($E7="","",VLOOKUP($E7,'[13]1MD ELO'!$A$7:$O$22,5))</f>
        <v/>
      </c>
      <c r="E7" s="395"/>
      <c r="F7" s="397" t="str">
        <f>UPPER(IF($E7="","",VLOOKUP($E7,'[13]1MD ELO'!$A$7:$O$22,2)))</f>
        <v/>
      </c>
      <c r="G7" s="397" t="str">
        <f>IF($E7="","",VLOOKUP($E7,'[13]1MD ELO'!$A$7:$O$22,3))</f>
        <v/>
      </c>
      <c r="H7" s="397"/>
      <c r="I7" s="397" t="str">
        <f>IF($E7="","",VLOOKUP($E7,'[13]1MD ELO'!$A$7:$O$22,4))</f>
        <v/>
      </c>
      <c r="J7" s="399"/>
      <c r="K7" s="400"/>
      <c r="L7" s="400"/>
      <c r="M7" s="400"/>
      <c r="N7" s="400"/>
      <c r="O7" s="260"/>
      <c r="P7" s="261"/>
      <c r="Q7" s="262"/>
      <c r="R7" s="263"/>
      <c r="S7" s="264"/>
      <c r="U7" s="401" t="str">
        <f>[13]Birók!P21</f>
        <v>Bíró</v>
      </c>
      <c r="Y7" s="221"/>
      <c r="Z7" s="221"/>
      <c r="AA7" s="382" t="s">
        <v>70</v>
      </c>
      <c r="AB7" s="383">
        <v>120</v>
      </c>
      <c r="AC7" s="383">
        <v>90</v>
      </c>
      <c r="AD7" s="383">
        <v>60</v>
      </c>
      <c r="AE7" s="383">
        <v>40</v>
      </c>
      <c r="AF7" s="383">
        <v>25</v>
      </c>
      <c r="AG7" s="383">
        <v>10</v>
      </c>
      <c r="AH7" s="383">
        <v>5</v>
      </c>
      <c r="AI7" s="287"/>
      <c r="AJ7" s="287"/>
      <c r="AK7" s="287"/>
    </row>
    <row r="8" spans="1:37" s="266" customFormat="1" ht="13.05" customHeight="1" x14ac:dyDescent="0.25">
      <c r="A8" s="267"/>
      <c r="B8" s="402"/>
      <c r="C8" s="403"/>
      <c r="D8" s="403"/>
      <c r="E8" s="404"/>
      <c r="F8" s="405"/>
      <c r="G8" s="405"/>
      <c r="H8" s="406"/>
      <c r="I8" s="407" t="s">
        <v>99</v>
      </c>
      <c r="J8" s="274"/>
      <c r="K8" s="408" t="str">
        <f>UPPER(IF(OR(J8="a",J8="as"),F7,IF(OR(J8="b",J8="bs"),F9,)))</f>
        <v/>
      </c>
      <c r="L8" s="408"/>
      <c r="M8" s="400"/>
      <c r="N8" s="400"/>
      <c r="O8" s="260"/>
      <c r="P8" s="261"/>
      <c r="Q8" s="262"/>
      <c r="R8" s="263"/>
      <c r="S8" s="264"/>
      <c r="U8" s="409" t="str">
        <f>[13]Birók!P22</f>
        <v xml:space="preserve"> </v>
      </c>
      <c r="Y8" s="221"/>
      <c r="Z8" s="221"/>
      <c r="AA8" s="382" t="s">
        <v>71</v>
      </c>
      <c r="AB8" s="383">
        <v>90</v>
      </c>
      <c r="AC8" s="383">
        <v>60</v>
      </c>
      <c r="AD8" s="383">
        <v>40</v>
      </c>
      <c r="AE8" s="383">
        <v>25</v>
      </c>
      <c r="AF8" s="383">
        <v>10</v>
      </c>
      <c r="AG8" s="383">
        <v>5</v>
      </c>
      <c r="AH8" s="383">
        <v>2</v>
      </c>
      <c r="AI8" s="287"/>
      <c r="AJ8" s="287"/>
      <c r="AK8" s="287"/>
    </row>
    <row r="9" spans="1:37" s="266" customFormat="1" ht="13.05" customHeight="1" x14ac:dyDescent="0.25">
      <c r="A9" s="267">
        <v>2</v>
      </c>
      <c r="B9" s="393" t="str">
        <f>IF($E9="","",VLOOKUP($E9,'[13]1MD ELO'!$A$7:$O$22,14))</f>
        <v/>
      </c>
      <c r="C9" s="394" t="str">
        <f>IF($E9="","",VLOOKUP($E9,'[13]1MD ELO'!$A$7:$O$22,15))</f>
        <v/>
      </c>
      <c r="D9" s="394" t="str">
        <f>IF($E9="","",VLOOKUP($E9,'[13]1MD ELO'!$A$7:$O$22,5))</f>
        <v/>
      </c>
      <c r="E9" s="395"/>
      <c r="F9" s="410" t="str">
        <f>UPPER(IF($E9="","",VLOOKUP($E9,'[13]1MD ELO'!$A$7:$O$22,2)))</f>
        <v/>
      </c>
      <c r="G9" s="410" t="str">
        <f>IF($E9="","",VLOOKUP($E9,'[13]1MD ELO'!$A$7:$O$22,3))</f>
        <v/>
      </c>
      <c r="H9" s="410"/>
      <c r="I9" s="397" t="str">
        <f>IF($E9="","",VLOOKUP($E9,'[13]1MD ELO'!$A$7:$O$22,4))</f>
        <v/>
      </c>
      <c r="J9" s="411"/>
      <c r="K9" s="400"/>
      <c r="L9" s="412"/>
      <c r="M9" s="400"/>
      <c r="N9" s="400"/>
      <c r="O9" s="260"/>
      <c r="P9" s="261"/>
      <c r="Q9" s="262"/>
      <c r="R9" s="263"/>
      <c r="S9" s="264"/>
      <c r="U9" s="409" t="str">
        <f>[13]Birók!P23</f>
        <v xml:space="preserve"> </v>
      </c>
      <c r="Y9" s="221"/>
      <c r="Z9" s="221"/>
      <c r="AA9" s="382" t="s">
        <v>72</v>
      </c>
      <c r="AB9" s="383">
        <v>60</v>
      </c>
      <c r="AC9" s="383">
        <v>40</v>
      </c>
      <c r="AD9" s="383">
        <v>25</v>
      </c>
      <c r="AE9" s="383">
        <v>10</v>
      </c>
      <c r="AF9" s="383">
        <v>5</v>
      </c>
      <c r="AG9" s="383">
        <v>2</v>
      </c>
      <c r="AH9" s="383">
        <v>1</v>
      </c>
      <c r="AI9" s="287"/>
      <c r="AJ9" s="287"/>
      <c r="AK9" s="287"/>
    </row>
    <row r="10" spans="1:37" s="266" customFormat="1" ht="13.05" customHeight="1" x14ac:dyDescent="0.25">
      <c r="A10" s="267"/>
      <c r="B10" s="402"/>
      <c r="C10" s="403"/>
      <c r="D10" s="403"/>
      <c r="E10" s="413"/>
      <c r="F10" s="405"/>
      <c r="G10" s="405"/>
      <c r="H10" s="406"/>
      <c r="I10" s="400"/>
      <c r="J10" s="414"/>
      <c r="K10" s="415" t="s">
        <v>99</v>
      </c>
      <c r="L10" s="283"/>
      <c r="M10" s="408" t="str">
        <f>UPPER(IF(OR(L10="a",L10="as"),K8,IF(OR(L10="b",L10="bs"),K12,)))</f>
        <v/>
      </c>
      <c r="N10" s="416"/>
      <c r="O10" s="417"/>
      <c r="P10" s="417"/>
      <c r="Q10" s="262"/>
      <c r="R10" s="263"/>
      <c r="S10" s="264"/>
      <c r="U10" s="409" t="str">
        <f>[13]Birók!P24</f>
        <v xml:space="preserve"> </v>
      </c>
      <c r="Y10" s="221"/>
      <c r="Z10" s="221"/>
      <c r="AA10" s="382" t="s">
        <v>73</v>
      </c>
      <c r="AB10" s="383">
        <v>40</v>
      </c>
      <c r="AC10" s="383">
        <v>25</v>
      </c>
      <c r="AD10" s="383">
        <v>15</v>
      </c>
      <c r="AE10" s="383">
        <v>7</v>
      </c>
      <c r="AF10" s="383">
        <v>4</v>
      </c>
      <c r="AG10" s="383">
        <v>1</v>
      </c>
      <c r="AH10" s="383">
        <v>0</v>
      </c>
      <c r="AI10" s="287"/>
      <c r="AJ10" s="287"/>
      <c r="AK10" s="287"/>
    </row>
    <row r="11" spans="1:37" s="266" customFormat="1" ht="13.05" customHeight="1" x14ac:dyDescent="0.25">
      <c r="A11" s="267">
        <v>3</v>
      </c>
      <c r="B11" s="393" t="str">
        <f>IF($E11="","",VLOOKUP($E11,'[13]1MD ELO'!$A$7:$O$22,14))</f>
        <v/>
      </c>
      <c r="C11" s="394" t="str">
        <f>IF($E11="","",VLOOKUP($E11,'[13]1MD ELO'!$A$7:$O$22,15))</f>
        <v/>
      </c>
      <c r="D11" s="394" t="str">
        <f>IF($E11="","",VLOOKUP($E11,'[13]1MD ELO'!$A$7:$O$22,5))</f>
        <v/>
      </c>
      <c r="E11" s="395"/>
      <c r="F11" s="410" t="str">
        <f>UPPER(IF($E11="","",VLOOKUP($E11,'[13]1MD ELO'!$A$7:$O$22,2)))</f>
        <v/>
      </c>
      <c r="G11" s="410" t="str">
        <f>IF($E11="","",VLOOKUP($E11,'[13]1MD ELO'!$A$7:$O$22,3))</f>
        <v/>
      </c>
      <c r="H11" s="410"/>
      <c r="I11" s="410" t="str">
        <f>IF($E11="","",VLOOKUP($E11,'[13]1MD ELO'!$A$7:$O$22,4))</f>
        <v/>
      </c>
      <c r="J11" s="399"/>
      <c r="K11" s="400"/>
      <c r="L11" s="419"/>
      <c r="M11" s="400"/>
      <c r="N11" s="420"/>
      <c r="O11" s="417"/>
      <c r="P11" s="417"/>
      <c r="Q11" s="262"/>
      <c r="R11" s="263"/>
      <c r="S11" s="264"/>
      <c r="U11" s="409" t="str">
        <f>[13]Birók!P25</f>
        <v xml:space="preserve"> </v>
      </c>
      <c r="Y11" s="221"/>
      <c r="Z11" s="221"/>
      <c r="AA11" s="382" t="s">
        <v>74</v>
      </c>
      <c r="AB11" s="383">
        <v>25</v>
      </c>
      <c r="AC11" s="383">
        <v>15</v>
      </c>
      <c r="AD11" s="383">
        <v>10</v>
      </c>
      <c r="AE11" s="383">
        <v>6</v>
      </c>
      <c r="AF11" s="383">
        <v>3</v>
      </c>
      <c r="AG11" s="383">
        <v>1</v>
      </c>
      <c r="AH11" s="383">
        <v>0</v>
      </c>
      <c r="AI11" s="287"/>
      <c r="AJ11" s="287"/>
      <c r="AK11" s="287"/>
    </row>
    <row r="12" spans="1:37" s="266" customFormat="1" ht="13.05" customHeight="1" x14ac:dyDescent="0.25">
      <c r="A12" s="267"/>
      <c r="B12" s="402"/>
      <c r="C12" s="403"/>
      <c r="D12" s="403"/>
      <c r="E12" s="413"/>
      <c r="F12" s="405"/>
      <c r="G12" s="405"/>
      <c r="H12" s="406"/>
      <c r="I12" s="407" t="s">
        <v>99</v>
      </c>
      <c r="J12" s="274"/>
      <c r="K12" s="408" t="str">
        <f>UPPER(IF(OR(J12="a",J12="as"),F11,IF(OR(J12="b",J12="bs"),F13,)))</f>
        <v/>
      </c>
      <c r="L12" s="422"/>
      <c r="M12" s="400"/>
      <c r="N12" s="420"/>
      <c r="O12" s="417"/>
      <c r="P12" s="417"/>
      <c r="Q12" s="262"/>
      <c r="R12" s="263"/>
      <c r="S12" s="264"/>
      <c r="U12" s="409" t="str">
        <f>[13]Birók!P26</f>
        <v xml:space="preserve"> </v>
      </c>
      <c r="Y12" s="221"/>
      <c r="Z12" s="221"/>
      <c r="AA12" s="382" t="s">
        <v>79</v>
      </c>
      <c r="AB12" s="383">
        <v>15</v>
      </c>
      <c r="AC12" s="383">
        <v>10</v>
      </c>
      <c r="AD12" s="383">
        <v>6</v>
      </c>
      <c r="AE12" s="383">
        <v>3</v>
      </c>
      <c r="AF12" s="383">
        <v>1</v>
      </c>
      <c r="AG12" s="383">
        <v>0</v>
      </c>
      <c r="AH12" s="383">
        <v>0</v>
      </c>
      <c r="AI12" s="287"/>
      <c r="AJ12" s="287"/>
      <c r="AK12" s="287"/>
    </row>
    <row r="13" spans="1:37" s="266" customFormat="1" ht="13.05" customHeight="1" x14ac:dyDescent="0.25">
      <c r="A13" s="267">
        <v>4</v>
      </c>
      <c r="B13" s="393" t="str">
        <f>IF($E13="","",VLOOKUP($E13,'[13]1MD ELO'!$A$7:$O$22,14))</f>
        <v/>
      </c>
      <c r="C13" s="394" t="str">
        <f>IF($E13="","",VLOOKUP($E13,'[13]1MD ELO'!$A$7:$O$22,15))</f>
        <v/>
      </c>
      <c r="D13" s="394" t="str">
        <f>IF($E13="","",VLOOKUP($E13,'[13]1MD ELO'!$A$7:$O$22,5))</f>
        <v/>
      </c>
      <c r="E13" s="395"/>
      <c r="F13" s="410" t="str">
        <f>UPPER(IF($E13="","",VLOOKUP($E13,'[13]1MD ELO'!$A$7:$O$22,2)))</f>
        <v/>
      </c>
      <c r="G13" s="410" t="str">
        <f>IF($E13="","",VLOOKUP($E13,'[13]1MD ELO'!$A$7:$O$22,3))</f>
        <v/>
      </c>
      <c r="H13" s="410"/>
      <c r="I13" s="410" t="str">
        <f>IF($E13="","",VLOOKUP($E13,'[13]1MD ELO'!$A$7:$O$22,4))</f>
        <v/>
      </c>
      <c r="J13" s="423"/>
      <c r="K13" s="400"/>
      <c r="L13" s="400"/>
      <c r="M13" s="400"/>
      <c r="N13" s="420"/>
      <c r="O13" s="417"/>
      <c r="P13" s="417"/>
      <c r="Q13" s="262"/>
      <c r="R13" s="263"/>
      <c r="S13" s="264"/>
      <c r="U13" s="409" t="str">
        <f>[13]Birók!P27</f>
        <v xml:space="preserve"> </v>
      </c>
      <c r="Y13" s="221"/>
      <c r="Z13" s="221"/>
      <c r="AA13" s="382" t="s">
        <v>75</v>
      </c>
      <c r="AB13" s="383">
        <v>10</v>
      </c>
      <c r="AC13" s="383">
        <v>6</v>
      </c>
      <c r="AD13" s="383">
        <v>3</v>
      </c>
      <c r="AE13" s="383">
        <v>1</v>
      </c>
      <c r="AF13" s="383">
        <v>0</v>
      </c>
      <c r="AG13" s="383">
        <v>0</v>
      </c>
      <c r="AH13" s="383">
        <v>0</v>
      </c>
      <c r="AI13" s="287"/>
      <c r="AJ13" s="287"/>
      <c r="AK13" s="287"/>
    </row>
    <row r="14" spans="1:37" s="266" customFormat="1" ht="13.05" customHeight="1" x14ac:dyDescent="0.25">
      <c r="A14" s="267"/>
      <c r="B14" s="402"/>
      <c r="C14" s="403"/>
      <c r="D14" s="403"/>
      <c r="E14" s="413"/>
      <c r="F14" s="400"/>
      <c r="G14" s="400"/>
      <c r="H14" s="563"/>
      <c r="I14" s="424"/>
      <c r="J14" s="414"/>
      <c r="K14" s="400"/>
      <c r="L14" s="400"/>
      <c r="M14" s="415" t="s">
        <v>99</v>
      </c>
      <c r="N14" s="283"/>
      <c r="O14" s="408" t="str">
        <f>UPPER(IF(OR(N14="a",N14="as"),M10,IF(OR(N14="b",N14="bs"),M18,)))</f>
        <v/>
      </c>
      <c r="P14" s="416"/>
      <c r="Q14" s="262"/>
      <c r="R14" s="263"/>
      <c r="S14" s="264"/>
      <c r="U14" s="409" t="str">
        <f>[13]Birók!P28</f>
        <v xml:space="preserve"> </v>
      </c>
      <c r="Y14" s="221"/>
      <c r="Z14" s="221"/>
      <c r="AA14" s="382" t="s">
        <v>76</v>
      </c>
      <c r="AB14" s="383">
        <v>3</v>
      </c>
      <c r="AC14" s="383">
        <v>2</v>
      </c>
      <c r="AD14" s="383">
        <v>1</v>
      </c>
      <c r="AE14" s="383">
        <v>0</v>
      </c>
      <c r="AF14" s="383">
        <v>0</v>
      </c>
      <c r="AG14" s="383">
        <v>0</v>
      </c>
      <c r="AH14" s="383">
        <v>0</v>
      </c>
      <c r="AI14" s="287"/>
      <c r="AJ14" s="287"/>
      <c r="AK14" s="287"/>
    </row>
    <row r="15" spans="1:37" s="266" customFormat="1" ht="13.05" customHeight="1" x14ac:dyDescent="0.25">
      <c r="A15" s="253">
        <v>5</v>
      </c>
      <c r="B15" s="393" t="str">
        <f>IF($E15="","",VLOOKUP($E15,'[13]1MD ELO'!$A$7:$O$22,14))</f>
        <v/>
      </c>
      <c r="C15" s="394" t="str">
        <f>IF($E15="","",VLOOKUP($E15,'[13]1MD ELO'!$A$7:$O$22,15))</f>
        <v/>
      </c>
      <c r="D15" s="394" t="str">
        <f>IF($E15="","",VLOOKUP($E15,'[13]1MD ELO'!$A$7:$O$22,5))</f>
        <v/>
      </c>
      <c r="E15" s="395"/>
      <c r="F15" s="397" t="str">
        <f>UPPER(IF($E15="","",VLOOKUP($E15,'[13]1MD ELO'!$A$7:$O$22,2)))</f>
        <v/>
      </c>
      <c r="G15" s="397" t="str">
        <f>IF($E15="","",VLOOKUP($E15,'[13]1MD ELO'!$A$7:$O$22,3))</f>
        <v/>
      </c>
      <c r="H15" s="397"/>
      <c r="I15" s="397" t="str">
        <f>IF($E15="","",VLOOKUP($E15,'[13]1MD ELO'!$A$7:$O$22,4))</f>
        <v/>
      </c>
      <c r="J15" s="425"/>
      <c r="K15" s="400"/>
      <c r="L15" s="400"/>
      <c r="M15" s="400"/>
      <c r="N15" s="420"/>
      <c r="O15" s="400"/>
      <c r="P15" s="420"/>
      <c r="Q15" s="262"/>
      <c r="R15" s="263"/>
      <c r="S15" s="264"/>
      <c r="U15" s="409" t="str">
        <f>[13]Birók!P29</f>
        <v xml:space="preserve"> </v>
      </c>
      <c r="Y15" s="221"/>
      <c r="Z15" s="221"/>
      <c r="AA15" s="382"/>
      <c r="AB15" s="382"/>
      <c r="AC15" s="382"/>
      <c r="AD15" s="382"/>
      <c r="AE15" s="382"/>
      <c r="AF15" s="382"/>
      <c r="AG15" s="382"/>
      <c r="AH15" s="382"/>
      <c r="AI15" s="287"/>
      <c r="AJ15" s="287"/>
      <c r="AK15" s="287"/>
    </row>
    <row r="16" spans="1:37" s="266" customFormat="1" ht="13.05" customHeight="1" thickBot="1" x14ac:dyDescent="0.3">
      <c r="A16" s="267"/>
      <c r="B16" s="402"/>
      <c r="C16" s="403"/>
      <c r="D16" s="403"/>
      <c r="E16" s="413"/>
      <c r="F16" s="405"/>
      <c r="G16" s="405"/>
      <c r="H16" s="406"/>
      <c r="I16" s="407" t="s">
        <v>99</v>
      </c>
      <c r="J16" s="274"/>
      <c r="K16" s="408" t="str">
        <f>UPPER(IF(OR(J16="a",J16="as"),F15,IF(OR(J16="b",J16="bs"),F17,)))</f>
        <v/>
      </c>
      <c r="L16" s="408"/>
      <c r="M16" s="400"/>
      <c r="N16" s="420"/>
      <c r="O16" s="417"/>
      <c r="P16" s="420"/>
      <c r="Q16" s="262"/>
      <c r="R16" s="263"/>
      <c r="S16" s="264"/>
      <c r="U16" s="426" t="str">
        <f>[13]Birók!P30</f>
        <v>Egyik sem</v>
      </c>
      <c r="Y16" s="221"/>
      <c r="Z16" s="221"/>
      <c r="AA16" s="382" t="s">
        <v>43</v>
      </c>
      <c r="AB16" s="383">
        <v>150</v>
      </c>
      <c r="AC16" s="383">
        <v>120</v>
      </c>
      <c r="AD16" s="383">
        <v>90</v>
      </c>
      <c r="AE16" s="383">
        <v>60</v>
      </c>
      <c r="AF16" s="383">
        <v>40</v>
      </c>
      <c r="AG16" s="383">
        <v>25</v>
      </c>
      <c r="AH16" s="383">
        <v>15</v>
      </c>
      <c r="AI16" s="287"/>
      <c r="AJ16" s="287"/>
      <c r="AK16" s="287"/>
    </row>
    <row r="17" spans="1:37" s="266" customFormat="1" ht="13.05" customHeight="1" x14ac:dyDescent="0.25">
      <c r="A17" s="267">
        <v>6</v>
      </c>
      <c r="B17" s="393" t="str">
        <f>IF($E17="","",VLOOKUP($E17,'[13]1MD ELO'!$A$7:$O$22,14))</f>
        <v/>
      </c>
      <c r="C17" s="394" t="str">
        <f>IF($E17="","",VLOOKUP($E17,'[13]1MD ELO'!$A$7:$O$22,15))</f>
        <v/>
      </c>
      <c r="D17" s="394" t="str">
        <f>IF($E17="","",VLOOKUP($E17,'[13]1MD ELO'!$A$7:$O$22,5))</f>
        <v/>
      </c>
      <c r="E17" s="395"/>
      <c r="F17" s="410" t="str">
        <f>UPPER(IF($E17="","",VLOOKUP($E17,'[13]1MD ELO'!$A$7:$O$22,2)))</f>
        <v/>
      </c>
      <c r="G17" s="410" t="str">
        <f>IF($E17="","",VLOOKUP($E17,'[13]1MD ELO'!$A$7:$O$22,3))</f>
        <v/>
      </c>
      <c r="H17" s="410"/>
      <c r="I17" s="410" t="str">
        <f>IF($E17="","",VLOOKUP($E17,'[13]1MD ELO'!$A$7:$O$22,4))</f>
        <v/>
      </c>
      <c r="J17" s="411"/>
      <c r="K17" s="400"/>
      <c r="L17" s="412"/>
      <c r="M17" s="400"/>
      <c r="N17" s="420"/>
      <c r="O17" s="417"/>
      <c r="P17" s="420"/>
      <c r="Q17" s="262"/>
      <c r="R17" s="263"/>
      <c r="S17" s="264"/>
      <c r="Y17" s="221"/>
      <c r="Z17" s="221"/>
      <c r="AA17" s="382" t="s">
        <v>67</v>
      </c>
      <c r="AB17" s="383">
        <v>120</v>
      </c>
      <c r="AC17" s="383">
        <v>90</v>
      </c>
      <c r="AD17" s="383">
        <v>60</v>
      </c>
      <c r="AE17" s="383">
        <v>40</v>
      </c>
      <c r="AF17" s="383">
        <v>25</v>
      </c>
      <c r="AG17" s="383">
        <v>15</v>
      </c>
      <c r="AH17" s="383">
        <v>8</v>
      </c>
      <c r="AI17" s="287"/>
      <c r="AJ17" s="287"/>
      <c r="AK17" s="287"/>
    </row>
    <row r="18" spans="1:37" s="266" customFormat="1" ht="13.05" customHeight="1" x14ac:dyDescent="0.25">
      <c r="A18" s="267"/>
      <c r="B18" s="402"/>
      <c r="C18" s="403"/>
      <c r="D18" s="403"/>
      <c r="E18" s="413"/>
      <c r="F18" s="405"/>
      <c r="G18" s="405"/>
      <c r="H18" s="406"/>
      <c r="I18" s="400"/>
      <c r="J18" s="414"/>
      <c r="K18" s="415" t="s">
        <v>99</v>
      </c>
      <c r="L18" s="283"/>
      <c r="M18" s="408" t="str">
        <f>UPPER(IF(OR(L18="a",L18="as"),K16,IF(OR(L18="b",L18="bs"),K20,)))</f>
        <v/>
      </c>
      <c r="N18" s="427"/>
      <c r="O18" s="417"/>
      <c r="P18" s="420"/>
      <c r="Q18" s="262"/>
      <c r="R18" s="263"/>
      <c r="S18" s="264"/>
      <c r="Y18" s="221"/>
      <c r="Z18" s="221"/>
      <c r="AA18" s="382" t="s">
        <v>68</v>
      </c>
      <c r="AB18" s="383">
        <v>90</v>
      </c>
      <c r="AC18" s="383">
        <v>60</v>
      </c>
      <c r="AD18" s="383">
        <v>40</v>
      </c>
      <c r="AE18" s="383">
        <v>25</v>
      </c>
      <c r="AF18" s="383">
        <v>15</v>
      </c>
      <c r="AG18" s="383">
        <v>8</v>
      </c>
      <c r="AH18" s="383">
        <v>4</v>
      </c>
      <c r="AI18" s="287"/>
      <c r="AJ18" s="287"/>
      <c r="AK18" s="287"/>
    </row>
    <row r="19" spans="1:37" s="266" customFormat="1" ht="13.05" customHeight="1" x14ac:dyDescent="0.25">
      <c r="A19" s="267">
        <v>7</v>
      </c>
      <c r="B19" s="393" t="str">
        <f>IF($E19="","",VLOOKUP($E19,'[13]1MD ELO'!$A$7:$O$22,14))</f>
        <v/>
      </c>
      <c r="C19" s="394" t="str">
        <f>IF($E19="","",VLOOKUP($E19,'[13]1MD ELO'!$A$7:$O$22,15))</f>
        <v/>
      </c>
      <c r="D19" s="394" t="str">
        <f>IF($E19="","",VLOOKUP($E19,'[13]1MD ELO'!$A$7:$O$22,5))</f>
        <v/>
      </c>
      <c r="E19" s="395"/>
      <c r="F19" s="410" t="str">
        <f>UPPER(IF($E19="","",VLOOKUP($E19,'[13]1MD ELO'!$A$7:$O$22,2)))</f>
        <v/>
      </c>
      <c r="G19" s="410" t="str">
        <f>IF($E19="","",VLOOKUP($E19,'[13]1MD ELO'!$A$7:$O$22,3))</f>
        <v/>
      </c>
      <c r="H19" s="410"/>
      <c r="I19" s="410" t="str">
        <f>IF($E19="","",VLOOKUP($E19,'[13]1MD ELO'!$A$7:$O$22,4))</f>
        <v/>
      </c>
      <c r="J19" s="399"/>
      <c r="K19" s="400"/>
      <c r="L19" s="419"/>
      <c r="M19" s="400"/>
      <c r="N19" s="417"/>
      <c r="O19" s="417"/>
      <c r="P19" s="420"/>
      <c r="Q19" s="262"/>
      <c r="R19" s="263"/>
      <c r="S19" s="264"/>
      <c r="Y19" s="221"/>
      <c r="Z19" s="221"/>
      <c r="AA19" s="382" t="s">
        <v>69</v>
      </c>
      <c r="AB19" s="383">
        <v>60</v>
      </c>
      <c r="AC19" s="383">
        <v>40</v>
      </c>
      <c r="AD19" s="383">
        <v>25</v>
      </c>
      <c r="AE19" s="383">
        <v>15</v>
      </c>
      <c r="AF19" s="383">
        <v>8</v>
      </c>
      <c r="AG19" s="383">
        <v>4</v>
      </c>
      <c r="AH19" s="383">
        <v>2</v>
      </c>
      <c r="AI19" s="287"/>
      <c r="AJ19" s="287"/>
      <c r="AK19" s="287"/>
    </row>
    <row r="20" spans="1:37" s="266" customFormat="1" ht="13.05" customHeight="1" x14ac:dyDescent="0.25">
      <c r="A20" s="267"/>
      <c r="B20" s="402"/>
      <c r="C20" s="403"/>
      <c r="D20" s="403"/>
      <c r="E20" s="404"/>
      <c r="F20" s="405"/>
      <c r="G20" s="405"/>
      <c r="H20" s="406"/>
      <c r="I20" s="407" t="s">
        <v>99</v>
      </c>
      <c r="J20" s="274"/>
      <c r="K20" s="408" t="str">
        <f>UPPER(IF(OR(J20="a",J20="as"),F19,IF(OR(J20="b",J20="bs"),F21,)))</f>
        <v/>
      </c>
      <c r="L20" s="422"/>
      <c r="M20" s="400"/>
      <c r="N20" s="417"/>
      <c r="O20" s="417"/>
      <c r="P20" s="420"/>
      <c r="Q20" s="262"/>
      <c r="R20" s="263"/>
      <c r="S20" s="264"/>
      <c r="Y20" s="221"/>
      <c r="Z20" s="221"/>
      <c r="AA20" s="382" t="s">
        <v>70</v>
      </c>
      <c r="AB20" s="383">
        <v>40</v>
      </c>
      <c r="AC20" s="383">
        <v>25</v>
      </c>
      <c r="AD20" s="383">
        <v>15</v>
      </c>
      <c r="AE20" s="383">
        <v>8</v>
      </c>
      <c r="AF20" s="383">
        <v>4</v>
      </c>
      <c r="AG20" s="383">
        <v>2</v>
      </c>
      <c r="AH20" s="383">
        <v>1</v>
      </c>
      <c r="AI20" s="287"/>
      <c r="AJ20" s="287"/>
      <c r="AK20" s="287"/>
    </row>
    <row r="21" spans="1:37" s="266" customFormat="1" ht="13.05" customHeight="1" x14ac:dyDescent="0.25">
      <c r="A21" s="267">
        <v>8</v>
      </c>
      <c r="B21" s="393" t="str">
        <f>IF($E21="","",VLOOKUP($E21,'[13]1MD ELO'!$A$7:$O$22,14))</f>
        <v/>
      </c>
      <c r="C21" s="394" t="str">
        <f>IF($E21="","",VLOOKUP($E21,'[13]1MD ELO'!$A$7:$O$22,15))</f>
        <v/>
      </c>
      <c r="D21" s="394" t="str">
        <f>IF($E21="","",VLOOKUP($E21,'[13]1MD ELO'!$A$7:$O$22,5))</f>
        <v/>
      </c>
      <c r="E21" s="395"/>
      <c r="F21" s="410" t="str">
        <f>UPPER(IF($E21="","",VLOOKUP($E21,'[13]1MD ELO'!$A$7:$O$22,2)))</f>
        <v/>
      </c>
      <c r="G21" s="410" t="str">
        <f>IF($E21="","",VLOOKUP($E21,'[13]1MD ELO'!$A$7:$O$22,3))</f>
        <v/>
      </c>
      <c r="H21" s="410"/>
      <c r="I21" s="410" t="str">
        <f>IF($E21="","",VLOOKUP($E21,'[13]1MD ELO'!$A$7:$O$22,4))</f>
        <v/>
      </c>
      <c r="J21" s="423"/>
      <c r="K21" s="400"/>
      <c r="L21" s="400"/>
      <c r="M21" s="400"/>
      <c r="N21" s="417"/>
      <c r="O21" s="417"/>
      <c r="P21" s="420"/>
      <c r="Q21" s="262"/>
      <c r="R21" s="263"/>
      <c r="S21" s="264"/>
      <c r="Y21" s="221"/>
      <c r="Z21" s="221"/>
      <c r="AA21" s="382" t="s">
        <v>71</v>
      </c>
      <c r="AB21" s="383">
        <v>25</v>
      </c>
      <c r="AC21" s="383">
        <v>15</v>
      </c>
      <c r="AD21" s="383">
        <v>10</v>
      </c>
      <c r="AE21" s="383">
        <v>6</v>
      </c>
      <c r="AF21" s="383">
        <v>3</v>
      </c>
      <c r="AG21" s="383">
        <v>1</v>
      </c>
      <c r="AH21" s="383">
        <v>0</v>
      </c>
      <c r="AI21" s="287"/>
      <c r="AJ21" s="287"/>
      <c r="AK21" s="287"/>
    </row>
    <row r="22" spans="1:37" s="266" customFormat="1" ht="13.05" customHeight="1" x14ac:dyDescent="0.25">
      <c r="A22" s="267"/>
      <c r="B22" s="402"/>
      <c r="C22" s="403"/>
      <c r="D22" s="403"/>
      <c r="E22" s="404"/>
      <c r="F22" s="424"/>
      <c r="G22" s="424"/>
      <c r="H22" s="429"/>
      <c r="I22" s="424"/>
      <c r="J22" s="414"/>
      <c r="K22" s="400"/>
      <c r="L22" s="400"/>
      <c r="M22" s="400"/>
      <c r="N22" s="417"/>
      <c r="O22" s="415" t="s">
        <v>99</v>
      </c>
      <c r="P22" s="283"/>
      <c r="Q22" s="408" t="s">
        <v>462</v>
      </c>
      <c r="R22" s="416"/>
      <c r="S22" s="264"/>
      <c r="Y22" s="221"/>
      <c r="Z22" s="221"/>
      <c r="AA22" s="382" t="s">
        <v>72</v>
      </c>
      <c r="AB22" s="383">
        <v>15</v>
      </c>
      <c r="AC22" s="383">
        <v>10</v>
      </c>
      <c r="AD22" s="383">
        <v>6</v>
      </c>
      <c r="AE22" s="383">
        <v>3</v>
      </c>
      <c r="AF22" s="383">
        <v>1</v>
      </c>
      <c r="AG22" s="383">
        <v>0</v>
      </c>
      <c r="AH22" s="383">
        <v>0</v>
      </c>
      <c r="AI22" s="287"/>
      <c r="AJ22" s="287"/>
      <c r="AK22" s="287"/>
    </row>
    <row r="23" spans="1:37" s="266" customFormat="1" ht="13.05" customHeight="1" x14ac:dyDescent="0.25">
      <c r="A23" s="267">
        <v>9</v>
      </c>
      <c r="B23" s="393" t="str">
        <f>IF($E23="","",VLOOKUP($E23,'[13]1MD ELO'!$A$7:$O$22,14))</f>
        <v/>
      </c>
      <c r="C23" s="394" t="str">
        <f>IF($E23="","",VLOOKUP($E23,'[13]1MD ELO'!$A$7:$O$22,15))</f>
        <v/>
      </c>
      <c r="D23" s="394" t="str">
        <f>IF($E23="","",VLOOKUP($E23,'[13]1MD ELO'!$A$7:$O$22,5))</f>
        <v/>
      </c>
      <c r="E23" s="395"/>
      <c r="F23" s="410" t="str">
        <f>UPPER(IF($E23="","",VLOOKUP($E23,'[13]1MD ELO'!$A$7:$O$22,2)))</f>
        <v/>
      </c>
      <c r="G23" s="410" t="str">
        <f>IF($E23="","",VLOOKUP($E23,'[13]1MD ELO'!$A$7:$O$22,3))</f>
        <v/>
      </c>
      <c r="H23" s="410"/>
      <c r="I23" s="410" t="str">
        <f>IF($E23="","",VLOOKUP($E23,'[13]1MD ELO'!$A$7:$O$22,4))</f>
        <v/>
      </c>
      <c r="J23" s="399"/>
      <c r="K23" s="400"/>
      <c r="L23" s="400"/>
      <c r="M23" s="400"/>
      <c r="N23" s="417"/>
      <c r="O23" s="400"/>
      <c r="P23" s="420"/>
      <c r="Q23" s="287" t="s">
        <v>123</v>
      </c>
      <c r="R23" s="417"/>
      <c r="S23" s="264"/>
      <c r="Y23" s="221"/>
      <c r="Z23" s="221"/>
      <c r="AA23" s="382" t="s">
        <v>73</v>
      </c>
      <c r="AB23" s="383">
        <v>10</v>
      </c>
      <c r="AC23" s="383">
        <v>6</v>
      </c>
      <c r="AD23" s="383">
        <v>3</v>
      </c>
      <c r="AE23" s="383">
        <v>1</v>
      </c>
      <c r="AF23" s="383">
        <v>0</v>
      </c>
      <c r="AG23" s="383">
        <v>0</v>
      </c>
      <c r="AH23" s="383">
        <v>0</v>
      </c>
      <c r="AI23" s="287"/>
      <c r="AJ23" s="287"/>
      <c r="AK23" s="287"/>
    </row>
    <row r="24" spans="1:37" s="266" customFormat="1" ht="13.05" customHeight="1" x14ac:dyDescent="0.25">
      <c r="A24" s="267"/>
      <c r="B24" s="402"/>
      <c r="C24" s="403"/>
      <c r="D24" s="403"/>
      <c r="E24" s="404"/>
      <c r="F24" s="405"/>
      <c r="G24" s="405"/>
      <c r="H24" s="406"/>
      <c r="I24" s="407" t="s">
        <v>99</v>
      </c>
      <c r="J24" s="274"/>
      <c r="K24" s="408" t="str">
        <f>UPPER(IF(OR(J24="a",J24="as"),F23,IF(OR(J24="b",J24="bs"),F25,)))</f>
        <v/>
      </c>
      <c r="L24" s="408"/>
      <c r="M24" s="400"/>
      <c r="N24" s="417"/>
      <c r="O24" s="417"/>
      <c r="P24" s="420"/>
      <c r="Q24" s="262"/>
      <c r="R24" s="263"/>
      <c r="S24" s="264"/>
      <c r="Y24" s="221"/>
      <c r="Z24" s="221"/>
      <c r="AA24" s="382" t="s">
        <v>74</v>
      </c>
      <c r="AB24" s="383">
        <v>6</v>
      </c>
      <c r="AC24" s="383">
        <v>3</v>
      </c>
      <c r="AD24" s="383">
        <v>1</v>
      </c>
      <c r="AE24" s="383">
        <v>0</v>
      </c>
      <c r="AF24" s="383">
        <v>0</v>
      </c>
      <c r="AG24" s="383">
        <v>0</v>
      </c>
      <c r="AH24" s="383">
        <v>0</v>
      </c>
      <c r="AI24" s="287"/>
      <c r="AJ24" s="287"/>
      <c r="AK24" s="287"/>
    </row>
    <row r="25" spans="1:37" s="266" customFormat="1" ht="13.05" customHeight="1" x14ac:dyDescent="0.25">
      <c r="A25" s="267">
        <v>10</v>
      </c>
      <c r="B25" s="393" t="str">
        <f>IF($E25="","",VLOOKUP($E25,'[13]1MD ELO'!$A$7:$O$22,14))</f>
        <v/>
      </c>
      <c r="C25" s="394" t="str">
        <f>IF($E25="","",VLOOKUP($E25,'[13]1MD ELO'!$A$7:$O$22,15))</f>
        <v/>
      </c>
      <c r="D25" s="394" t="str">
        <f>IF($E25="","",VLOOKUP($E25,'[13]1MD ELO'!$A$7:$O$22,5))</f>
        <v/>
      </c>
      <c r="E25" s="395"/>
      <c r="F25" s="410" t="str">
        <f>UPPER(IF($E25="","",VLOOKUP($E25,'[13]1MD ELO'!$A$7:$O$22,2)))</f>
        <v/>
      </c>
      <c r="G25" s="410" t="str">
        <f>IF($E25="","",VLOOKUP($E25,'[13]1MD ELO'!$A$7:$O$22,3))</f>
        <v/>
      </c>
      <c r="H25" s="410"/>
      <c r="I25" s="410" t="str">
        <f>IF($E25="","",VLOOKUP($E25,'[13]1MD ELO'!$A$7:$O$22,4))</f>
        <v/>
      </c>
      <c r="J25" s="411"/>
      <c r="K25" s="400"/>
      <c r="L25" s="412"/>
      <c r="M25" s="400"/>
      <c r="N25" s="417"/>
      <c r="O25" s="417"/>
      <c r="P25" s="420"/>
      <c r="Q25" s="262"/>
      <c r="R25" s="263"/>
      <c r="S25" s="264"/>
      <c r="Y25" s="221"/>
      <c r="Z25" s="221"/>
      <c r="AA25" s="382" t="s">
        <v>79</v>
      </c>
      <c r="AB25" s="383">
        <v>3</v>
      </c>
      <c r="AC25" s="383">
        <v>2</v>
      </c>
      <c r="AD25" s="383">
        <v>1</v>
      </c>
      <c r="AE25" s="383">
        <v>0</v>
      </c>
      <c r="AF25" s="383">
        <v>0</v>
      </c>
      <c r="AG25" s="383">
        <v>0</v>
      </c>
      <c r="AH25" s="383">
        <v>0</v>
      </c>
      <c r="AI25" s="287"/>
      <c r="AJ25" s="287"/>
      <c r="AK25" s="287"/>
    </row>
    <row r="26" spans="1:37" s="266" customFormat="1" ht="13.05" customHeight="1" x14ac:dyDescent="0.25">
      <c r="A26" s="267"/>
      <c r="B26" s="402"/>
      <c r="C26" s="403"/>
      <c r="D26" s="403"/>
      <c r="E26" s="413"/>
      <c r="F26" s="405"/>
      <c r="G26" s="405"/>
      <c r="H26" s="406"/>
      <c r="I26" s="400"/>
      <c r="J26" s="414"/>
      <c r="K26" s="415" t="s">
        <v>99</v>
      </c>
      <c r="L26" s="283"/>
      <c r="M26" s="408" t="str">
        <f>UPPER(IF(OR(L26="a",L26="as"),K24,IF(OR(L26="b",L26="bs"),K28,)))</f>
        <v/>
      </c>
      <c r="N26" s="416"/>
      <c r="O26" s="417"/>
      <c r="P26" s="420"/>
      <c r="Q26" s="262"/>
      <c r="R26" s="263"/>
      <c r="S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</row>
    <row r="27" spans="1:37" s="266" customFormat="1" ht="13.05" customHeight="1" x14ac:dyDescent="0.25">
      <c r="A27" s="267">
        <v>11</v>
      </c>
      <c r="B27" s="393" t="str">
        <f>IF($E27="","",VLOOKUP($E27,'[13]1MD ELO'!$A$7:$O$22,14))</f>
        <v/>
      </c>
      <c r="C27" s="394" t="str">
        <f>IF($E27="","",VLOOKUP($E27,'[13]1MD ELO'!$A$7:$O$22,15))</f>
        <v/>
      </c>
      <c r="D27" s="394" t="str">
        <f>IF($E27="","",VLOOKUP($E27,'[13]1MD ELO'!$A$7:$O$22,5))</f>
        <v/>
      </c>
      <c r="E27" s="395"/>
      <c r="F27" s="410" t="str">
        <f>UPPER(IF($E27="","",VLOOKUP($E27,'[13]1MD ELO'!$A$7:$O$22,2)))</f>
        <v/>
      </c>
      <c r="G27" s="410" t="str">
        <f>IF($E27="","",VLOOKUP($E27,'[13]1MD ELO'!$A$7:$O$22,3))</f>
        <v/>
      </c>
      <c r="H27" s="410"/>
      <c r="I27" s="410" t="str">
        <f>IF($E27="","",VLOOKUP($E27,'[13]1MD ELO'!$A$7:$O$22,4))</f>
        <v/>
      </c>
      <c r="J27" s="399"/>
      <c r="K27" s="400"/>
      <c r="L27" s="419"/>
      <c r="M27" s="400"/>
      <c r="N27" s="420"/>
      <c r="O27" s="417"/>
      <c r="P27" s="420"/>
      <c r="Q27" s="262"/>
      <c r="R27" s="263"/>
      <c r="S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</row>
    <row r="28" spans="1:37" s="266" customFormat="1" ht="13.05" customHeight="1" x14ac:dyDescent="0.25">
      <c r="A28" s="295"/>
      <c r="B28" s="402"/>
      <c r="C28" s="403"/>
      <c r="D28" s="403"/>
      <c r="E28" s="413"/>
      <c r="F28" s="405"/>
      <c r="G28" s="405"/>
      <c r="H28" s="406"/>
      <c r="I28" s="407" t="s">
        <v>99</v>
      </c>
      <c r="J28" s="274"/>
      <c r="K28" s="408" t="str">
        <f>UPPER(IF(OR(J28="a",J28="as"),F27,IF(OR(J28="b",J28="bs"),F29,)))</f>
        <v/>
      </c>
      <c r="L28" s="422"/>
      <c r="M28" s="400"/>
      <c r="N28" s="420"/>
      <c r="O28" s="417"/>
      <c r="P28" s="420"/>
      <c r="Q28" s="262"/>
      <c r="R28" s="263"/>
      <c r="S28" s="264"/>
    </row>
    <row r="29" spans="1:37" s="266" customFormat="1" ht="13.05" customHeight="1" x14ac:dyDescent="0.25">
      <c r="A29" s="253">
        <v>12</v>
      </c>
      <c r="B29" s="393" t="str">
        <f>IF($E29="","",VLOOKUP($E29,'[13]1MD ELO'!$A$7:$O$22,14))</f>
        <v/>
      </c>
      <c r="C29" s="394" t="str">
        <f>IF($E29="","",VLOOKUP($E29,'[13]1MD ELO'!$A$7:$O$22,15))</f>
        <v/>
      </c>
      <c r="D29" s="394" t="str">
        <f>IF($E29="","",VLOOKUP($E29,'[13]1MD ELO'!$A$7:$O$22,5))</f>
        <v/>
      </c>
      <c r="E29" s="395"/>
      <c r="F29" s="397" t="str">
        <f>UPPER(IF($E29="","",VLOOKUP($E29,'[13]1MD ELO'!$A$7:$O$22,2)))</f>
        <v/>
      </c>
      <c r="G29" s="397" t="str">
        <f>IF($E29="","",VLOOKUP($E29,'[13]1MD ELO'!$A$7:$O$22,3))</f>
        <v/>
      </c>
      <c r="H29" s="397"/>
      <c r="I29" s="397" t="str">
        <f>IF($E29="","",VLOOKUP($E29,'[13]1MD ELO'!$A$7:$O$22,4))</f>
        <v/>
      </c>
      <c r="J29" s="423"/>
      <c r="K29" s="400"/>
      <c r="L29" s="400"/>
      <c r="M29" s="400"/>
      <c r="N29" s="420"/>
      <c r="O29" s="417"/>
      <c r="P29" s="420"/>
      <c r="Q29" s="262"/>
      <c r="R29" s="263"/>
      <c r="S29" s="264"/>
    </row>
    <row r="30" spans="1:37" s="266" customFormat="1" ht="13.05" customHeight="1" x14ac:dyDescent="0.25">
      <c r="A30" s="267"/>
      <c r="B30" s="402"/>
      <c r="C30" s="403"/>
      <c r="D30" s="403"/>
      <c r="E30" s="413"/>
      <c r="F30" s="400"/>
      <c r="G30" s="400"/>
      <c r="H30" s="563"/>
      <c r="I30" s="424"/>
      <c r="J30" s="414"/>
      <c r="K30" s="400"/>
      <c r="L30" s="400"/>
      <c r="M30" s="415" t="s">
        <v>99</v>
      </c>
      <c r="N30" s="283"/>
      <c r="O30" s="408" t="str">
        <f>UPPER(IF(OR(N30="a",N30="as"),M26,IF(OR(N30="b",N30="bs"),M34,)))</f>
        <v/>
      </c>
      <c r="P30" s="427"/>
      <c r="Q30" s="262"/>
      <c r="R30" s="263"/>
      <c r="S30" s="264"/>
    </row>
    <row r="31" spans="1:37" s="266" customFormat="1" ht="13.05" customHeight="1" x14ac:dyDescent="0.25">
      <c r="A31" s="267">
        <v>13</v>
      </c>
      <c r="B31" s="393" t="str">
        <f>IF($E31="","",VLOOKUP($E31,'[13]1MD ELO'!$A$7:$O$22,14))</f>
        <v/>
      </c>
      <c r="C31" s="394" t="str">
        <f>IF($E31="","",VLOOKUP($E31,'[13]1MD ELO'!$A$7:$O$22,15))</f>
        <v/>
      </c>
      <c r="D31" s="394" t="str">
        <f>IF($E31="","",VLOOKUP($E31,'[13]1MD ELO'!$A$7:$O$22,5))</f>
        <v/>
      </c>
      <c r="E31" s="395"/>
      <c r="F31" s="410" t="str">
        <f>UPPER(IF($E31="","",VLOOKUP($E31,'[13]1MD ELO'!$A$7:$O$22,2)))</f>
        <v/>
      </c>
      <c r="G31" s="410" t="str">
        <f>IF($E31="","",VLOOKUP($E31,'[13]1MD ELO'!$A$7:$O$22,3))</f>
        <v/>
      </c>
      <c r="H31" s="410"/>
      <c r="I31" s="410" t="str">
        <f>IF($E31="","",VLOOKUP($E31,'[13]1MD ELO'!$A$7:$O$22,4))</f>
        <v/>
      </c>
      <c r="J31" s="425"/>
      <c r="K31" s="400"/>
      <c r="L31" s="400"/>
      <c r="M31" s="400"/>
      <c r="N31" s="420"/>
      <c r="O31" s="400"/>
      <c r="P31" s="417"/>
      <c r="Q31" s="262"/>
      <c r="R31" s="263"/>
      <c r="S31" s="264"/>
    </row>
    <row r="32" spans="1:37" s="266" customFormat="1" ht="13.05" customHeight="1" x14ac:dyDescent="0.25">
      <c r="A32" s="267"/>
      <c r="B32" s="402"/>
      <c r="C32" s="403"/>
      <c r="D32" s="403"/>
      <c r="E32" s="413"/>
      <c r="F32" s="405"/>
      <c r="G32" s="405"/>
      <c r="H32" s="406"/>
      <c r="I32" s="415" t="s">
        <v>99</v>
      </c>
      <c r="J32" s="274"/>
      <c r="K32" s="408" t="str">
        <f>UPPER(IF(OR(J32="a",J32="as"),F31,IF(OR(J32="b",J32="bs"),F33,)))</f>
        <v/>
      </c>
      <c r="L32" s="408"/>
      <c r="M32" s="400"/>
      <c r="N32" s="420"/>
      <c r="O32" s="417"/>
      <c r="P32" s="417"/>
      <c r="Q32" s="262"/>
      <c r="R32" s="263"/>
      <c r="S32" s="264"/>
    </row>
    <row r="33" spans="1:19" s="266" customFormat="1" ht="13.05" customHeight="1" x14ac:dyDescent="0.25">
      <c r="A33" s="267">
        <v>14</v>
      </c>
      <c r="B33" s="393" t="str">
        <f>IF($E33="","",VLOOKUP($E33,'[13]1MD ELO'!$A$7:$O$22,14))</f>
        <v/>
      </c>
      <c r="C33" s="394" t="str">
        <f>IF($E33="","",VLOOKUP($E33,'[13]1MD ELO'!$A$7:$O$22,15))</f>
        <v/>
      </c>
      <c r="D33" s="394" t="str">
        <f>IF($E33="","",VLOOKUP($E33,'[13]1MD ELO'!$A$7:$O$22,5))</f>
        <v/>
      </c>
      <c r="E33" s="395"/>
      <c r="F33" s="410" t="str">
        <f>UPPER(IF($E33="","",VLOOKUP($E33,'[13]1MD ELO'!$A$7:$O$22,2)))</f>
        <v/>
      </c>
      <c r="G33" s="410" t="str">
        <f>IF($E33="","",VLOOKUP($E33,'[13]1MD ELO'!$A$7:$O$22,3))</f>
        <v/>
      </c>
      <c r="H33" s="410"/>
      <c r="I33" s="410" t="str">
        <f>IF($E33="","",VLOOKUP($E33,'[13]1MD ELO'!$A$7:$O$22,4))</f>
        <v/>
      </c>
      <c r="J33" s="411"/>
      <c r="K33" s="400"/>
      <c r="L33" s="412"/>
      <c r="M33" s="400"/>
      <c r="N33" s="420"/>
      <c r="O33" s="417"/>
      <c r="P33" s="417"/>
      <c r="Q33" s="262"/>
      <c r="R33" s="263"/>
      <c r="S33" s="264"/>
    </row>
    <row r="34" spans="1:19" s="266" customFormat="1" ht="13.05" customHeight="1" x14ac:dyDescent="0.25">
      <c r="A34" s="267"/>
      <c r="B34" s="402"/>
      <c r="C34" s="403"/>
      <c r="D34" s="403"/>
      <c r="E34" s="413"/>
      <c r="F34" s="405"/>
      <c r="G34" s="405"/>
      <c r="H34" s="406"/>
      <c r="I34" s="400"/>
      <c r="J34" s="414"/>
      <c r="K34" s="415" t="s">
        <v>99</v>
      </c>
      <c r="L34" s="283"/>
      <c r="M34" s="408" t="str">
        <f>UPPER(IF(OR(L34="a",L34="as"),K32,IF(OR(L34="b",L34="bs"),K36,)))</f>
        <v/>
      </c>
      <c r="N34" s="427"/>
      <c r="O34" s="417"/>
      <c r="P34" s="417"/>
      <c r="Q34" s="262"/>
      <c r="R34" s="263"/>
      <c r="S34" s="264"/>
    </row>
    <row r="35" spans="1:19" s="266" customFormat="1" ht="13.05" customHeight="1" x14ac:dyDescent="0.25">
      <c r="A35" s="267">
        <v>15</v>
      </c>
      <c r="B35" s="393" t="str">
        <f>IF($E35="","",VLOOKUP($E35,'[13]1MD ELO'!$A$7:$O$22,14))</f>
        <v/>
      </c>
      <c r="C35" s="394" t="str">
        <f>IF($E35="","",VLOOKUP($E35,'[13]1MD ELO'!$A$7:$O$22,15))</f>
        <v/>
      </c>
      <c r="D35" s="394" t="str">
        <f>IF($E35="","",VLOOKUP($E35,'[13]1MD ELO'!$A$7:$O$22,5))</f>
        <v/>
      </c>
      <c r="E35" s="395"/>
      <c r="F35" s="410" t="str">
        <f>UPPER(IF($E35="","",VLOOKUP($E35,'[13]1MD ELO'!$A$7:$O$22,2)))</f>
        <v/>
      </c>
      <c r="G35" s="410" t="str">
        <f>IF($E35="","",VLOOKUP($E35,'[13]1MD ELO'!$A$7:$O$22,3))</f>
        <v/>
      </c>
      <c r="H35" s="410"/>
      <c r="I35" s="410" t="str">
        <f>IF($E35="","",VLOOKUP($E35,'[13]1MD ELO'!$A$7:$O$22,4))</f>
        <v/>
      </c>
      <c r="J35" s="399"/>
      <c r="K35" s="400"/>
      <c r="L35" s="419"/>
      <c r="M35" s="400"/>
      <c r="N35" s="417"/>
      <c r="O35" s="417"/>
      <c r="P35" s="417"/>
      <c r="Q35" s="262"/>
      <c r="R35" s="263"/>
      <c r="S35" s="264"/>
    </row>
    <row r="36" spans="1:19" s="266" customFormat="1" ht="13.05" customHeight="1" x14ac:dyDescent="0.25">
      <c r="A36" s="267"/>
      <c r="B36" s="402"/>
      <c r="C36" s="403"/>
      <c r="D36" s="403"/>
      <c r="E36" s="404"/>
      <c r="F36" s="405"/>
      <c r="G36" s="405"/>
      <c r="H36" s="406"/>
      <c r="I36" s="415" t="s">
        <v>99</v>
      </c>
      <c r="J36" s="274"/>
      <c r="K36" s="408" t="str">
        <f>UPPER(IF(OR(J36="a",J36="as"),F35,IF(OR(J36="b",J36="bs"),F37,)))</f>
        <v/>
      </c>
      <c r="L36" s="422"/>
      <c r="M36" s="400"/>
      <c r="N36" s="417"/>
      <c r="O36" s="417"/>
      <c r="P36" s="417"/>
      <c r="Q36" s="262"/>
      <c r="R36" s="263"/>
      <c r="S36" s="264"/>
    </row>
    <row r="37" spans="1:19" s="266" customFormat="1" ht="13.05" customHeight="1" x14ac:dyDescent="0.25">
      <c r="A37" s="253">
        <v>16</v>
      </c>
      <c r="B37" s="393" t="str">
        <f>IF($E37="","",VLOOKUP($E37,'[13]1MD ELO'!$A$7:$O$22,14))</f>
        <v/>
      </c>
      <c r="C37" s="394" t="str">
        <f>IF($E37="","",VLOOKUP($E37,'[13]1MD ELO'!$A$7:$O$22,15))</f>
        <v/>
      </c>
      <c r="D37" s="394" t="str">
        <f>IF($E37="","",VLOOKUP($E37,'[13]1MD ELO'!$A$7:$O$22,5))</f>
        <v/>
      </c>
      <c r="E37" s="395"/>
      <c r="F37" s="397" t="str">
        <f>UPPER(IF($E37="","",VLOOKUP($E37,'[13]1MD ELO'!$A$7:$O$22,2)))</f>
        <v/>
      </c>
      <c r="G37" s="397" t="str">
        <f>IF($E37="","",VLOOKUP($E37,'[13]1MD ELO'!$A$7:$O$22,3))</f>
        <v/>
      </c>
      <c r="H37" s="410"/>
      <c r="I37" s="397" t="str">
        <f>IF($E37="","",VLOOKUP($E37,'[13]1MD ELO'!$A$7:$O$22,4))</f>
        <v/>
      </c>
      <c r="J37" s="423"/>
      <c r="K37" s="400"/>
      <c r="L37" s="400"/>
      <c r="M37" s="400"/>
      <c r="N37" s="417"/>
      <c r="O37" s="417"/>
      <c r="P37" s="417"/>
      <c r="Q37" s="262"/>
      <c r="R37" s="263"/>
      <c r="S37" s="264"/>
    </row>
    <row r="38" spans="1:19" s="266" customFormat="1" ht="9.4499999999999993" customHeight="1" x14ac:dyDescent="0.25">
      <c r="A38" s="428"/>
      <c r="B38" s="404"/>
      <c r="C38" s="404"/>
      <c r="D38" s="404"/>
      <c r="E38" s="404"/>
      <c r="F38" s="424"/>
      <c r="G38" s="424"/>
      <c r="H38" s="429"/>
      <c r="I38" s="400"/>
      <c r="J38" s="414"/>
      <c r="K38" s="400"/>
      <c r="L38" s="400"/>
      <c r="M38" s="400"/>
      <c r="N38" s="417"/>
      <c r="O38" s="417"/>
      <c r="P38" s="417"/>
      <c r="Q38" s="262"/>
      <c r="R38" s="263"/>
      <c r="S38" s="264"/>
    </row>
    <row r="39" spans="1:19" s="266" customFormat="1" ht="9.4499999999999993" customHeight="1" x14ac:dyDescent="0.25">
      <c r="A39" s="430"/>
      <c r="B39" s="431"/>
      <c r="C39" s="431"/>
      <c r="D39" s="431"/>
      <c r="E39" s="404"/>
      <c r="F39" s="431"/>
      <c r="G39" s="431"/>
      <c r="H39" s="431"/>
      <c r="I39" s="431"/>
      <c r="J39" s="404"/>
      <c r="K39" s="431"/>
      <c r="L39" s="431"/>
      <c r="M39" s="431"/>
      <c r="N39" s="432"/>
      <c r="O39" s="432"/>
      <c r="P39" s="432"/>
      <c r="Q39" s="262"/>
      <c r="R39" s="263"/>
      <c r="S39" s="264"/>
    </row>
    <row r="40" spans="1:19" s="266" customFormat="1" ht="9.4499999999999993" customHeight="1" x14ac:dyDescent="0.25">
      <c r="A40" s="428"/>
      <c r="B40" s="404"/>
      <c r="C40" s="404"/>
      <c r="D40" s="404"/>
      <c r="E40" s="404"/>
      <c r="F40" s="431"/>
      <c r="G40" s="431"/>
      <c r="I40" s="431"/>
      <c r="J40" s="404"/>
      <c r="K40" s="431"/>
      <c r="L40" s="431"/>
      <c r="M40" s="433"/>
      <c r="N40" s="404"/>
      <c r="O40" s="431"/>
      <c r="P40" s="432"/>
      <c r="Q40" s="262"/>
      <c r="R40" s="263"/>
      <c r="S40" s="264"/>
    </row>
    <row r="41" spans="1:19" s="266" customFormat="1" ht="9.4499999999999993" customHeight="1" x14ac:dyDescent="0.25">
      <c r="A41" s="428"/>
      <c r="B41" s="431"/>
      <c r="C41" s="431"/>
      <c r="D41" s="431"/>
      <c r="E41" s="404"/>
      <c r="F41" s="431"/>
      <c r="G41" s="431"/>
      <c r="H41" s="431"/>
      <c r="I41" s="431"/>
      <c r="J41" s="404"/>
      <c r="K41" s="431"/>
      <c r="L41" s="431"/>
      <c r="M41" s="431"/>
      <c r="N41" s="432"/>
      <c r="O41" s="431"/>
      <c r="P41" s="432"/>
      <c r="Q41" s="262"/>
      <c r="R41" s="263"/>
      <c r="S41" s="264"/>
    </row>
    <row r="42" spans="1:19" s="266" customFormat="1" ht="9.4499999999999993" customHeight="1" x14ac:dyDescent="0.25">
      <c r="A42" s="428"/>
      <c r="B42" s="404"/>
      <c r="C42" s="404"/>
      <c r="D42" s="404"/>
      <c r="E42" s="404"/>
      <c r="F42" s="431"/>
      <c r="G42" s="431"/>
      <c r="I42" s="433"/>
      <c r="J42" s="404"/>
      <c r="K42" s="431"/>
      <c r="L42" s="431"/>
      <c r="M42" s="431"/>
      <c r="N42" s="432"/>
      <c r="O42" s="432"/>
      <c r="P42" s="432"/>
      <c r="Q42" s="262"/>
      <c r="R42" s="263"/>
      <c r="S42" s="264"/>
    </row>
    <row r="43" spans="1:19" s="266" customFormat="1" ht="9.4499999999999993" customHeight="1" x14ac:dyDescent="0.25">
      <c r="A43" s="428"/>
      <c r="B43" s="431"/>
      <c r="C43" s="431"/>
      <c r="D43" s="431"/>
      <c r="E43" s="404"/>
      <c r="F43" s="431"/>
      <c r="G43" s="431"/>
      <c r="H43" s="431"/>
      <c r="I43" s="431"/>
      <c r="J43" s="404"/>
      <c r="K43" s="431"/>
      <c r="L43" s="434"/>
      <c r="M43" s="431"/>
      <c r="N43" s="432"/>
      <c r="O43" s="432"/>
      <c r="P43" s="432"/>
      <c r="Q43" s="262"/>
      <c r="R43" s="263"/>
      <c r="S43" s="264"/>
    </row>
    <row r="44" spans="1:19" s="266" customFormat="1" ht="9.4499999999999993" customHeight="1" x14ac:dyDescent="0.25">
      <c r="A44" s="428"/>
      <c r="B44" s="404"/>
      <c r="C44" s="404"/>
      <c r="D44" s="404"/>
      <c r="E44" s="404"/>
      <c r="F44" s="431"/>
      <c r="G44" s="431"/>
      <c r="I44" s="431"/>
      <c r="J44" s="404"/>
      <c r="K44" s="433"/>
      <c r="L44" s="404"/>
      <c r="M44" s="431"/>
      <c r="N44" s="432"/>
      <c r="O44" s="432"/>
      <c r="P44" s="432"/>
      <c r="Q44" s="262"/>
      <c r="R44" s="263"/>
      <c r="S44" s="264"/>
    </row>
    <row r="45" spans="1:19" s="266" customFormat="1" ht="9.4499999999999993" customHeight="1" x14ac:dyDescent="0.25">
      <c r="A45" s="428"/>
      <c r="B45" s="431"/>
      <c r="C45" s="431"/>
      <c r="D45" s="431"/>
      <c r="E45" s="404"/>
      <c r="F45" s="431"/>
      <c r="G45" s="431"/>
      <c r="H45" s="431"/>
      <c r="I45" s="431"/>
      <c r="J45" s="404"/>
      <c r="K45" s="431"/>
      <c r="L45" s="431"/>
      <c r="M45" s="431"/>
      <c r="N45" s="432"/>
      <c r="O45" s="432"/>
      <c r="P45" s="432"/>
      <c r="Q45" s="262"/>
      <c r="R45" s="263"/>
      <c r="S45" s="264"/>
    </row>
    <row r="46" spans="1:19" s="266" customFormat="1" ht="9.4499999999999993" customHeight="1" x14ac:dyDescent="0.25">
      <c r="A46" s="428"/>
      <c r="B46" s="404"/>
      <c r="C46" s="404"/>
      <c r="D46" s="404"/>
      <c r="E46" s="404"/>
      <c r="F46" s="431"/>
      <c r="G46" s="431"/>
      <c r="I46" s="433"/>
      <c r="J46" s="404"/>
      <c r="K46" s="431"/>
      <c r="L46" s="431"/>
      <c r="M46" s="431"/>
      <c r="N46" s="432"/>
      <c r="O46" s="432"/>
      <c r="P46" s="432"/>
      <c r="Q46" s="262"/>
      <c r="R46" s="263"/>
      <c r="S46" s="264"/>
    </row>
    <row r="47" spans="1:19" s="266" customFormat="1" ht="9.4499999999999993" customHeight="1" x14ac:dyDescent="0.25">
      <c r="A47" s="430"/>
      <c r="B47" s="431"/>
      <c r="C47" s="431"/>
      <c r="D47" s="431"/>
      <c r="E47" s="404"/>
      <c r="F47" s="431"/>
      <c r="G47" s="431"/>
      <c r="H47" s="431"/>
      <c r="I47" s="431"/>
      <c r="J47" s="404"/>
      <c r="K47" s="431"/>
      <c r="L47" s="431"/>
      <c r="M47" s="431"/>
      <c r="N47" s="431"/>
      <c r="O47" s="260"/>
      <c r="P47" s="260"/>
      <c r="Q47" s="262"/>
      <c r="R47" s="263"/>
      <c r="S47" s="264"/>
    </row>
    <row r="48" spans="1:19" s="311" customFormat="1" ht="6.75" customHeight="1" x14ac:dyDescent="0.25">
      <c r="A48" s="305"/>
      <c r="B48" s="305"/>
      <c r="C48" s="305"/>
      <c r="D48" s="305"/>
      <c r="E48" s="305"/>
      <c r="F48" s="435"/>
      <c r="G48" s="435"/>
      <c r="H48" s="435"/>
      <c r="I48" s="435"/>
      <c r="J48" s="307"/>
      <c r="K48" s="308"/>
      <c r="L48" s="309"/>
      <c r="M48" s="308"/>
      <c r="N48" s="309"/>
      <c r="O48" s="308"/>
      <c r="P48" s="309"/>
      <c r="Q48" s="308"/>
      <c r="R48" s="309"/>
      <c r="S48" s="310"/>
    </row>
    <row r="49" spans="1:18" s="324" customFormat="1" ht="10.5" customHeight="1" x14ac:dyDescent="0.25">
      <c r="A49" s="312" t="s">
        <v>26</v>
      </c>
      <c r="B49" s="313"/>
      <c r="C49" s="313"/>
      <c r="D49" s="314"/>
      <c r="E49" s="315" t="s">
        <v>0</v>
      </c>
      <c r="F49" s="316" t="s">
        <v>28</v>
      </c>
      <c r="G49" s="315"/>
      <c r="H49" s="317"/>
      <c r="I49" s="318"/>
      <c r="J49" s="315" t="s">
        <v>0</v>
      </c>
      <c r="K49" s="316" t="s">
        <v>35</v>
      </c>
      <c r="L49" s="319"/>
      <c r="M49" s="316" t="s">
        <v>36</v>
      </c>
      <c r="N49" s="320"/>
      <c r="O49" s="321" t="s">
        <v>37</v>
      </c>
      <c r="P49" s="321"/>
      <c r="Q49" s="322"/>
      <c r="R49" s="323"/>
    </row>
    <row r="50" spans="1:18" s="324" customFormat="1" ht="9" customHeight="1" x14ac:dyDescent="0.25">
      <c r="A50" s="436" t="s">
        <v>27</v>
      </c>
      <c r="B50" s="437"/>
      <c r="C50" s="438"/>
      <c r="D50" s="439"/>
      <c r="E50" s="440">
        <v>1</v>
      </c>
      <c r="F50" s="325" t="str">
        <f>IF(E50&gt;$R$57,,UPPER(VLOOKUP(E50,'[13]1MD ELO'!$A$7:$Q$134,2)))</f>
        <v/>
      </c>
      <c r="G50" s="331"/>
      <c r="H50" s="325"/>
      <c r="I50" s="332"/>
      <c r="J50" s="441" t="s">
        <v>1</v>
      </c>
      <c r="K50" s="442"/>
      <c r="L50" s="443"/>
      <c r="M50" s="442"/>
      <c r="N50" s="444"/>
      <c r="O50" s="445" t="s">
        <v>29</v>
      </c>
      <c r="P50" s="446"/>
      <c r="Q50" s="446"/>
      <c r="R50" s="447"/>
    </row>
    <row r="51" spans="1:18" s="324" customFormat="1" ht="9" customHeight="1" x14ac:dyDescent="0.25">
      <c r="A51" s="448" t="s">
        <v>34</v>
      </c>
      <c r="B51" s="449"/>
      <c r="C51" s="450"/>
      <c r="D51" s="451"/>
      <c r="E51" s="440">
        <v>2</v>
      </c>
      <c r="F51" s="325" t="str">
        <f>IF(E51&gt;$R$57,,UPPER(VLOOKUP(E51,'[13]1MD ELO'!$A$7:$Q$134,2)))</f>
        <v/>
      </c>
      <c r="G51" s="331"/>
      <c r="H51" s="325"/>
      <c r="I51" s="332"/>
      <c r="J51" s="441" t="s">
        <v>2</v>
      </c>
      <c r="K51" s="442"/>
      <c r="L51" s="443"/>
      <c r="M51" s="442"/>
      <c r="N51" s="444"/>
      <c r="O51" s="452"/>
      <c r="P51" s="453"/>
      <c r="Q51" s="449"/>
      <c r="R51" s="454"/>
    </row>
    <row r="52" spans="1:18" s="324" customFormat="1" ht="9" customHeight="1" x14ac:dyDescent="0.25">
      <c r="A52" s="346"/>
      <c r="B52" s="347"/>
      <c r="C52" s="348"/>
      <c r="D52" s="349"/>
      <c r="E52" s="440">
        <v>3</v>
      </c>
      <c r="F52" s="325" t="str">
        <f>IF(E52&gt;$R$57,,UPPER(VLOOKUP(E52,'[13]1MD ELO'!$A$7:$Q$134,2)))</f>
        <v/>
      </c>
      <c r="G52" s="331"/>
      <c r="H52" s="325"/>
      <c r="I52" s="332"/>
      <c r="J52" s="441" t="s">
        <v>3</v>
      </c>
      <c r="K52" s="442"/>
      <c r="L52" s="443"/>
      <c r="M52" s="442"/>
      <c r="N52" s="444"/>
      <c r="O52" s="445" t="s">
        <v>30</v>
      </c>
      <c r="P52" s="446"/>
      <c r="Q52" s="446"/>
      <c r="R52" s="447"/>
    </row>
    <row r="53" spans="1:18" s="324" customFormat="1" ht="9" customHeight="1" x14ac:dyDescent="0.25">
      <c r="A53" s="350"/>
      <c r="B53" s="236"/>
      <c r="C53" s="236"/>
      <c r="D53" s="351"/>
      <c r="E53" s="440">
        <v>4</v>
      </c>
      <c r="F53" s="325" t="str">
        <f>IF(E53&gt;$R$57,,UPPER(VLOOKUP(E53,'[13]1MD ELO'!$A$7:$Q$134,2)))</f>
        <v/>
      </c>
      <c r="G53" s="331"/>
      <c r="H53" s="325"/>
      <c r="I53" s="332"/>
      <c r="J53" s="441" t="s">
        <v>4</v>
      </c>
      <c r="K53" s="442"/>
      <c r="L53" s="443"/>
      <c r="M53" s="442"/>
      <c r="N53" s="444"/>
      <c r="O53" s="442"/>
      <c r="P53" s="443"/>
      <c r="Q53" s="442"/>
      <c r="R53" s="444"/>
    </row>
    <row r="54" spans="1:18" s="324" customFormat="1" ht="9" customHeight="1" x14ac:dyDescent="0.25">
      <c r="A54" s="352"/>
      <c r="B54" s="353"/>
      <c r="C54" s="353"/>
      <c r="D54" s="354"/>
      <c r="E54" s="440"/>
      <c r="F54" s="325"/>
      <c r="G54" s="331"/>
      <c r="H54" s="325"/>
      <c r="I54" s="332"/>
      <c r="J54" s="441" t="s">
        <v>5</v>
      </c>
      <c r="K54" s="442"/>
      <c r="L54" s="443"/>
      <c r="M54" s="442"/>
      <c r="N54" s="444"/>
      <c r="O54" s="449"/>
      <c r="P54" s="453"/>
      <c r="Q54" s="449"/>
      <c r="R54" s="454"/>
    </row>
    <row r="55" spans="1:18" s="324" customFormat="1" ht="9" customHeight="1" x14ac:dyDescent="0.25">
      <c r="A55" s="355"/>
      <c r="B55" s="356"/>
      <c r="C55" s="236"/>
      <c r="D55" s="351"/>
      <c r="E55" s="440"/>
      <c r="F55" s="325"/>
      <c r="G55" s="331"/>
      <c r="H55" s="325"/>
      <c r="I55" s="332"/>
      <c r="J55" s="441" t="s">
        <v>6</v>
      </c>
      <c r="K55" s="442"/>
      <c r="L55" s="443"/>
      <c r="M55" s="442"/>
      <c r="N55" s="444"/>
      <c r="O55" s="445" t="s">
        <v>25</v>
      </c>
      <c r="P55" s="446"/>
      <c r="Q55" s="446"/>
      <c r="R55" s="447"/>
    </row>
    <row r="56" spans="1:18" s="324" customFormat="1" ht="9" customHeight="1" x14ac:dyDescent="0.25">
      <c r="A56" s="355"/>
      <c r="B56" s="356"/>
      <c r="C56" s="357"/>
      <c r="D56" s="358"/>
      <c r="E56" s="440"/>
      <c r="F56" s="325"/>
      <c r="G56" s="331"/>
      <c r="H56" s="325"/>
      <c r="I56" s="332"/>
      <c r="J56" s="441" t="s">
        <v>7</v>
      </c>
      <c r="K56" s="442"/>
      <c r="L56" s="443"/>
      <c r="M56" s="442"/>
      <c r="N56" s="444"/>
      <c r="O56" s="442"/>
      <c r="P56" s="443"/>
      <c r="Q56" s="442"/>
      <c r="R56" s="444"/>
    </row>
    <row r="57" spans="1:18" s="324" customFormat="1" ht="9" customHeight="1" x14ac:dyDescent="0.25">
      <c r="A57" s="359"/>
      <c r="B57" s="360"/>
      <c r="C57" s="361"/>
      <c r="D57" s="362"/>
      <c r="E57" s="455"/>
      <c r="F57" s="343"/>
      <c r="G57" s="363"/>
      <c r="H57" s="343"/>
      <c r="I57" s="364"/>
      <c r="J57" s="456" t="s">
        <v>8</v>
      </c>
      <c r="K57" s="449"/>
      <c r="L57" s="453"/>
      <c r="M57" s="449"/>
      <c r="N57" s="454"/>
      <c r="O57" s="449">
        <f>R4</f>
        <v>0</v>
      </c>
      <c r="P57" s="453"/>
      <c r="Q57" s="449"/>
      <c r="R57" s="366">
        <f>MIN(4,'[13]1MD ELO'!Q5)</f>
        <v>4</v>
      </c>
    </row>
  </sheetData>
  <mergeCells count="1">
    <mergeCell ref="A4:C4"/>
  </mergeCells>
  <conditionalFormatting sqref="B39 B41 B43 B45 B47">
    <cfRule type="cellIs" dxfId="30" priority="10" stopIfTrue="1" operator="equal">
      <formula>"QA"</formula>
    </cfRule>
    <cfRule type="cellIs" dxfId="29" priority="11" stopIfTrue="1" operator="equal">
      <formula>"DA"</formula>
    </cfRule>
  </conditionalFormatting>
  <conditionalFormatting sqref="E7 E9 E11 E13 E15 E17 E19 E21 E23 E25 E27 E29 E31 E33 E35 E37">
    <cfRule type="expression" dxfId="28" priority="13" stopIfTrue="1">
      <formula>$E7&lt;5</formula>
    </cfRule>
  </conditionalFormatting>
  <conditionalFormatting sqref="E39 E41 E43 E45 E47">
    <cfRule type="expression" dxfId="27" priority="5" stopIfTrue="1">
      <formula>AND($E39&lt;9,$C39&gt;0)</formula>
    </cfRule>
  </conditionalFormatting>
  <conditionalFormatting sqref="F7 F9 F11 F13 F15 F17 F19 F21 F23 F25 F27 F29 F31 F33 F35 F37">
    <cfRule type="cellIs" dxfId="26" priority="14" stopIfTrue="1" operator="equal">
      <formula>"Bye"</formula>
    </cfRule>
  </conditionalFormatting>
  <conditionalFormatting sqref="F39 F41 F43 F45 F47">
    <cfRule type="cellIs" dxfId="25" priority="6" stopIfTrue="1" operator="equal">
      <formula>"Bye"</formula>
    </cfRule>
    <cfRule type="expression" dxfId="24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23" priority="1" stopIfTrue="1">
      <formula>AND($E7&lt;9,$C7&gt;0)</formula>
    </cfRule>
  </conditionalFormatting>
  <conditionalFormatting sqref="I8 K10 I12 M14 I16 K18 I20 O22 I24 K26 I28 M30 I32 K34 I36 M40 I42 K44 I46">
    <cfRule type="expression" dxfId="22" priority="2" stopIfTrue="1">
      <formula>AND($O$1="CU",I8="Umpire")</formula>
    </cfRule>
    <cfRule type="expression" dxfId="21" priority="3" stopIfTrue="1">
      <formula>AND($O$1="CU",I8&lt;&gt;"Umpire",J8&lt;&gt;"")</formula>
    </cfRule>
    <cfRule type="expression" dxfId="20" priority="4" stopIfTrue="1">
      <formula>AND($O$1="CU",I8&lt;&gt;"Umpire")</formula>
    </cfRule>
  </conditionalFormatting>
  <conditionalFormatting sqref="J8 L10 J12 N14 J16 L18 J20 P22 J24 L26 J28 N30 J32 L34 J36 R57">
    <cfRule type="expression" dxfId="19" priority="12" stopIfTrue="1">
      <formula>$O$1="CU"</formula>
    </cfRule>
  </conditionalFormatting>
  <conditionalFormatting sqref="K8 M10 K12 O14 K16 M18 K20 Q22 K24 M26 K28 O30 K32 M34 K36 O40 K42 M44 K46">
    <cfRule type="expression" dxfId="18" priority="8" stopIfTrue="1">
      <formula>J8="as"</formula>
    </cfRule>
    <cfRule type="expression" dxfId="17" priority="9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8D7FC6B2-A86C-45C8-AE89-34ECC839E08E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71161-80C6-4E53-9204-1072A1866586}">
  <sheetPr>
    <tabColor indexed="11"/>
  </sheetPr>
  <dimension ref="A1:AS140"/>
  <sheetViews>
    <sheetView workbookViewId="0">
      <selection activeCell="O25" sqref="O25"/>
    </sheetView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33203125" style="287" customWidth="1"/>
    <col min="5" max="5" width="4.33203125" style="287" customWidth="1"/>
    <col min="6" max="6" width="17" style="287" customWidth="1"/>
    <col min="7" max="7" width="2.6640625" style="287" customWidth="1"/>
    <col min="8" max="8" width="24.77734375" style="287" bestFit="1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27" width="0" style="287" hidden="1" customWidth="1"/>
    <col min="28" max="28" width="10.33203125" style="287" hidden="1" customWidth="1"/>
    <col min="29" max="34" width="0" style="287" hidden="1" customWidth="1"/>
    <col min="35" max="37" width="9.109375" style="369" customWidth="1"/>
    <col min="38" max="16384" width="8.77734375" style="287"/>
  </cols>
  <sheetData>
    <row r="1" spans="1:45" s="209" customFormat="1" ht="21.75" customHeight="1" x14ac:dyDescent="0.25">
      <c r="A1" s="202" t="str">
        <f>[14]Altalanos!$A$6</f>
        <v>OB</v>
      </c>
      <c r="B1" s="202"/>
      <c r="C1" s="203"/>
      <c r="D1" s="203"/>
      <c r="E1" s="203"/>
      <c r="F1" s="203"/>
      <c r="G1" s="203"/>
      <c r="H1" s="202"/>
      <c r="I1" s="204"/>
      <c r="J1" s="205"/>
      <c r="K1" s="206" t="s">
        <v>33</v>
      </c>
      <c r="L1" s="207"/>
      <c r="M1" s="208"/>
      <c r="N1" s="205"/>
      <c r="O1" s="205" t="s">
        <v>9</v>
      </c>
      <c r="P1" s="205"/>
      <c r="Q1" s="203"/>
      <c r="R1" s="205"/>
      <c r="T1" s="210"/>
      <c r="U1" s="210"/>
      <c r="V1" s="210"/>
      <c r="W1" s="210"/>
      <c r="X1" s="210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  <c r="AI1" s="212"/>
      <c r="AJ1" s="212"/>
      <c r="AK1" s="212"/>
    </row>
    <row r="2" spans="1:45" s="218" customFormat="1" x14ac:dyDescent="0.25">
      <c r="A2" s="213" t="s">
        <v>32</v>
      </c>
      <c r="B2" s="214"/>
      <c r="C2" s="214"/>
      <c r="D2" s="214"/>
      <c r="E2" s="214">
        <f>[14]Altalanos!$A$8</f>
        <v>0</v>
      </c>
      <c r="F2" s="214"/>
      <c r="G2" s="215"/>
      <c r="H2" s="216"/>
      <c r="I2" s="216"/>
      <c r="J2" s="217"/>
      <c r="K2" s="207"/>
      <c r="L2" s="207"/>
      <c r="M2" s="207"/>
      <c r="N2" s="217"/>
      <c r="O2" s="216"/>
      <c r="P2" s="217"/>
      <c r="Q2" s="216"/>
      <c r="R2" s="217"/>
      <c r="T2" s="219"/>
      <c r="U2" s="219"/>
      <c r="V2" s="219"/>
      <c r="W2" s="219"/>
      <c r="X2" s="219"/>
      <c r="Y2" s="220"/>
      <c r="Z2" s="221"/>
      <c r="AA2" s="221" t="s">
        <v>43</v>
      </c>
      <c r="AB2" s="222">
        <v>300</v>
      </c>
      <c r="AC2" s="222">
        <v>250</v>
      </c>
      <c r="AD2" s="222">
        <v>200</v>
      </c>
      <c r="AE2" s="222">
        <v>150</v>
      </c>
      <c r="AF2" s="222">
        <v>120</v>
      </c>
      <c r="AG2" s="222">
        <v>90</v>
      </c>
      <c r="AH2" s="222">
        <v>40</v>
      </c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</row>
    <row r="3" spans="1:45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T3" s="227"/>
      <c r="U3" s="227"/>
      <c r="V3" s="227"/>
      <c r="W3" s="227"/>
      <c r="X3" s="227"/>
      <c r="Y3" s="221" t="str">
        <f>IF(K4="OB","A",IF(K4="IX","W",IF(K4="","",K4)))</f>
        <v/>
      </c>
      <c r="Z3" s="221"/>
      <c r="AA3" s="221" t="s">
        <v>44</v>
      </c>
      <c r="AB3" s="222">
        <v>280</v>
      </c>
      <c r="AC3" s="222">
        <v>230</v>
      </c>
      <c r="AD3" s="222">
        <v>180</v>
      </c>
      <c r="AE3" s="222">
        <v>140</v>
      </c>
      <c r="AF3" s="222">
        <v>80</v>
      </c>
      <c r="AG3" s="222">
        <v>0</v>
      </c>
      <c r="AH3" s="222">
        <v>0</v>
      </c>
      <c r="AI3" s="219"/>
      <c r="AJ3" s="219"/>
      <c r="AK3" s="219"/>
      <c r="AL3" s="227"/>
      <c r="AM3" s="227"/>
      <c r="AN3" s="227"/>
      <c r="AO3" s="227"/>
      <c r="AP3" s="227"/>
      <c r="AQ3" s="227"/>
      <c r="AR3" s="227"/>
      <c r="AS3" s="227"/>
    </row>
    <row r="4" spans="1:45" s="234" customFormat="1" ht="11.25" customHeight="1" thickBot="1" x14ac:dyDescent="0.3">
      <c r="A4" s="551">
        <f>[14]Altalanos!$A$10</f>
        <v>0</v>
      </c>
      <c r="B4" s="551"/>
      <c r="C4" s="551"/>
      <c r="D4" s="228"/>
      <c r="E4" s="229"/>
      <c r="F4" s="229"/>
      <c r="G4" s="229">
        <f>[14]Altalanos!$C$10</f>
        <v>0</v>
      </c>
      <c r="H4" s="230"/>
      <c r="I4" s="229"/>
      <c r="J4" s="231"/>
      <c r="K4" s="136"/>
      <c r="L4" s="231"/>
      <c r="M4" s="232"/>
      <c r="N4" s="231"/>
      <c r="O4" s="229"/>
      <c r="P4" s="231"/>
      <c r="Q4" s="229"/>
      <c r="R4" s="233">
        <f>[14]Altalanos!$E$10</f>
        <v>0</v>
      </c>
      <c r="T4" s="235"/>
      <c r="U4" s="235"/>
      <c r="V4" s="235"/>
      <c r="W4" s="235"/>
      <c r="X4" s="235"/>
      <c r="Y4" s="221"/>
      <c r="Z4" s="221"/>
      <c r="AA4" s="221" t="s">
        <v>67</v>
      </c>
      <c r="AB4" s="222">
        <v>250</v>
      </c>
      <c r="AC4" s="222">
        <v>200</v>
      </c>
      <c r="AD4" s="222">
        <v>150</v>
      </c>
      <c r="AE4" s="222">
        <v>120</v>
      </c>
      <c r="AF4" s="222">
        <v>90</v>
      </c>
      <c r="AG4" s="222">
        <v>60</v>
      </c>
      <c r="AH4" s="222">
        <v>25</v>
      </c>
      <c r="AI4" s="219"/>
      <c r="AJ4" s="219"/>
      <c r="AK4" s="219"/>
      <c r="AL4" s="235"/>
      <c r="AM4" s="235"/>
      <c r="AN4" s="235"/>
      <c r="AO4" s="235"/>
      <c r="AP4" s="235"/>
      <c r="AQ4" s="235"/>
      <c r="AR4" s="235"/>
      <c r="AS4" s="235"/>
    </row>
    <row r="5" spans="1:45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97</v>
      </c>
      <c r="N5" s="240"/>
      <c r="O5" s="237" t="s">
        <v>98</v>
      </c>
      <c r="P5" s="240"/>
      <c r="Q5" s="237"/>
      <c r="R5" s="241"/>
      <c r="T5" s="227"/>
      <c r="U5" s="227"/>
      <c r="V5" s="227"/>
      <c r="W5" s="227"/>
      <c r="X5" s="227"/>
      <c r="Y5" s="221">
        <f>IF(OR([14]Altalanos!$A$8="F1",[14]Altalanos!$A$8="F2",[14]Altalanos!$A$8="N1",[14]Altalanos!$A$8="N2"),1,2)</f>
        <v>2</v>
      </c>
      <c r="Z5" s="221"/>
      <c r="AA5" s="221" t="s">
        <v>68</v>
      </c>
      <c r="AB5" s="222">
        <v>200</v>
      </c>
      <c r="AC5" s="222">
        <v>150</v>
      </c>
      <c r="AD5" s="222">
        <v>120</v>
      </c>
      <c r="AE5" s="222">
        <v>90</v>
      </c>
      <c r="AF5" s="222">
        <v>60</v>
      </c>
      <c r="AG5" s="222">
        <v>40</v>
      </c>
      <c r="AH5" s="222">
        <v>15</v>
      </c>
      <c r="AI5" s="219"/>
      <c r="AJ5" s="219"/>
      <c r="AK5" s="219"/>
      <c r="AL5" s="227"/>
      <c r="AM5" s="227"/>
      <c r="AN5" s="227"/>
      <c r="AO5" s="227"/>
      <c r="AP5" s="227"/>
      <c r="AQ5" s="227"/>
      <c r="AR5" s="227"/>
      <c r="AS5" s="227"/>
    </row>
    <row r="6" spans="1:45" s="248" customFormat="1" ht="10.95" customHeight="1" thickBot="1" x14ac:dyDescent="0.3">
      <c r="A6" s="242"/>
      <c r="B6" s="243"/>
      <c r="C6" s="243"/>
      <c r="D6" s="243"/>
      <c r="E6" s="243"/>
      <c r="F6" s="242" t="str">
        <f>IF(Y3="","",CONCATENATE(VLOOKUP(Y3,AB1:AH1,4)," pont"))</f>
        <v/>
      </c>
      <c r="G6" s="244"/>
      <c r="H6" s="245"/>
      <c r="I6" s="244"/>
      <c r="J6" s="246"/>
      <c r="K6" s="243" t="str">
        <f>IF(Y3="","",CONCATENATE(VLOOKUP(Y3,AB1:AH1,3)," pont"))</f>
        <v/>
      </c>
      <c r="L6" s="246"/>
      <c r="M6" s="243" t="str">
        <f>IF(Y3="","",CONCATENATE(VLOOKUP(Y3,AB1:AH1,2)," pont"))</f>
        <v/>
      </c>
      <c r="N6" s="246"/>
      <c r="O6" s="243" t="str">
        <f>IF(Y3="","",CONCATENATE(VLOOKUP(Y3,AB1:AH1,1)," pont"))</f>
        <v/>
      </c>
      <c r="P6" s="246"/>
      <c r="Q6" s="243"/>
      <c r="R6" s="247"/>
      <c r="T6" s="249"/>
      <c r="U6" s="249"/>
      <c r="V6" s="249"/>
      <c r="W6" s="249"/>
      <c r="X6" s="249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252"/>
      <c r="AJ6" s="252"/>
      <c r="AK6" s="252"/>
      <c r="AL6" s="249"/>
      <c r="AM6" s="249"/>
      <c r="AN6" s="249"/>
      <c r="AO6" s="249"/>
      <c r="AP6" s="249"/>
      <c r="AQ6" s="249"/>
      <c r="AR6" s="249"/>
      <c r="AS6" s="249"/>
    </row>
    <row r="7" spans="1:45" s="266" customFormat="1" ht="13.05" customHeight="1" x14ac:dyDescent="0.25">
      <c r="A7" s="253">
        <v>1</v>
      </c>
      <c r="B7" s="254" t="str">
        <f>IF($E7="","",VLOOKUP($E7,'[14]1MD ELO'!$A$7:$O$22,14))</f>
        <v/>
      </c>
      <c r="C7" s="255" t="str">
        <f>IF($E7="","",VLOOKUP($E7,'[14]1MD ELO'!$A$7:$O$22,15))</f>
        <v/>
      </c>
      <c r="D7" s="255" t="str">
        <f>IF($E7="","",VLOOKUP($E7,'[14]1MD ELO'!$A$7:$O$22,5))</f>
        <v/>
      </c>
      <c r="E7" s="256"/>
      <c r="F7" s="257"/>
      <c r="G7" s="257"/>
      <c r="H7" s="257"/>
      <c r="I7" s="257" t="str">
        <f>IF($E7="","",VLOOKUP($E7,'[14]1MD ELO'!$A$7:$O$22,4))</f>
        <v/>
      </c>
      <c r="J7" s="258"/>
      <c r="K7" s="259"/>
      <c r="L7" s="259"/>
      <c r="M7" s="259"/>
      <c r="N7" s="259"/>
      <c r="O7" s="260"/>
      <c r="P7" s="261"/>
      <c r="Q7" s="262"/>
      <c r="R7" s="263"/>
      <c r="S7" s="264"/>
      <c r="T7" s="264"/>
      <c r="U7" s="265" t="str">
        <f>[14]Birók!P21</f>
        <v>Bíró</v>
      </c>
      <c r="V7" s="264"/>
      <c r="W7" s="264"/>
      <c r="X7" s="264"/>
      <c r="Y7" s="221"/>
      <c r="Z7" s="221"/>
      <c r="AA7" s="221" t="s">
        <v>70</v>
      </c>
      <c r="AB7" s="222">
        <v>120</v>
      </c>
      <c r="AC7" s="222">
        <v>90</v>
      </c>
      <c r="AD7" s="222">
        <v>60</v>
      </c>
      <c r="AE7" s="222">
        <v>40</v>
      </c>
      <c r="AF7" s="222">
        <v>25</v>
      </c>
      <c r="AG7" s="222">
        <v>10</v>
      </c>
      <c r="AH7" s="222">
        <v>5</v>
      </c>
      <c r="AI7" s="219"/>
      <c r="AJ7" s="219"/>
      <c r="AK7" s="219"/>
      <c r="AL7" s="264"/>
      <c r="AM7" s="264"/>
      <c r="AN7" s="264"/>
      <c r="AO7" s="264"/>
      <c r="AP7" s="264"/>
      <c r="AQ7" s="264"/>
      <c r="AR7" s="264"/>
      <c r="AS7" s="264"/>
    </row>
    <row r="8" spans="1:45" s="266" customFormat="1" ht="13.05" customHeight="1" x14ac:dyDescent="0.25">
      <c r="A8" s="267"/>
      <c r="B8" s="268"/>
      <c r="C8" s="269"/>
      <c r="D8" s="269"/>
      <c r="E8" s="270"/>
      <c r="F8" s="271"/>
      <c r="G8" s="271"/>
      <c r="H8" s="272"/>
      <c r="I8" s="273" t="s">
        <v>99</v>
      </c>
      <c r="J8" s="274"/>
      <c r="K8" s="275" t="str">
        <f>UPPER(IF(OR(J8="a",J8="as"),F7,IF(OR(J8="b",J8="bs"),F9,)))</f>
        <v/>
      </c>
      <c r="L8" s="275"/>
      <c r="M8" s="259"/>
      <c r="N8" s="259"/>
      <c r="O8" s="260"/>
      <c r="P8" s="261"/>
      <c r="Q8" s="262"/>
      <c r="R8" s="263"/>
      <c r="S8" s="264"/>
      <c r="T8" s="264"/>
      <c r="U8" s="276" t="str">
        <f>[14]Birók!P22</f>
        <v xml:space="preserve"> </v>
      </c>
      <c r="V8" s="264"/>
      <c r="W8" s="264"/>
      <c r="X8" s="264"/>
      <c r="Y8" s="221"/>
      <c r="Z8" s="221"/>
      <c r="AA8" s="221" t="s">
        <v>71</v>
      </c>
      <c r="AB8" s="222">
        <v>90</v>
      </c>
      <c r="AC8" s="222">
        <v>60</v>
      </c>
      <c r="AD8" s="222">
        <v>40</v>
      </c>
      <c r="AE8" s="222">
        <v>25</v>
      </c>
      <c r="AF8" s="222">
        <v>10</v>
      </c>
      <c r="AG8" s="222">
        <v>5</v>
      </c>
      <c r="AH8" s="222">
        <v>2</v>
      </c>
      <c r="AI8" s="219"/>
      <c r="AJ8" s="219"/>
      <c r="AK8" s="219"/>
      <c r="AL8" s="264"/>
      <c r="AM8" s="264"/>
      <c r="AN8" s="264"/>
      <c r="AO8" s="264"/>
      <c r="AP8" s="264"/>
      <c r="AQ8" s="264"/>
      <c r="AR8" s="264"/>
      <c r="AS8" s="264"/>
    </row>
    <row r="9" spans="1:45" s="266" customFormat="1" ht="13.05" customHeight="1" x14ac:dyDescent="0.25">
      <c r="A9" s="267">
        <v>2</v>
      </c>
      <c r="B9" s="254" t="str">
        <f>IF($E9="","",VLOOKUP($E9,'[14]1MD ELO'!$A$7:$O$22,14))</f>
        <v/>
      </c>
      <c r="C9" s="255" t="str">
        <f>IF($E9="","",VLOOKUP($E9,'[14]1MD ELO'!$A$7:$O$22,15))</f>
        <v/>
      </c>
      <c r="D9" s="255" t="str">
        <f>IF($E9="","",VLOOKUP($E9,'[14]1MD ELO'!$A$7:$O$22,5))</f>
        <v/>
      </c>
      <c r="E9" s="277"/>
      <c r="F9" s="278"/>
      <c r="G9" s="278"/>
      <c r="H9" s="278"/>
      <c r="I9" s="278" t="str">
        <f>IF($E9="","",VLOOKUP($E9,'[14]1MD ELO'!$A$7:$O$22,4))</f>
        <v/>
      </c>
      <c r="J9" s="279"/>
      <c r="K9" s="259"/>
      <c r="L9" s="280"/>
      <c r="M9" s="259"/>
      <c r="N9" s="259"/>
      <c r="O9" s="260"/>
      <c r="P9" s="261"/>
      <c r="Q9" s="262"/>
      <c r="R9" s="263"/>
      <c r="S9" s="264"/>
      <c r="T9" s="264"/>
      <c r="U9" s="276" t="str">
        <f>[14]Birók!P23</f>
        <v xml:space="preserve"> </v>
      </c>
      <c r="V9" s="264"/>
      <c r="W9" s="264"/>
      <c r="X9" s="264"/>
      <c r="Y9" s="221"/>
      <c r="Z9" s="221"/>
      <c r="AA9" s="221" t="s">
        <v>72</v>
      </c>
      <c r="AB9" s="222">
        <v>60</v>
      </c>
      <c r="AC9" s="222">
        <v>40</v>
      </c>
      <c r="AD9" s="222">
        <v>25</v>
      </c>
      <c r="AE9" s="222">
        <v>10</v>
      </c>
      <c r="AF9" s="222">
        <v>5</v>
      </c>
      <c r="AG9" s="222">
        <v>2</v>
      </c>
      <c r="AH9" s="222">
        <v>1</v>
      </c>
      <c r="AI9" s="219"/>
      <c r="AJ9" s="219"/>
      <c r="AK9" s="219"/>
      <c r="AL9" s="264"/>
      <c r="AM9" s="264"/>
      <c r="AN9" s="264"/>
      <c r="AO9" s="264"/>
      <c r="AP9" s="264"/>
      <c r="AQ9" s="264"/>
      <c r="AR9" s="264"/>
      <c r="AS9" s="264"/>
    </row>
    <row r="10" spans="1:45" s="266" customFormat="1" ht="13.05" customHeight="1" x14ac:dyDescent="0.25">
      <c r="A10" s="267"/>
      <c r="B10" s="268"/>
      <c r="C10" s="269"/>
      <c r="D10" s="269"/>
      <c r="E10" s="281"/>
      <c r="F10" s="271"/>
      <c r="G10" s="271"/>
      <c r="H10" s="272"/>
      <c r="I10" s="271"/>
      <c r="J10" s="282"/>
      <c r="K10" s="273" t="s">
        <v>99</v>
      </c>
      <c r="L10" s="283"/>
      <c r="M10" s="275"/>
      <c r="N10" s="284"/>
      <c r="O10" s="285"/>
      <c r="P10" s="285"/>
      <c r="Q10" s="262"/>
      <c r="R10" s="263"/>
      <c r="S10" s="264"/>
      <c r="T10" s="264"/>
      <c r="U10" s="276" t="str">
        <f>[14]Birók!P24</f>
        <v xml:space="preserve"> </v>
      </c>
      <c r="V10" s="264"/>
      <c r="W10" s="264"/>
      <c r="X10" s="264"/>
      <c r="Y10" s="221"/>
      <c r="Z10" s="221"/>
      <c r="AA10" s="221" t="s">
        <v>73</v>
      </c>
      <c r="AB10" s="222">
        <v>40</v>
      </c>
      <c r="AC10" s="222">
        <v>25</v>
      </c>
      <c r="AD10" s="222">
        <v>15</v>
      </c>
      <c r="AE10" s="222">
        <v>7</v>
      </c>
      <c r="AF10" s="222">
        <v>4</v>
      </c>
      <c r="AG10" s="222">
        <v>1</v>
      </c>
      <c r="AH10" s="222">
        <v>0</v>
      </c>
      <c r="AI10" s="219"/>
      <c r="AJ10" s="219"/>
      <c r="AK10" s="219"/>
      <c r="AL10" s="264"/>
      <c r="AM10" s="264"/>
      <c r="AN10" s="264"/>
      <c r="AO10" s="264"/>
      <c r="AP10" s="264"/>
      <c r="AQ10" s="264"/>
      <c r="AR10" s="264"/>
      <c r="AS10" s="264"/>
    </row>
    <row r="11" spans="1:45" s="266" customFormat="1" ht="13.05" customHeight="1" x14ac:dyDescent="0.25">
      <c r="A11" s="267">
        <v>3</v>
      </c>
      <c r="B11" s="254" t="str">
        <f>IF($E11="","",VLOOKUP($E11,'[14]1MD ELO'!$A$7:$O$22,14))</f>
        <v/>
      </c>
      <c r="C11" s="255" t="str">
        <f>IF($E11="","",VLOOKUP($E11,'[14]1MD ELO'!$A$7:$O$22,15))</f>
        <v/>
      </c>
      <c r="D11" s="255" t="str">
        <f>IF($E11="","",VLOOKUP($E11,'[14]1MD ELO'!$A$7:$O$22,5))</f>
        <v/>
      </c>
      <c r="E11" s="277"/>
      <c r="F11" s="278"/>
      <c r="G11" s="278"/>
      <c r="H11" s="278"/>
      <c r="I11" s="278" t="str">
        <f>IF($E11="","",VLOOKUP($E11,'[14]1MD ELO'!$A$7:$O$22,4))</f>
        <v/>
      </c>
      <c r="J11" s="258"/>
      <c r="K11" s="259"/>
      <c r="L11" s="286"/>
      <c r="M11" s="287"/>
      <c r="N11" s="288"/>
      <c r="O11" s="285"/>
      <c r="P11" s="285"/>
      <c r="Q11" s="262"/>
      <c r="R11" s="263"/>
      <c r="S11" s="264"/>
      <c r="T11" s="264"/>
      <c r="U11" s="276" t="str">
        <f>[14]Birók!P25</f>
        <v xml:space="preserve"> </v>
      </c>
      <c r="V11" s="264"/>
      <c r="W11" s="264"/>
      <c r="X11" s="264"/>
      <c r="Y11" s="221"/>
      <c r="Z11" s="221"/>
      <c r="AA11" s="221" t="s">
        <v>74</v>
      </c>
      <c r="AB11" s="222">
        <v>25</v>
      </c>
      <c r="AC11" s="222">
        <v>15</v>
      </c>
      <c r="AD11" s="222">
        <v>10</v>
      </c>
      <c r="AE11" s="222">
        <v>6</v>
      </c>
      <c r="AF11" s="222">
        <v>3</v>
      </c>
      <c r="AG11" s="222">
        <v>1</v>
      </c>
      <c r="AH11" s="222">
        <v>0</v>
      </c>
      <c r="AI11" s="219"/>
      <c r="AJ11" s="219"/>
      <c r="AK11" s="219"/>
      <c r="AL11" s="264"/>
      <c r="AM11" s="264"/>
      <c r="AN11" s="264"/>
      <c r="AO11" s="264"/>
      <c r="AP11" s="264"/>
      <c r="AQ11" s="264"/>
      <c r="AR11" s="264"/>
      <c r="AS11" s="264"/>
    </row>
    <row r="12" spans="1:45" s="266" customFormat="1" ht="13.05" customHeight="1" x14ac:dyDescent="0.25">
      <c r="A12" s="267"/>
      <c r="B12" s="268"/>
      <c r="C12" s="269"/>
      <c r="D12" s="269"/>
      <c r="E12" s="281"/>
      <c r="F12" s="271"/>
      <c r="G12" s="271"/>
      <c r="H12" s="272"/>
      <c r="I12" s="273" t="s">
        <v>99</v>
      </c>
      <c r="J12" s="274"/>
      <c r="K12" s="275" t="str">
        <f>UPPER(IF(OR(J12="a",J12="as"),F11,IF(OR(J12="b",J12="bs"),F13,)))</f>
        <v/>
      </c>
      <c r="L12" s="289"/>
      <c r="M12" s="259"/>
      <c r="N12" s="288"/>
      <c r="O12" s="285"/>
      <c r="P12" s="285"/>
      <c r="Q12" s="262"/>
      <c r="R12" s="263"/>
      <c r="S12" s="264"/>
      <c r="T12" s="264"/>
      <c r="U12" s="276" t="str">
        <f>[14]Birók!P26</f>
        <v xml:space="preserve"> </v>
      </c>
      <c r="V12" s="264"/>
      <c r="W12" s="264"/>
      <c r="X12" s="264"/>
      <c r="Y12" s="221"/>
      <c r="Z12" s="221"/>
      <c r="AA12" s="221" t="s">
        <v>79</v>
      </c>
      <c r="AB12" s="222">
        <v>15</v>
      </c>
      <c r="AC12" s="222">
        <v>10</v>
      </c>
      <c r="AD12" s="222">
        <v>6</v>
      </c>
      <c r="AE12" s="222">
        <v>3</v>
      </c>
      <c r="AF12" s="222">
        <v>1</v>
      </c>
      <c r="AG12" s="222">
        <v>0</v>
      </c>
      <c r="AH12" s="222">
        <v>0</v>
      </c>
      <c r="AI12" s="219"/>
      <c r="AJ12" s="219"/>
      <c r="AK12" s="219"/>
      <c r="AL12" s="264"/>
      <c r="AM12" s="264"/>
      <c r="AN12" s="264"/>
      <c r="AO12" s="264"/>
      <c r="AP12" s="264"/>
      <c r="AQ12" s="264"/>
      <c r="AR12" s="264"/>
      <c r="AS12" s="264"/>
    </row>
    <row r="13" spans="1:45" s="266" customFormat="1" ht="13.05" customHeight="1" x14ac:dyDescent="0.25">
      <c r="A13" s="267">
        <v>4</v>
      </c>
      <c r="B13" s="254" t="str">
        <f>IF($E13="","",VLOOKUP($E13,'[14]1MD ELO'!$A$7:$O$22,14))</f>
        <v/>
      </c>
      <c r="C13" s="255" t="str">
        <f>IF($E13="","",VLOOKUP($E13,'[14]1MD ELO'!$A$7:$O$22,15))</f>
        <v/>
      </c>
      <c r="D13" s="255" t="str">
        <f>IF($E13="","",VLOOKUP($E13,'[14]1MD ELO'!$A$7:$O$22,5))</f>
        <v/>
      </c>
      <c r="E13" s="277"/>
      <c r="F13" s="278"/>
      <c r="G13" s="278"/>
      <c r="H13" s="278"/>
      <c r="I13" s="278" t="str">
        <f>IF($E13="","",VLOOKUP($E13,'[14]1MD ELO'!$A$7:$O$22,4))</f>
        <v/>
      </c>
      <c r="J13" s="290"/>
      <c r="K13" s="259"/>
      <c r="L13" s="259"/>
      <c r="M13" s="259"/>
      <c r="N13" s="288"/>
      <c r="O13" s="285"/>
      <c r="P13" s="285"/>
      <c r="Q13" s="262"/>
      <c r="R13" s="263"/>
      <c r="S13" s="264"/>
      <c r="T13" s="264"/>
      <c r="U13" s="276" t="str">
        <f>[14]Birók!P27</f>
        <v xml:space="preserve"> </v>
      </c>
      <c r="V13" s="264"/>
      <c r="W13" s="264"/>
      <c r="X13" s="264"/>
      <c r="Y13" s="221"/>
      <c r="Z13" s="221"/>
      <c r="AA13" s="221" t="s">
        <v>75</v>
      </c>
      <c r="AB13" s="222">
        <v>10</v>
      </c>
      <c r="AC13" s="222">
        <v>6</v>
      </c>
      <c r="AD13" s="222">
        <v>3</v>
      </c>
      <c r="AE13" s="222">
        <v>1</v>
      </c>
      <c r="AF13" s="222">
        <v>0</v>
      </c>
      <c r="AG13" s="222">
        <v>0</v>
      </c>
      <c r="AH13" s="222">
        <v>0</v>
      </c>
      <c r="AI13" s="219"/>
      <c r="AJ13" s="219"/>
      <c r="AK13" s="219"/>
      <c r="AL13" s="264"/>
      <c r="AM13" s="264"/>
      <c r="AN13" s="264"/>
      <c r="AO13" s="264"/>
      <c r="AP13" s="264"/>
      <c r="AQ13" s="264"/>
      <c r="AR13" s="264"/>
      <c r="AS13" s="264"/>
    </row>
    <row r="14" spans="1:45" s="266" customFormat="1" ht="13.05" customHeight="1" x14ac:dyDescent="0.25">
      <c r="A14" s="267"/>
      <c r="B14" s="268"/>
      <c r="C14" s="269"/>
      <c r="D14" s="269"/>
      <c r="E14" s="281"/>
      <c r="F14" s="271"/>
      <c r="G14" s="271"/>
      <c r="H14" s="272"/>
      <c r="I14" s="271"/>
      <c r="J14" s="282"/>
      <c r="K14" s="259"/>
      <c r="L14" s="259"/>
      <c r="M14" s="273" t="s">
        <v>99</v>
      </c>
      <c r="N14" s="283"/>
      <c r="O14" s="275" t="s">
        <v>482</v>
      </c>
      <c r="P14" s="284"/>
      <c r="Q14" s="262"/>
      <c r="R14" s="263"/>
      <c r="S14" s="264"/>
      <c r="T14" s="264"/>
      <c r="U14" s="276" t="str">
        <f>[14]Birók!P28</f>
        <v xml:space="preserve"> </v>
      </c>
      <c r="V14" s="264"/>
      <c r="W14" s="264"/>
      <c r="X14" s="264"/>
      <c r="Y14" s="221"/>
      <c r="Z14" s="221"/>
      <c r="AA14" s="221" t="s">
        <v>76</v>
      </c>
      <c r="AB14" s="222">
        <v>3</v>
      </c>
      <c r="AC14" s="222">
        <v>2</v>
      </c>
      <c r="AD14" s="222">
        <v>1</v>
      </c>
      <c r="AE14" s="222">
        <v>0</v>
      </c>
      <c r="AF14" s="222">
        <v>0</v>
      </c>
      <c r="AG14" s="222">
        <v>0</v>
      </c>
      <c r="AH14" s="222">
        <v>0</v>
      </c>
      <c r="AI14" s="219"/>
      <c r="AJ14" s="219"/>
      <c r="AK14" s="219"/>
      <c r="AL14" s="264"/>
      <c r="AM14" s="264"/>
      <c r="AN14" s="264"/>
      <c r="AO14" s="264"/>
      <c r="AP14" s="264"/>
      <c r="AQ14" s="264"/>
      <c r="AR14" s="264"/>
      <c r="AS14" s="264"/>
    </row>
    <row r="15" spans="1:45" s="266" customFormat="1" ht="13.05" customHeight="1" x14ac:dyDescent="0.25">
      <c r="A15" s="291">
        <v>5</v>
      </c>
      <c r="B15" s="254" t="str">
        <f>IF($E15="","",VLOOKUP($E15,'[14]1MD ELO'!$A$7:$O$22,14))</f>
        <v/>
      </c>
      <c r="C15" s="255" t="str">
        <f>IF($E15="","",VLOOKUP($E15,'[14]1MD ELO'!$A$7:$O$22,15))</f>
        <v/>
      </c>
      <c r="D15" s="255" t="str">
        <f>IF($E15="","",VLOOKUP($E15,'[14]1MD ELO'!$A$7:$O$22,5))</f>
        <v/>
      </c>
      <c r="E15" s="277"/>
      <c r="F15" s="278"/>
      <c r="G15" s="278"/>
      <c r="H15" s="278"/>
      <c r="I15" s="278" t="str">
        <f>IF($E15="","",VLOOKUP($E15,'[14]1MD ELO'!$A$7:$O$22,4))</f>
        <v/>
      </c>
      <c r="J15" s="292"/>
      <c r="K15" s="259"/>
      <c r="L15" s="259"/>
      <c r="M15" s="259"/>
      <c r="N15" s="288"/>
      <c r="O15" s="287" t="s">
        <v>123</v>
      </c>
      <c r="P15" s="285"/>
      <c r="Q15" s="262"/>
      <c r="R15" s="263"/>
      <c r="S15" s="264"/>
      <c r="T15" s="264"/>
      <c r="U15" s="276" t="str">
        <f>[14]Birók!P29</f>
        <v xml:space="preserve"> </v>
      </c>
      <c r="V15" s="264"/>
      <c r="W15" s="264"/>
      <c r="X15" s="264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19"/>
      <c r="AJ15" s="219"/>
      <c r="AK15" s="219"/>
      <c r="AL15" s="264"/>
      <c r="AM15" s="264"/>
      <c r="AN15" s="264"/>
      <c r="AO15" s="264"/>
      <c r="AP15" s="264"/>
      <c r="AQ15" s="264"/>
      <c r="AR15" s="264"/>
      <c r="AS15" s="264"/>
    </row>
    <row r="16" spans="1:45" s="266" customFormat="1" ht="13.05" customHeight="1" thickBot="1" x14ac:dyDescent="0.3">
      <c r="A16" s="267"/>
      <c r="B16" s="268"/>
      <c r="C16" s="269"/>
      <c r="D16" s="269"/>
      <c r="E16" s="281"/>
      <c r="F16" s="271"/>
      <c r="G16" s="271"/>
      <c r="H16" s="272"/>
      <c r="I16" s="273" t="s">
        <v>99</v>
      </c>
      <c r="J16" s="274"/>
      <c r="K16" s="275" t="str">
        <f>UPPER(IF(OR(J16="a",J16="as"),F15,IF(OR(J16="b",J16="bs"),F17,)))</f>
        <v/>
      </c>
      <c r="L16" s="275"/>
      <c r="M16" s="259"/>
      <c r="N16" s="288"/>
      <c r="O16" s="273"/>
      <c r="P16" s="285"/>
      <c r="Q16" s="262"/>
      <c r="R16" s="263"/>
      <c r="S16" s="264"/>
      <c r="T16" s="264"/>
      <c r="U16" s="293" t="str">
        <f>[14]Birók!P30</f>
        <v>Egyik sem</v>
      </c>
      <c r="V16" s="264"/>
      <c r="W16" s="264"/>
      <c r="X16" s="264"/>
      <c r="Y16" s="221"/>
      <c r="Z16" s="221"/>
      <c r="AA16" s="221" t="s">
        <v>43</v>
      </c>
      <c r="AB16" s="222">
        <v>150</v>
      </c>
      <c r="AC16" s="222">
        <v>120</v>
      </c>
      <c r="AD16" s="222">
        <v>90</v>
      </c>
      <c r="AE16" s="222">
        <v>60</v>
      </c>
      <c r="AF16" s="222">
        <v>40</v>
      </c>
      <c r="AG16" s="222">
        <v>25</v>
      </c>
      <c r="AH16" s="222">
        <v>15</v>
      </c>
      <c r="AI16" s="219"/>
      <c r="AJ16" s="219"/>
      <c r="AK16" s="219"/>
      <c r="AL16" s="264"/>
      <c r="AM16" s="264"/>
      <c r="AN16" s="264"/>
      <c r="AO16" s="264"/>
      <c r="AP16" s="264"/>
      <c r="AQ16" s="264"/>
      <c r="AR16" s="264"/>
      <c r="AS16" s="264"/>
    </row>
    <row r="17" spans="1:45" s="266" customFormat="1" ht="13.05" customHeight="1" x14ac:dyDescent="0.25">
      <c r="A17" s="267">
        <v>6</v>
      </c>
      <c r="B17" s="254" t="str">
        <f>IF($E17="","",VLOOKUP($E17,'[14]1MD ELO'!$A$7:$O$22,14))</f>
        <v/>
      </c>
      <c r="C17" s="255" t="str">
        <f>IF($E17="","",VLOOKUP($E17,'[14]1MD ELO'!$A$7:$O$22,15))</f>
        <v/>
      </c>
      <c r="D17" s="255" t="str">
        <f>IF($E17="","",VLOOKUP($E17,'[14]1MD ELO'!$A$7:$O$22,5))</f>
        <v/>
      </c>
      <c r="E17" s="277"/>
      <c r="F17" s="278"/>
      <c r="G17" s="278"/>
      <c r="H17" s="278"/>
      <c r="I17" s="278" t="str">
        <f>IF($E17="","",VLOOKUP($E17,'[14]1MD ELO'!$A$7:$O$22,4))</f>
        <v/>
      </c>
      <c r="J17" s="279"/>
      <c r="K17" s="259"/>
      <c r="L17" s="280"/>
      <c r="M17" s="259"/>
      <c r="N17" s="288"/>
      <c r="O17" s="285"/>
      <c r="P17" s="285"/>
      <c r="Q17" s="262"/>
      <c r="R17" s="263"/>
      <c r="S17" s="264"/>
      <c r="T17" s="264"/>
      <c r="U17" s="264"/>
      <c r="V17" s="264"/>
      <c r="W17" s="264"/>
      <c r="X17" s="264"/>
      <c r="Y17" s="221"/>
      <c r="Z17" s="221"/>
      <c r="AA17" s="221" t="s">
        <v>67</v>
      </c>
      <c r="AB17" s="222">
        <v>120</v>
      </c>
      <c r="AC17" s="222">
        <v>90</v>
      </c>
      <c r="AD17" s="222">
        <v>60</v>
      </c>
      <c r="AE17" s="222">
        <v>40</v>
      </c>
      <c r="AF17" s="222">
        <v>25</v>
      </c>
      <c r="AG17" s="222">
        <v>15</v>
      </c>
      <c r="AH17" s="222">
        <v>8</v>
      </c>
      <c r="AI17" s="219"/>
      <c r="AJ17" s="219"/>
      <c r="AK17" s="219"/>
      <c r="AL17" s="264"/>
      <c r="AM17" s="264"/>
      <c r="AN17" s="264"/>
      <c r="AO17" s="264"/>
      <c r="AP17" s="264"/>
      <c r="AQ17" s="264"/>
      <c r="AR17" s="264"/>
      <c r="AS17" s="264"/>
    </row>
    <row r="18" spans="1:45" s="266" customFormat="1" ht="13.05" customHeight="1" x14ac:dyDescent="0.25">
      <c r="A18" s="267"/>
      <c r="B18" s="268"/>
      <c r="C18" s="269"/>
      <c r="D18" s="269"/>
      <c r="E18" s="281"/>
      <c r="F18" s="271"/>
      <c r="G18" s="271"/>
      <c r="H18" s="272"/>
      <c r="I18" s="271"/>
      <c r="J18" s="282"/>
      <c r="K18" s="273" t="s">
        <v>99</v>
      </c>
      <c r="L18" s="283"/>
      <c r="M18" s="275"/>
      <c r="N18" s="294"/>
      <c r="O18" s="285"/>
      <c r="P18" s="285"/>
      <c r="Q18" s="262"/>
      <c r="R18" s="263"/>
      <c r="S18" s="264"/>
      <c r="T18" s="264"/>
      <c r="U18" s="264"/>
      <c r="V18" s="264"/>
      <c r="W18" s="264"/>
      <c r="X18" s="264"/>
      <c r="Y18" s="221"/>
      <c r="Z18" s="221"/>
      <c r="AA18" s="221" t="s">
        <v>68</v>
      </c>
      <c r="AB18" s="222">
        <v>90</v>
      </c>
      <c r="AC18" s="222">
        <v>60</v>
      </c>
      <c r="AD18" s="222">
        <v>40</v>
      </c>
      <c r="AE18" s="222">
        <v>25</v>
      </c>
      <c r="AF18" s="222">
        <v>15</v>
      </c>
      <c r="AG18" s="222">
        <v>8</v>
      </c>
      <c r="AH18" s="222">
        <v>4</v>
      </c>
      <c r="AI18" s="219"/>
      <c r="AJ18" s="219"/>
      <c r="AK18" s="219"/>
      <c r="AL18" s="264"/>
      <c r="AM18" s="264"/>
      <c r="AN18" s="264"/>
      <c r="AO18" s="264"/>
      <c r="AP18" s="264"/>
      <c r="AQ18" s="264"/>
      <c r="AR18" s="264"/>
      <c r="AS18" s="264"/>
    </row>
    <row r="19" spans="1:45" s="266" customFormat="1" ht="13.05" customHeight="1" x14ac:dyDescent="0.25">
      <c r="A19" s="267">
        <v>7</v>
      </c>
      <c r="B19" s="254" t="str">
        <f>IF($E19="","",VLOOKUP($E19,'[14]1MD ELO'!$A$7:$O$22,14))</f>
        <v/>
      </c>
      <c r="C19" s="255" t="str">
        <f>IF($E19="","",VLOOKUP($E19,'[14]1MD ELO'!$A$7:$O$22,15))</f>
        <v/>
      </c>
      <c r="D19" s="255" t="str">
        <f>IF($E19="","",VLOOKUP($E19,'[14]1MD ELO'!$A$7:$O$22,5))</f>
        <v/>
      </c>
      <c r="E19" s="277"/>
      <c r="F19" s="278"/>
      <c r="G19" s="278"/>
      <c r="H19" s="278"/>
      <c r="I19" s="278" t="str">
        <f>IF($E19="","",VLOOKUP($E19,'[14]1MD ELO'!$A$7:$O$22,4))</f>
        <v/>
      </c>
      <c r="J19" s="258"/>
      <c r="K19" s="259"/>
      <c r="L19" s="286"/>
      <c r="M19" s="287"/>
      <c r="N19" s="285"/>
      <c r="O19" s="285"/>
      <c r="P19" s="285"/>
      <c r="Q19" s="262"/>
      <c r="R19" s="263"/>
      <c r="S19" s="264"/>
      <c r="T19" s="264"/>
      <c r="U19" s="264"/>
      <c r="V19" s="264"/>
      <c r="W19" s="264"/>
      <c r="X19" s="264"/>
      <c r="Y19" s="221"/>
      <c r="Z19" s="221"/>
      <c r="AA19" s="221" t="s">
        <v>69</v>
      </c>
      <c r="AB19" s="222">
        <v>60</v>
      </c>
      <c r="AC19" s="222">
        <v>40</v>
      </c>
      <c r="AD19" s="222">
        <v>25</v>
      </c>
      <c r="AE19" s="222">
        <v>15</v>
      </c>
      <c r="AF19" s="222">
        <v>8</v>
      </c>
      <c r="AG19" s="222">
        <v>4</v>
      </c>
      <c r="AH19" s="222">
        <v>2</v>
      </c>
      <c r="AI19" s="219"/>
      <c r="AJ19" s="219"/>
      <c r="AK19" s="219"/>
      <c r="AL19" s="264"/>
      <c r="AM19" s="264"/>
      <c r="AN19" s="264"/>
      <c r="AO19" s="264"/>
      <c r="AP19" s="264"/>
      <c r="AQ19" s="264"/>
      <c r="AR19" s="264"/>
      <c r="AS19" s="264"/>
    </row>
    <row r="20" spans="1:45" s="266" customFormat="1" ht="13.05" customHeight="1" x14ac:dyDescent="0.25">
      <c r="A20" s="267"/>
      <c r="B20" s="268"/>
      <c r="C20" s="269"/>
      <c r="D20" s="269"/>
      <c r="E20" s="270"/>
      <c r="F20" s="271"/>
      <c r="G20" s="271"/>
      <c r="H20" s="272"/>
      <c r="I20" s="273" t="s">
        <v>99</v>
      </c>
      <c r="J20" s="274"/>
      <c r="K20" s="275" t="str">
        <f>UPPER(IF(OR(J20="a",J20="as"),F19,IF(OR(J20="b",J20="bs"),F21,)))</f>
        <v/>
      </c>
      <c r="L20" s="289"/>
      <c r="M20" s="259"/>
      <c r="N20" s="285"/>
      <c r="O20" s="285"/>
      <c r="P20" s="285"/>
      <c r="Q20" s="262"/>
      <c r="R20" s="263"/>
      <c r="S20" s="264"/>
      <c r="T20" s="264"/>
      <c r="U20" s="264"/>
      <c r="V20" s="264"/>
      <c r="W20" s="264"/>
      <c r="X20" s="264"/>
      <c r="Y20" s="221"/>
      <c r="Z20" s="221"/>
      <c r="AA20" s="221" t="s">
        <v>70</v>
      </c>
      <c r="AB20" s="222">
        <v>40</v>
      </c>
      <c r="AC20" s="222">
        <v>25</v>
      </c>
      <c r="AD20" s="222">
        <v>15</v>
      </c>
      <c r="AE20" s="222">
        <v>8</v>
      </c>
      <c r="AF20" s="222">
        <v>4</v>
      </c>
      <c r="AG20" s="222">
        <v>2</v>
      </c>
      <c r="AH20" s="222">
        <v>1</v>
      </c>
      <c r="AI20" s="219"/>
      <c r="AJ20" s="219"/>
      <c r="AK20" s="219"/>
      <c r="AL20" s="264"/>
      <c r="AM20" s="264"/>
      <c r="AN20" s="264"/>
      <c r="AO20" s="264"/>
      <c r="AP20" s="264"/>
      <c r="AQ20" s="264"/>
      <c r="AR20" s="264"/>
      <c r="AS20" s="264"/>
    </row>
    <row r="21" spans="1:45" s="266" customFormat="1" ht="13.05" customHeight="1" x14ac:dyDescent="0.25">
      <c r="A21" s="295">
        <v>8</v>
      </c>
      <c r="B21" s="254" t="str">
        <f>IF($E21="","",VLOOKUP($E21,'[14]1MD ELO'!$A$7:$O$22,14))</f>
        <v/>
      </c>
      <c r="C21" s="255" t="str">
        <f>IF($E21="","",VLOOKUP($E21,'[14]1MD ELO'!$A$7:$O$22,15))</f>
        <v/>
      </c>
      <c r="D21" s="255" t="str">
        <f>IF($E21="","",VLOOKUP($E21,'[14]1MD ELO'!$A$7:$O$22,5))</f>
        <v/>
      </c>
      <c r="E21" s="256"/>
      <c r="F21" s="296"/>
      <c r="G21" s="296"/>
      <c r="H21" s="296"/>
      <c r="I21" s="296" t="str">
        <f>IF($E21="","",VLOOKUP($E21,'[14]1MD ELO'!$A$7:$O$22,4))</f>
        <v/>
      </c>
      <c r="J21" s="290"/>
      <c r="K21" s="259"/>
      <c r="L21" s="259"/>
      <c r="M21" s="259"/>
      <c r="N21" s="285"/>
      <c r="O21" s="285"/>
      <c r="P21" s="285"/>
      <c r="Q21" s="262"/>
      <c r="R21" s="263"/>
      <c r="S21" s="264"/>
      <c r="T21" s="264"/>
      <c r="U21" s="264"/>
      <c r="V21" s="264"/>
      <c r="W21" s="264"/>
      <c r="X21" s="264"/>
      <c r="Y21" s="221"/>
      <c r="Z21" s="221"/>
      <c r="AA21" s="221" t="s">
        <v>71</v>
      </c>
      <c r="AB21" s="222">
        <v>25</v>
      </c>
      <c r="AC21" s="222">
        <v>15</v>
      </c>
      <c r="AD21" s="222">
        <v>10</v>
      </c>
      <c r="AE21" s="222">
        <v>6</v>
      </c>
      <c r="AF21" s="222">
        <v>3</v>
      </c>
      <c r="AG21" s="222">
        <v>1</v>
      </c>
      <c r="AH21" s="222">
        <v>0</v>
      </c>
      <c r="AI21" s="219"/>
      <c r="AJ21" s="219"/>
      <c r="AK21" s="219"/>
      <c r="AL21" s="264"/>
      <c r="AM21" s="264"/>
      <c r="AN21" s="264"/>
      <c r="AO21" s="264"/>
      <c r="AP21" s="264"/>
      <c r="AQ21" s="264"/>
      <c r="AR21" s="264"/>
      <c r="AS21" s="264"/>
    </row>
    <row r="22" spans="1:45" s="266" customFormat="1" ht="9.4499999999999993" customHeight="1" x14ac:dyDescent="0.25">
      <c r="A22" s="297"/>
      <c r="B22" s="260"/>
      <c r="C22" s="260"/>
      <c r="D22" s="260"/>
      <c r="E22" s="270"/>
      <c r="F22" s="260"/>
      <c r="G22" s="260"/>
      <c r="H22" s="260"/>
      <c r="I22" s="260"/>
      <c r="J22" s="270"/>
      <c r="K22" s="260"/>
      <c r="L22" s="260"/>
      <c r="M22" s="260"/>
      <c r="N22" s="262"/>
      <c r="O22" s="262"/>
      <c r="P22" s="262"/>
      <c r="Q22" s="262"/>
      <c r="R22" s="263"/>
      <c r="S22" s="264"/>
      <c r="T22" s="264"/>
      <c r="U22" s="264"/>
      <c r="V22" s="264"/>
      <c r="W22" s="264"/>
      <c r="X22" s="264"/>
      <c r="Y22" s="221"/>
      <c r="Z22" s="221"/>
      <c r="AA22" s="221" t="s">
        <v>72</v>
      </c>
      <c r="AB22" s="222">
        <v>15</v>
      </c>
      <c r="AC22" s="222">
        <v>10</v>
      </c>
      <c r="AD22" s="222">
        <v>6</v>
      </c>
      <c r="AE22" s="222">
        <v>3</v>
      </c>
      <c r="AF22" s="222">
        <v>1</v>
      </c>
      <c r="AG22" s="222">
        <v>0</v>
      </c>
      <c r="AH22" s="222">
        <v>0</v>
      </c>
      <c r="AI22" s="219"/>
      <c r="AJ22" s="219"/>
      <c r="AK22" s="219"/>
      <c r="AL22" s="264"/>
      <c r="AM22" s="264"/>
      <c r="AN22" s="264"/>
      <c r="AO22" s="264"/>
      <c r="AP22" s="264"/>
      <c r="AQ22" s="264"/>
      <c r="AR22" s="264"/>
      <c r="AS22" s="264"/>
    </row>
    <row r="23" spans="1:45" s="266" customFormat="1" ht="9.4499999999999993" customHeight="1" x14ac:dyDescent="0.25">
      <c r="A23" s="298"/>
      <c r="B23" s="270"/>
      <c r="C23" s="270"/>
      <c r="D23" s="270"/>
      <c r="E23" s="270"/>
      <c r="F23" s="260"/>
      <c r="G23" s="260"/>
      <c r="H23" s="264"/>
      <c r="I23" s="299"/>
      <c r="J23" s="270"/>
      <c r="K23" s="260"/>
      <c r="L23" s="260"/>
      <c r="M23" s="260"/>
      <c r="N23" s="262"/>
      <c r="O23" s="262"/>
      <c r="P23" s="262"/>
      <c r="Q23" s="262"/>
      <c r="R23" s="263"/>
      <c r="S23" s="264"/>
      <c r="T23" s="264"/>
      <c r="U23" s="264"/>
      <c r="V23" s="264"/>
      <c r="W23" s="264"/>
      <c r="X23" s="264"/>
      <c r="Y23" s="221"/>
      <c r="Z23" s="221"/>
      <c r="AA23" s="221" t="s">
        <v>73</v>
      </c>
      <c r="AB23" s="222">
        <v>10</v>
      </c>
      <c r="AC23" s="222">
        <v>6</v>
      </c>
      <c r="AD23" s="222">
        <v>3</v>
      </c>
      <c r="AE23" s="222">
        <v>1</v>
      </c>
      <c r="AF23" s="222">
        <v>0</v>
      </c>
      <c r="AG23" s="222">
        <v>0</v>
      </c>
      <c r="AH23" s="222">
        <v>0</v>
      </c>
      <c r="AI23" s="219"/>
      <c r="AJ23" s="219"/>
      <c r="AK23" s="219"/>
      <c r="AL23" s="264"/>
      <c r="AM23" s="264"/>
      <c r="AN23" s="264"/>
      <c r="AO23" s="264"/>
      <c r="AP23" s="264"/>
      <c r="AQ23" s="264"/>
      <c r="AR23" s="264"/>
      <c r="AS23" s="264"/>
    </row>
    <row r="24" spans="1:45" s="266" customFormat="1" ht="9.4499999999999993" customHeight="1" x14ac:dyDescent="0.25">
      <c r="A24" s="298"/>
      <c r="B24" s="260"/>
      <c r="C24" s="260"/>
      <c r="D24" s="260"/>
      <c r="E24" s="270"/>
      <c r="F24" s="260"/>
      <c r="G24" s="260"/>
      <c r="H24" s="260"/>
      <c r="I24" s="260"/>
      <c r="J24" s="270"/>
      <c r="K24" s="260"/>
      <c r="L24" s="300"/>
      <c r="M24" s="260"/>
      <c r="N24" s="262"/>
      <c r="O24" s="262"/>
      <c r="P24" s="262"/>
      <c r="Q24" s="262"/>
      <c r="R24" s="263"/>
      <c r="S24" s="264"/>
      <c r="T24" s="264"/>
      <c r="U24" s="264"/>
      <c r="V24" s="264"/>
      <c r="W24" s="264"/>
      <c r="X24" s="264"/>
      <c r="Y24" s="221"/>
      <c r="Z24" s="221"/>
      <c r="AA24" s="221" t="s">
        <v>74</v>
      </c>
      <c r="AB24" s="222">
        <v>6</v>
      </c>
      <c r="AC24" s="222">
        <v>3</v>
      </c>
      <c r="AD24" s="222">
        <v>1</v>
      </c>
      <c r="AE24" s="222">
        <v>0</v>
      </c>
      <c r="AF24" s="222">
        <v>0</v>
      </c>
      <c r="AG24" s="222">
        <v>0</v>
      </c>
      <c r="AH24" s="222">
        <v>0</v>
      </c>
      <c r="AI24" s="219"/>
      <c r="AJ24" s="219"/>
      <c r="AK24" s="219"/>
      <c r="AL24" s="264"/>
      <c r="AM24" s="264"/>
      <c r="AN24" s="264"/>
      <c r="AO24" s="264"/>
      <c r="AP24" s="264"/>
      <c r="AQ24" s="264"/>
      <c r="AR24" s="264"/>
      <c r="AS24" s="264"/>
    </row>
    <row r="25" spans="1:45" s="266" customFormat="1" ht="9.4499999999999993" customHeight="1" x14ac:dyDescent="0.25">
      <c r="A25" s="298"/>
      <c r="B25" s="270"/>
      <c r="C25" s="270"/>
      <c r="D25" s="270"/>
      <c r="E25" s="270"/>
      <c r="F25" s="260"/>
      <c r="G25" s="260"/>
      <c r="H25" s="264"/>
      <c r="I25" s="260"/>
      <c r="J25" s="270"/>
      <c r="K25" s="299"/>
      <c r="L25" s="270"/>
      <c r="M25" s="260"/>
      <c r="N25" s="262"/>
      <c r="O25" s="262"/>
      <c r="P25" s="262"/>
      <c r="Q25" s="262"/>
      <c r="R25" s="263"/>
      <c r="S25" s="264"/>
      <c r="T25" s="264"/>
      <c r="U25" s="264"/>
      <c r="V25" s="264"/>
      <c r="W25" s="264"/>
      <c r="X25" s="264"/>
      <c r="Y25" s="221"/>
      <c r="Z25" s="221"/>
      <c r="AA25" s="221" t="s">
        <v>79</v>
      </c>
      <c r="AB25" s="222">
        <v>3</v>
      </c>
      <c r="AC25" s="222">
        <v>2</v>
      </c>
      <c r="AD25" s="222">
        <v>1</v>
      </c>
      <c r="AE25" s="222">
        <v>0</v>
      </c>
      <c r="AF25" s="222">
        <v>0</v>
      </c>
      <c r="AG25" s="222">
        <v>0</v>
      </c>
      <c r="AH25" s="222">
        <v>0</v>
      </c>
      <c r="AI25" s="219"/>
      <c r="AJ25" s="219"/>
      <c r="AK25" s="219"/>
      <c r="AL25" s="264"/>
      <c r="AM25" s="264"/>
      <c r="AN25" s="264"/>
      <c r="AO25" s="264"/>
      <c r="AP25" s="264"/>
      <c r="AQ25" s="264"/>
      <c r="AR25" s="264"/>
      <c r="AS25" s="264"/>
    </row>
    <row r="26" spans="1:45" s="266" customFormat="1" ht="9.4499999999999993" customHeight="1" x14ac:dyDescent="0.25">
      <c r="A26" s="298"/>
      <c r="B26" s="260"/>
      <c r="C26" s="260"/>
      <c r="D26" s="260"/>
      <c r="E26" s="270"/>
      <c r="F26" s="260"/>
      <c r="G26" s="260"/>
      <c r="H26" s="260"/>
      <c r="I26" s="260"/>
      <c r="J26" s="270"/>
      <c r="K26" s="260"/>
      <c r="L26" s="260"/>
      <c r="M26" s="260"/>
      <c r="N26" s="262"/>
      <c r="O26" s="262"/>
      <c r="P26" s="262"/>
      <c r="Q26" s="262"/>
      <c r="R26" s="263"/>
      <c r="S26" s="301"/>
      <c r="T26" s="264"/>
      <c r="U26" s="264"/>
      <c r="V26" s="264"/>
      <c r="W26" s="264"/>
      <c r="X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19"/>
      <c r="AJ26" s="219"/>
      <c r="AK26" s="219"/>
      <c r="AL26" s="264"/>
      <c r="AM26" s="264"/>
      <c r="AN26" s="264"/>
      <c r="AO26" s="264"/>
      <c r="AP26" s="264"/>
      <c r="AQ26" s="264"/>
      <c r="AR26" s="264"/>
      <c r="AS26" s="264"/>
    </row>
    <row r="27" spans="1:45" s="266" customFormat="1" ht="9.4499999999999993" customHeight="1" x14ac:dyDescent="0.25">
      <c r="A27" s="298"/>
      <c r="B27" s="270"/>
      <c r="C27" s="270"/>
      <c r="D27" s="270"/>
      <c r="E27" s="270"/>
      <c r="F27" s="260"/>
      <c r="G27" s="260"/>
      <c r="H27" s="264"/>
      <c r="I27" s="299"/>
      <c r="J27" s="270"/>
      <c r="K27" s="260"/>
      <c r="L27" s="260"/>
      <c r="M27" s="260"/>
      <c r="N27" s="262"/>
      <c r="O27" s="262"/>
      <c r="P27" s="262"/>
      <c r="Q27" s="262"/>
      <c r="R27" s="263"/>
      <c r="S27" s="264"/>
      <c r="T27" s="264"/>
      <c r="U27" s="264"/>
      <c r="V27" s="264"/>
      <c r="W27" s="264"/>
      <c r="X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19"/>
      <c r="AJ27" s="219"/>
      <c r="AK27" s="219"/>
      <c r="AL27" s="264"/>
      <c r="AM27" s="264"/>
      <c r="AN27" s="264"/>
      <c r="AO27" s="264"/>
      <c r="AP27" s="264"/>
      <c r="AQ27" s="264"/>
      <c r="AR27" s="264"/>
      <c r="AS27" s="264"/>
    </row>
    <row r="28" spans="1:45" s="266" customFormat="1" ht="9.4499999999999993" customHeight="1" x14ac:dyDescent="0.25">
      <c r="A28" s="298"/>
      <c r="B28" s="260"/>
      <c r="C28" s="260"/>
      <c r="D28" s="260"/>
      <c r="E28" s="270"/>
      <c r="F28" s="260"/>
      <c r="G28" s="260"/>
      <c r="H28" s="260"/>
      <c r="I28" s="260"/>
      <c r="J28" s="270"/>
      <c r="K28" s="260"/>
      <c r="L28" s="260"/>
      <c r="M28" s="260"/>
      <c r="N28" s="262"/>
      <c r="O28" s="262"/>
      <c r="P28" s="262"/>
      <c r="Q28" s="262"/>
      <c r="R28" s="263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</row>
    <row r="29" spans="1:45" s="266" customFormat="1" ht="9.4499999999999993" customHeight="1" x14ac:dyDescent="0.25">
      <c r="A29" s="298"/>
      <c r="B29" s="270"/>
      <c r="C29" s="270"/>
      <c r="D29" s="270"/>
      <c r="E29" s="270"/>
      <c r="F29" s="260"/>
      <c r="G29" s="260"/>
      <c r="H29" s="264"/>
      <c r="I29" s="260"/>
      <c r="J29" s="270"/>
      <c r="K29" s="260"/>
      <c r="L29" s="260"/>
      <c r="M29" s="299"/>
      <c r="N29" s="270"/>
      <c r="O29" s="260"/>
      <c r="P29" s="262"/>
      <c r="Q29" s="262"/>
      <c r="R29" s="263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</row>
    <row r="30" spans="1:45" s="266" customFormat="1" ht="9.4499999999999993" customHeight="1" x14ac:dyDescent="0.25">
      <c r="A30" s="298"/>
      <c r="B30" s="260"/>
      <c r="C30" s="260"/>
      <c r="D30" s="260"/>
      <c r="E30" s="270"/>
      <c r="F30" s="260"/>
      <c r="G30" s="260"/>
      <c r="H30" s="260"/>
      <c r="I30" s="260"/>
      <c r="J30" s="270"/>
      <c r="K30" s="260"/>
      <c r="L30" s="260"/>
      <c r="M30" s="260"/>
      <c r="N30" s="262"/>
      <c r="O30" s="260"/>
      <c r="P30" s="262"/>
      <c r="Q30" s="262"/>
      <c r="R30" s="263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</row>
    <row r="31" spans="1:45" s="266" customFormat="1" ht="9.4499999999999993" customHeight="1" x14ac:dyDescent="0.25">
      <c r="A31" s="298"/>
      <c r="B31" s="270"/>
      <c r="C31" s="270"/>
      <c r="D31" s="270"/>
      <c r="E31" s="270"/>
      <c r="F31" s="260"/>
      <c r="G31" s="260"/>
      <c r="H31" s="264"/>
      <c r="I31" s="299"/>
      <c r="J31" s="270"/>
      <c r="K31" s="260"/>
      <c r="L31" s="260"/>
      <c r="M31" s="260"/>
      <c r="N31" s="262"/>
      <c r="O31" s="262"/>
      <c r="P31" s="262"/>
      <c r="Q31" s="262"/>
      <c r="R31" s="263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</row>
    <row r="32" spans="1:45" s="266" customFormat="1" ht="9.4499999999999993" customHeight="1" x14ac:dyDescent="0.25">
      <c r="A32" s="298"/>
      <c r="B32" s="260"/>
      <c r="C32" s="260"/>
      <c r="D32" s="260"/>
      <c r="E32" s="270"/>
      <c r="F32" s="260"/>
      <c r="G32" s="260"/>
      <c r="H32" s="260"/>
      <c r="I32" s="260"/>
      <c r="J32" s="270"/>
      <c r="K32" s="260"/>
      <c r="L32" s="300"/>
      <c r="M32" s="260"/>
      <c r="N32" s="262"/>
      <c r="O32" s="262"/>
      <c r="P32" s="262"/>
      <c r="Q32" s="262"/>
      <c r="R32" s="263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</row>
    <row r="33" spans="1:45" s="266" customFormat="1" ht="9.4499999999999993" customHeight="1" x14ac:dyDescent="0.25">
      <c r="A33" s="298"/>
      <c r="B33" s="270"/>
      <c r="C33" s="270"/>
      <c r="D33" s="270"/>
      <c r="E33" s="270"/>
      <c r="F33" s="260"/>
      <c r="G33" s="260"/>
      <c r="H33" s="264"/>
      <c r="I33" s="260"/>
      <c r="J33" s="270"/>
      <c r="K33" s="299"/>
      <c r="L33" s="270"/>
      <c r="M33" s="260"/>
      <c r="N33" s="262"/>
      <c r="O33" s="262"/>
      <c r="P33" s="262"/>
      <c r="Q33" s="262"/>
      <c r="R33" s="26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</row>
    <row r="34" spans="1:45" s="266" customFormat="1" ht="9.4499999999999993" customHeight="1" x14ac:dyDescent="0.25">
      <c r="A34" s="298"/>
      <c r="B34" s="260"/>
      <c r="C34" s="260"/>
      <c r="D34" s="260"/>
      <c r="E34" s="270"/>
      <c r="F34" s="260"/>
      <c r="G34" s="260"/>
      <c r="H34" s="260"/>
      <c r="I34" s="260"/>
      <c r="J34" s="270"/>
      <c r="K34" s="260"/>
      <c r="L34" s="260"/>
      <c r="M34" s="260"/>
      <c r="N34" s="262"/>
      <c r="O34" s="262"/>
      <c r="P34" s="262"/>
      <c r="Q34" s="262"/>
      <c r="R34" s="263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</row>
    <row r="35" spans="1:45" s="266" customFormat="1" ht="9.4499999999999993" customHeight="1" x14ac:dyDescent="0.25">
      <c r="A35" s="298"/>
      <c r="B35" s="270"/>
      <c r="C35" s="270"/>
      <c r="D35" s="270"/>
      <c r="E35" s="270"/>
      <c r="F35" s="260"/>
      <c r="G35" s="260"/>
      <c r="H35" s="264"/>
      <c r="I35" s="299"/>
      <c r="J35" s="270"/>
      <c r="K35" s="260"/>
      <c r="L35" s="260"/>
      <c r="M35" s="260"/>
      <c r="N35" s="262"/>
      <c r="O35" s="262"/>
      <c r="P35" s="262"/>
      <c r="Q35" s="262"/>
      <c r="R35" s="263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</row>
    <row r="36" spans="1:45" s="266" customFormat="1" ht="9.4499999999999993" customHeight="1" x14ac:dyDescent="0.25">
      <c r="A36" s="297"/>
      <c r="B36" s="260"/>
      <c r="C36" s="260"/>
      <c r="D36" s="260"/>
      <c r="E36" s="270"/>
      <c r="F36" s="260"/>
      <c r="G36" s="260"/>
      <c r="H36" s="260"/>
      <c r="I36" s="260"/>
      <c r="J36" s="270"/>
      <c r="K36" s="260"/>
      <c r="L36" s="260"/>
      <c r="M36" s="260"/>
      <c r="N36" s="260"/>
      <c r="O36" s="260"/>
      <c r="P36" s="260"/>
      <c r="Q36" s="262"/>
      <c r="R36" s="263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</row>
    <row r="37" spans="1:45" s="266" customFormat="1" ht="9.4499999999999993" customHeight="1" x14ac:dyDescent="0.25">
      <c r="A37" s="298"/>
      <c r="B37" s="270"/>
      <c r="C37" s="270"/>
      <c r="D37" s="270"/>
      <c r="E37" s="270"/>
      <c r="F37" s="302"/>
      <c r="G37" s="302"/>
      <c r="H37" s="303"/>
      <c r="I37" s="259"/>
      <c r="J37" s="282"/>
      <c r="K37" s="259"/>
      <c r="L37" s="259"/>
      <c r="M37" s="259"/>
      <c r="N37" s="285"/>
      <c r="O37" s="285"/>
      <c r="P37" s="285"/>
      <c r="Q37" s="262"/>
      <c r="R37" s="263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</row>
    <row r="38" spans="1:45" s="266" customFormat="1" ht="9.4499999999999993" customHeight="1" x14ac:dyDescent="0.25">
      <c r="A38" s="297"/>
      <c r="B38" s="260"/>
      <c r="C38" s="260"/>
      <c r="D38" s="260"/>
      <c r="E38" s="270"/>
      <c r="F38" s="260"/>
      <c r="G38" s="260"/>
      <c r="H38" s="260"/>
      <c r="I38" s="260"/>
      <c r="J38" s="270"/>
      <c r="K38" s="260"/>
      <c r="L38" s="260"/>
      <c r="M38" s="260"/>
      <c r="N38" s="262"/>
      <c r="O38" s="262"/>
      <c r="P38" s="262"/>
      <c r="Q38" s="262"/>
      <c r="R38" s="263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</row>
    <row r="39" spans="1:45" s="266" customFormat="1" ht="9.4499999999999993" customHeight="1" x14ac:dyDescent="0.25">
      <c r="A39" s="298"/>
      <c r="B39" s="270"/>
      <c r="C39" s="270"/>
      <c r="D39" s="270"/>
      <c r="E39" s="270"/>
      <c r="F39" s="260"/>
      <c r="G39" s="260"/>
      <c r="H39" s="264"/>
      <c r="I39" s="299"/>
      <c r="J39" s="270"/>
      <c r="K39" s="260"/>
      <c r="L39" s="260"/>
      <c r="M39" s="260"/>
      <c r="N39" s="262"/>
      <c r="O39" s="262"/>
      <c r="P39" s="262"/>
      <c r="Q39" s="262"/>
      <c r="R39" s="263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</row>
    <row r="40" spans="1:45" s="266" customFormat="1" ht="9.4499999999999993" customHeight="1" x14ac:dyDescent="0.25">
      <c r="A40" s="298"/>
      <c r="B40" s="260"/>
      <c r="C40" s="260"/>
      <c r="D40" s="260"/>
      <c r="E40" s="270"/>
      <c r="F40" s="260"/>
      <c r="G40" s="260"/>
      <c r="H40" s="260"/>
      <c r="I40" s="260"/>
      <c r="J40" s="270"/>
      <c r="K40" s="260"/>
      <c r="L40" s="300"/>
      <c r="M40" s="260"/>
      <c r="N40" s="262"/>
      <c r="O40" s="262"/>
      <c r="P40" s="262"/>
      <c r="Q40" s="262"/>
      <c r="R40" s="263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</row>
    <row r="41" spans="1:45" s="266" customFormat="1" ht="9.4499999999999993" customHeight="1" x14ac:dyDescent="0.25">
      <c r="A41" s="298"/>
      <c r="B41" s="270"/>
      <c r="C41" s="270"/>
      <c r="D41" s="270"/>
      <c r="E41" s="270"/>
      <c r="F41" s="260"/>
      <c r="G41" s="260"/>
      <c r="H41" s="264"/>
      <c r="I41" s="260"/>
      <c r="J41" s="270"/>
      <c r="K41" s="299"/>
      <c r="L41" s="270"/>
      <c r="M41" s="260"/>
      <c r="N41" s="262"/>
      <c r="O41" s="262"/>
      <c r="P41" s="262"/>
      <c r="Q41" s="262"/>
      <c r="R41" s="263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</row>
    <row r="42" spans="1:45" s="266" customFormat="1" ht="9.4499999999999993" customHeight="1" x14ac:dyDescent="0.25">
      <c r="A42" s="298"/>
      <c r="B42" s="260"/>
      <c r="C42" s="260"/>
      <c r="D42" s="260"/>
      <c r="E42" s="270"/>
      <c r="F42" s="260"/>
      <c r="G42" s="260"/>
      <c r="H42" s="260"/>
      <c r="I42" s="260"/>
      <c r="J42" s="270"/>
      <c r="K42" s="260"/>
      <c r="L42" s="260"/>
      <c r="M42" s="260"/>
      <c r="N42" s="262"/>
      <c r="O42" s="262"/>
      <c r="P42" s="262"/>
      <c r="Q42" s="262"/>
      <c r="R42" s="263"/>
      <c r="S42" s="301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</row>
    <row r="43" spans="1:45" s="266" customFormat="1" ht="9.4499999999999993" customHeight="1" x14ac:dyDescent="0.25">
      <c r="A43" s="298"/>
      <c r="B43" s="270"/>
      <c r="C43" s="270"/>
      <c r="D43" s="270"/>
      <c r="E43" s="270"/>
      <c r="F43" s="260"/>
      <c r="G43" s="260"/>
      <c r="H43" s="264"/>
      <c r="I43" s="299"/>
      <c r="J43" s="270"/>
      <c r="K43" s="260"/>
      <c r="L43" s="260"/>
      <c r="M43" s="260"/>
      <c r="N43" s="262"/>
      <c r="O43" s="262"/>
      <c r="P43" s="262"/>
      <c r="Q43" s="262"/>
      <c r="R43" s="263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</row>
    <row r="44" spans="1:45" s="266" customFormat="1" ht="9.4499999999999993" customHeight="1" x14ac:dyDescent="0.25">
      <c r="A44" s="298"/>
      <c r="B44" s="260"/>
      <c r="C44" s="260"/>
      <c r="D44" s="260"/>
      <c r="E44" s="270"/>
      <c r="F44" s="260"/>
      <c r="G44" s="260"/>
      <c r="H44" s="260"/>
      <c r="I44" s="260"/>
      <c r="J44" s="270"/>
      <c r="K44" s="260"/>
      <c r="L44" s="260"/>
      <c r="M44" s="260"/>
      <c r="N44" s="262"/>
      <c r="O44" s="262"/>
      <c r="P44" s="262"/>
      <c r="Q44" s="262"/>
      <c r="R44" s="263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</row>
    <row r="45" spans="1:45" s="266" customFormat="1" ht="9.4499999999999993" customHeight="1" x14ac:dyDescent="0.25">
      <c r="A45" s="298"/>
      <c r="B45" s="270"/>
      <c r="C45" s="270"/>
      <c r="D45" s="270"/>
      <c r="E45" s="270"/>
      <c r="F45" s="260"/>
      <c r="G45" s="260"/>
      <c r="H45" s="264"/>
      <c r="I45" s="260"/>
      <c r="J45" s="270"/>
      <c r="K45" s="260"/>
      <c r="L45" s="260"/>
      <c r="M45" s="299"/>
      <c r="N45" s="270"/>
      <c r="O45" s="260"/>
      <c r="P45" s="262"/>
      <c r="Q45" s="262"/>
      <c r="R45" s="263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</row>
    <row r="46" spans="1:45" s="266" customFormat="1" ht="9.4499999999999993" customHeight="1" x14ac:dyDescent="0.25">
      <c r="A46" s="298"/>
      <c r="B46" s="260"/>
      <c r="C46" s="260"/>
      <c r="D46" s="260"/>
      <c r="E46" s="270"/>
      <c r="F46" s="260"/>
      <c r="G46" s="260"/>
      <c r="H46" s="260"/>
      <c r="I46" s="260"/>
      <c r="J46" s="270"/>
      <c r="K46" s="260"/>
      <c r="L46" s="260"/>
      <c r="M46" s="260"/>
      <c r="N46" s="262"/>
      <c r="O46" s="260"/>
      <c r="P46" s="262"/>
      <c r="Q46" s="262"/>
      <c r="R46" s="263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</row>
    <row r="47" spans="1:45" s="266" customFormat="1" ht="9.4499999999999993" customHeight="1" x14ac:dyDescent="0.25">
      <c r="A47" s="298"/>
      <c r="B47" s="270"/>
      <c r="C47" s="270"/>
      <c r="D47" s="270"/>
      <c r="E47" s="270"/>
      <c r="F47" s="260"/>
      <c r="G47" s="260"/>
      <c r="H47" s="264"/>
      <c r="I47" s="299"/>
      <c r="J47" s="270"/>
      <c r="K47" s="260"/>
      <c r="L47" s="260"/>
      <c r="M47" s="260"/>
      <c r="N47" s="262"/>
      <c r="O47" s="262"/>
      <c r="P47" s="262"/>
      <c r="Q47" s="262"/>
      <c r="R47" s="263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</row>
    <row r="48" spans="1:45" s="266" customFormat="1" ht="9.4499999999999993" customHeight="1" x14ac:dyDescent="0.25">
      <c r="A48" s="298"/>
      <c r="B48" s="260"/>
      <c r="C48" s="260"/>
      <c r="D48" s="260"/>
      <c r="E48" s="270"/>
      <c r="F48" s="260"/>
      <c r="G48" s="260"/>
      <c r="H48" s="260"/>
      <c r="I48" s="260"/>
      <c r="J48" s="270"/>
      <c r="K48" s="260"/>
      <c r="L48" s="300"/>
      <c r="M48" s="260"/>
      <c r="N48" s="262"/>
      <c r="O48" s="262"/>
      <c r="P48" s="262"/>
      <c r="Q48" s="262"/>
      <c r="R48" s="263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</row>
    <row r="49" spans="1:45" s="266" customFormat="1" ht="9.4499999999999993" customHeight="1" x14ac:dyDescent="0.25">
      <c r="A49" s="298"/>
      <c r="B49" s="270"/>
      <c r="C49" s="270"/>
      <c r="D49" s="270"/>
      <c r="E49" s="270"/>
      <c r="F49" s="260"/>
      <c r="G49" s="260"/>
      <c r="H49" s="264"/>
      <c r="I49" s="260"/>
      <c r="J49" s="270"/>
      <c r="K49" s="299"/>
      <c r="L49" s="270"/>
      <c r="M49" s="260"/>
      <c r="N49" s="262"/>
      <c r="O49" s="262"/>
      <c r="P49" s="262"/>
      <c r="Q49" s="262"/>
      <c r="R49" s="263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</row>
    <row r="50" spans="1:45" s="266" customFormat="1" ht="9.4499999999999993" customHeight="1" x14ac:dyDescent="0.25">
      <c r="A50" s="298"/>
      <c r="B50" s="260"/>
      <c r="C50" s="260"/>
      <c r="D50" s="260"/>
      <c r="E50" s="270"/>
      <c r="F50" s="260"/>
      <c r="G50" s="260"/>
      <c r="H50" s="260"/>
      <c r="I50" s="260"/>
      <c r="J50" s="270"/>
      <c r="K50" s="260"/>
      <c r="L50" s="260"/>
      <c r="M50" s="260"/>
      <c r="N50" s="262"/>
      <c r="O50" s="262"/>
      <c r="P50" s="262"/>
      <c r="Q50" s="262"/>
      <c r="R50" s="263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</row>
    <row r="51" spans="1:45" s="266" customFormat="1" ht="9.4499999999999993" customHeight="1" x14ac:dyDescent="0.25">
      <c r="A51" s="298"/>
      <c r="B51" s="270"/>
      <c r="C51" s="270"/>
      <c r="D51" s="270"/>
      <c r="E51" s="270"/>
      <c r="F51" s="260"/>
      <c r="G51" s="260"/>
      <c r="H51" s="264"/>
      <c r="I51" s="299"/>
      <c r="J51" s="270"/>
      <c r="K51" s="260"/>
      <c r="L51" s="260"/>
      <c r="M51" s="260"/>
      <c r="N51" s="262"/>
      <c r="O51" s="262"/>
      <c r="P51" s="262"/>
      <c r="Q51" s="262"/>
      <c r="R51" s="263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</row>
    <row r="52" spans="1:45" s="266" customFormat="1" ht="9.4499999999999993" customHeight="1" x14ac:dyDescent="0.25">
      <c r="A52" s="297"/>
      <c r="B52" s="260"/>
      <c r="C52" s="260"/>
      <c r="D52" s="260"/>
      <c r="E52" s="270"/>
      <c r="F52" s="304"/>
      <c r="G52" s="304"/>
      <c r="H52" s="304"/>
      <c r="I52" s="304"/>
      <c r="J52" s="270"/>
      <c r="K52" s="260"/>
      <c r="L52" s="260"/>
      <c r="M52" s="260"/>
      <c r="N52" s="260"/>
      <c r="O52" s="260"/>
      <c r="P52" s="260"/>
      <c r="Q52" s="262"/>
      <c r="R52" s="263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</row>
    <row r="53" spans="1:45" s="311" customFormat="1" ht="6.75" customHeight="1" x14ac:dyDescent="0.25">
      <c r="A53" s="305"/>
      <c r="B53" s="305"/>
      <c r="C53" s="305"/>
      <c r="D53" s="305"/>
      <c r="E53" s="305"/>
      <c r="F53" s="306"/>
      <c r="G53" s="306"/>
      <c r="H53" s="306"/>
      <c r="I53" s="306"/>
      <c r="J53" s="307"/>
      <c r="K53" s="308"/>
      <c r="L53" s="309"/>
      <c r="M53" s="308"/>
      <c r="N53" s="309"/>
      <c r="O53" s="308"/>
      <c r="P53" s="309"/>
      <c r="Q53" s="308"/>
      <c r="R53" s="309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264"/>
      <c r="AJ53" s="264"/>
      <c r="AK53" s="264"/>
      <c r="AL53" s="310"/>
      <c r="AM53" s="310"/>
      <c r="AN53" s="310"/>
      <c r="AO53" s="310"/>
      <c r="AP53" s="310"/>
      <c r="AQ53" s="310"/>
      <c r="AR53" s="310"/>
      <c r="AS53" s="310"/>
    </row>
    <row r="54" spans="1:45" s="324" customFormat="1" ht="10.5" customHeight="1" x14ac:dyDescent="0.25">
      <c r="A54" s="312" t="s">
        <v>26</v>
      </c>
      <c r="B54" s="313"/>
      <c r="C54" s="313"/>
      <c r="D54" s="314"/>
      <c r="E54" s="315" t="s">
        <v>0</v>
      </c>
      <c r="F54" s="316" t="s">
        <v>28</v>
      </c>
      <c r="G54" s="315"/>
      <c r="H54" s="317"/>
      <c r="I54" s="318"/>
      <c r="J54" s="315" t="s">
        <v>0</v>
      </c>
      <c r="K54" s="316" t="s">
        <v>35</v>
      </c>
      <c r="L54" s="319"/>
      <c r="M54" s="316" t="s">
        <v>36</v>
      </c>
      <c r="N54" s="320"/>
      <c r="O54" s="321" t="s">
        <v>37</v>
      </c>
      <c r="P54" s="321"/>
      <c r="Q54" s="322"/>
      <c r="R54" s="323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6"/>
      <c r="AJ54" s="326"/>
      <c r="AK54" s="326"/>
      <c r="AL54" s="325"/>
      <c r="AM54" s="325"/>
      <c r="AN54" s="325"/>
      <c r="AO54" s="325"/>
      <c r="AP54" s="325"/>
      <c r="AQ54" s="325"/>
      <c r="AR54" s="325"/>
      <c r="AS54" s="325"/>
    </row>
    <row r="55" spans="1:45" s="324" customFormat="1" ht="9" customHeight="1" x14ac:dyDescent="0.25">
      <c r="A55" s="327" t="s">
        <v>27</v>
      </c>
      <c r="B55" s="328"/>
      <c r="C55" s="329"/>
      <c r="D55" s="330"/>
      <c r="E55" s="331">
        <v>1</v>
      </c>
      <c r="F55" s="325" t="str">
        <f>IF(E55&gt;$R$62,,UPPER(VLOOKUP(E55,'[14]1MD ELO'!$A$7:$Q$134,2)))</f>
        <v/>
      </c>
      <c r="G55" s="331"/>
      <c r="H55" s="325"/>
      <c r="I55" s="332"/>
      <c r="J55" s="333" t="s">
        <v>1</v>
      </c>
      <c r="K55" s="334"/>
      <c r="L55" s="335"/>
      <c r="M55" s="334"/>
      <c r="N55" s="336"/>
      <c r="O55" s="337" t="s">
        <v>29</v>
      </c>
      <c r="P55" s="338"/>
      <c r="Q55" s="338"/>
      <c r="R55" s="336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6"/>
      <c r="AJ55" s="326"/>
      <c r="AK55" s="326"/>
      <c r="AL55" s="325"/>
      <c r="AM55" s="325"/>
      <c r="AN55" s="325"/>
      <c r="AO55" s="325"/>
      <c r="AP55" s="325"/>
      <c r="AQ55" s="325"/>
      <c r="AR55" s="325"/>
      <c r="AS55" s="325"/>
    </row>
    <row r="56" spans="1:45" s="324" customFormat="1" ht="9" customHeight="1" x14ac:dyDescent="0.25">
      <c r="A56" s="339" t="s">
        <v>34</v>
      </c>
      <c r="B56" s="340"/>
      <c r="C56" s="341"/>
      <c r="D56" s="342"/>
      <c r="E56" s="331">
        <v>2</v>
      </c>
      <c r="F56" s="325" t="str">
        <f>IF(E56&gt;$R$62,,UPPER(VLOOKUP(E56,'[14]1MD ELO'!$A$7:$Q$134,2)))</f>
        <v/>
      </c>
      <c r="G56" s="331"/>
      <c r="H56" s="325"/>
      <c r="I56" s="332"/>
      <c r="J56" s="333" t="s">
        <v>2</v>
      </c>
      <c r="K56" s="334"/>
      <c r="L56" s="335"/>
      <c r="M56" s="334"/>
      <c r="N56" s="336"/>
      <c r="O56" s="343"/>
      <c r="P56" s="344"/>
      <c r="Q56" s="340"/>
      <c r="R56" s="34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6"/>
      <c r="AJ56" s="326"/>
      <c r="AK56" s="326"/>
      <c r="AL56" s="325"/>
      <c r="AM56" s="325"/>
      <c r="AN56" s="325"/>
      <c r="AO56" s="325"/>
      <c r="AP56" s="325"/>
      <c r="AQ56" s="325"/>
      <c r="AR56" s="325"/>
      <c r="AS56" s="325"/>
    </row>
    <row r="57" spans="1:45" s="324" customFormat="1" ht="9" customHeight="1" x14ac:dyDescent="0.25">
      <c r="A57" s="346"/>
      <c r="B57" s="347"/>
      <c r="C57" s="348"/>
      <c r="D57" s="349"/>
      <c r="E57" s="331"/>
      <c r="F57" s="325"/>
      <c r="G57" s="331"/>
      <c r="H57" s="325"/>
      <c r="I57" s="332"/>
      <c r="J57" s="333" t="s">
        <v>3</v>
      </c>
      <c r="K57" s="334"/>
      <c r="L57" s="335"/>
      <c r="M57" s="334"/>
      <c r="N57" s="336"/>
      <c r="O57" s="337" t="s">
        <v>30</v>
      </c>
      <c r="P57" s="338"/>
      <c r="Q57" s="338"/>
      <c r="R57" s="336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6"/>
      <c r="AJ57" s="326"/>
      <c r="AK57" s="326"/>
      <c r="AL57" s="325"/>
      <c r="AM57" s="325"/>
      <c r="AN57" s="325"/>
      <c r="AO57" s="325"/>
      <c r="AP57" s="325"/>
      <c r="AQ57" s="325"/>
      <c r="AR57" s="325"/>
      <c r="AS57" s="325"/>
    </row>
    <row r="58" spans="1:45" s="324" customFormat="1" ht="9" customHeight="1" x14ac:dyDescent="0.25">
      <c r="A58" s="350"/>
      <c r="B58" s="236"/>
      <c r="C58" s="236"/>
      <c r="D58" s="351"/>
      <c r="E58" s="331"/>
      <c r="F58" s="325"/>
      <c r="G58" s="331"/>
      <c r="H58" s="325"/>
      <c r="I58" s="332"/>
      <c r="J58" s="333" t="s">
        <v>4</v>
      </c>
      <c r="K58" s="334"/>
      <c r="L58" s="335"/>
      <c r="M58" s="334"/>
      <c r="N58" s="336"/>
      <c r="O58" s="334"/>
      <c r="P58" s="335"/>
      <c r="Q58" s="334"/>
      <c r="R58" s="336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6"/>
      <c r="AJ58" s="326"/>
      <c r="AK58" s="326"/>
      <c r="AL58" s="325"/>
      <c r="AM58" s="325"/>
      <c r="AN58" s="325"/>
      <c r="AO58" s="325"/>
      <c r="AP58" s="325"/>
      <c r="AQ58" s="325"/>
      <c r="AR58" s="325"/>
      <c r="AS58" s="325"/>
    </row>
    <row r="59" spans="1:45" s="324" customFormat="1" ht="9" customHeight="1" x14ac:dyDescent="0.25">
      <c r="A59" s="352"/>
      <c r="B59" s="353"/>
      <c r="C59" s="353"/>
      <c r="D59" s="354"/>
      <c r="E59" s="331"/>
      <c r="F59" s="325"/>
      <c r="G59" s="331"/>
      <c r="H59" s="325"/>
      <c r="I59" s="332"/>
      <c r="J59" s="333" t="s">
        <v>5</v>
      </c>
      <c r="K59" s="334"/>
      <c r="L59" s="335"/>
      <c r="M59" s="334"/>
      <c r="N59" s="336"/>
      <c r="O59" s="340"/>
      <c r="P59" s="344"/>
      <c r="Q59" s="340"/>
      <c r="R59" s="34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6"/>
      <c r="AJ59" s="326"/>
      <c r="AK59" s="326"/>
      <c r="AL59" s="325"/>
      <c r="AM59" s="325"/>
      <c r="AN59" s="325"/>
      <c r="AO59" s="325"/>
      <c r="AP59" s="325"/>
      <c r="AQ59" s="325"/>
      <c r="AR59" s="325"/>
      <c r="AS59" s="325"/>
    </row>
    <row r="60" spans="1:45" s="324" customFormat="1" ht="9" customHeight="1" x14ac:dyDescent="0.25">
      <c r="A60" s="355"/>
      <c r="B60" s="356"/>
      <c r="C60" s="236"/>
      <c r="D60" s="351"/>
      <c r="E60" s="331"/>
      <c r="F60" s="325"/>
      <c r="G60" s="331"/>
      <c r="H60" s="325"/>
      <c r="I60" s="332"/>
      <c r="J60" s="333" t="s">
        <v>6</v>
      </c>
      <c r="K60" s="334"/>
      <c r="L60" s="335"/>
      <c r="M60" s="334"/>
      <c r="N60" s="336"/>
      <c r="O60" s="337" t="s">
        <v>25</v>
      </c>
      <c r="P60" s="338"/>
      <c r="Q60" s="338"/>
      <c r="R60" s="336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6"/>
      <c r="AJ60" s="326"/>
      <c r="AK60" s="326"/>
      <c r="AL60" s="325"/>
      <c r="AM60" s="325"/>
      <c r="AN60" s="325"/>
      <c r="AO60" s="325"/>
      <c r="AP60" s="325"/>
      <c r="AQ60" s="325"/>
      <c r="AR60" s="325"/>
      <c r="AS60" s="325"/>
    </row>
    <row r="61" spans="1:45" s="324" customFormat="1" ht="9" customHeight="1" x14ac:dyDescent="0.25">
      <c r="A61" s="355"/>
      <c r="B61" s="356"/>
      <c r="C61" s="357"/>
      <c r="D61" s="358"/>
      <c r="E61" s="331"/>
      <c r="F61" s="325"/>
      <c r="G61" s="331"/>
      <c r="H61" s="325"/>
      <c r="I61" s="332"/>
      <c r="J61" s="333" t="s">
        <v>7</v>
      </c>
      <c r="K61" s="334"/>
      <c r="L61" s="335"/>
      <c r="M61" s="334"/>
      <c r="N61" s="336"/>
      <c r="O61" s="334"/>
      <c r="P61" s="335"/>
      <c r="Q61" s="334"/>
      <c r="R61" s="336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6"/>
      <c r="AJ61" s="326"/>
      <c r="AK61" s="326"/>
      <c r="AL61" s="325"/>
      <c r="AM61" s="325"/>
      <c r="AN61" s="325"/>
      <c r="AO61" s="325"/>
      <c r="AP61" s="325"/>
      <c r="AQ61" s="325"/>
      <c r="AR61" s="325"/>
      <c r="AS61" s="325"/>
    </row>
    <row r="62" spans="1:45" s="324" customFormat="1" ht="9" customHeight="1" x14ac:dyDescent="0.25">
      <c r="A62" s="359"/>
      <c r="B62" s="360"/>
      <c r="C62" s="361"/>
      <c r="D62" s="362"/>
      <c r="E62" s="363"/>
      <c r="F62" s="343"/>
      <c r="G62" s="363"/>
      <c r="H62" s="343"/>
      <c r="I62" s="364"/>
      <c r="J62" s="365" t="s">
        <v>8</v>
      </c>
      <c r="K62" s="340"/>
      <c r="L62" s="344"/>
      <c r="M62" s="340"/>
      <c r="N62" s="345"/>
      <c r="O62" s="340">
        <f>R4</f>
        <v>0</v>
      </c>
      <c r="P62" s="344"/>
      <c r="Q62" s="340"/>
      <c r="R62" s="366">
        <f>MIN(4,'[14]1MD ELO'!Q5)</f>
        <v>4</v>
      </c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6"/>
      <c r="AJ62" s="326"/>
      <c r="AK62" s="326"/>
      <c r="AL62" s="325"/>
      <c r="AM62" s="325"/>
      <c r="AN62" s="325"/>
      <c r="AO62" s="325"/>
      <c r="AP62" s="325"/>
      <c r="AQ62" s="325"/>
      <c r="AR62" s="325"/>
      <c r="AS62" s="325"/>
    </row>
    <row r="63" spans="1:45" x14ac:dyDescent="0.25"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L63" s="369"/>
      <c r="AM63" s="369"/>
      <c r="AN63" s="369"/>
      <c r="AO63" s="369"/>
      <c r="AP63" s="369"/>
      <c r="AQ63" s="369"/>
      <c r="AR63" s="369"/>
      <c r="AS63" s="369"/>
    </row>
    <row r="64" spans="1:45" x14ac:dyDescent="0.25"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L64" s="369"/>
      <c r="AM64" s="369"/>
      <c r="AN64" s="369"/>
      <c r="AO64" s="369"/>
      <c r="AP64" s="369"/>
      <c r="AQ64" s="369"/>
      <c r="AR64" s="369"/>
      <c r="AS64" s="369"/>
    </row>
    <row r="65" spans="20:45" x14ac:dyDescent="0.25"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L65" s="369"/>
      <c r="AM65" s="369"/>
      <c r="AN65" s="369"/>
      <c r="AO65" s="369"/>
      <c r="AP65" s="369"/>
      <c r="AQ65" s="369"/>
      <c r="AR65" s="369"/>
      <c r="AS65" s="369"/>
    </row>
    <row r="66" spans="20:45" x14ac:dyDescent="0.25"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L66" s="369"/>
      <c r="AM66" s="369"/>
      <c r="AN66" s="369"/>
      <c r="AO66" s="369"/>
      <c r="AP66" s="369"/>
      <c r="AQ66" s="369"/>
      <c r="AR66" s="369"/>
      <c r="AS66" s="369"/>
    </row>
    <row r="67" spans="20:45" x14ac:dyDescent="0.25"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L67" s="369"/>
      <c r="AM67" s="369"/>
      <c r="AN67" s="369"/>
      <c r="AO67" s="369"/>
      <c r="AP67" s="369"/>
      <c r="AQ67" s="369"/>
      <c r="AR67" s="369"/>
      <c r="AS67" s="369"/>
    </row>
    <row r="68" spans="20:45" x14ac:dyDescent="0.25"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L68" s="369"/>
      <c r="AM68" s="369"/>
      <c r="AN68" s="369"/>
      <c r="AO68" s="369"/>
      <c r="AP68" s="369"/>
      <c r="AQ68" s="369"/>
      <c r="AR68" s="369"/>
      <c r="AS68" s="369"/>
    </row>
    <row r="69" spans="20:45" x14ac:dyDescent="0.25"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L69" s="369"/>
      <c r="AM69" s="369"/>
      <c r="AN69" s="369"/>
      <c r="AO69" s="369"/>
      <c r="AP69" s="369"/>
      <c r="AQ69" s="369"/>
      <c r="AR69" s="369"/>
      <c r="AS69" s="369"/>
    </row>
    <row r="70" spans="20:45" x14ac:dyDescent="0.25"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L70" s="369"/>
      <c r="AM70" s="369"/>
      <c r="AN70" s="369"/>
      <c r="AO70" s="369"/>
      <c r="AP70" s="369"/>
      <c r="AQ70" s="369"/>
      <c r="AR70" s="369"/>
      <c r="AS70" s="369"/>
    </row>
    <row r="71" spans="20:45" x14ac:dyDescent="0.25"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L71" s="369"/>
      <c r="AM71" s="369"/>
      <c r="AN71" s="369"/>
      <c r="AO71" s="369"/>
      <c r="AP71" s="369"/>
      <c r="AQ71" s="369"/>
      <c r="AR71" s="369"/>
      <c r="AS71" s="369"/>
    </row>
    <row r="72" spans="20:45" x14ac:dyDescent="0.25"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L72" s="369"/>
      <c r="AM72" s="369"/>
      <c r="AN72" s="369"/>
      <c r="AO72" s="369"/>
      <c r="AP72" s="369"/>
      <c r="AQ72" s="369"/>
      <c r="AR72" s="369"/>
      <c r="AS72" s="369"/>
    </row>
    <row r="73" spans="20:45" x14ac:dyDescent="0.25"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L73" s="369"/>
      <c r="AM73" s="369"/>
      <c r="AN73" s="369"/>
      <c r="AO73" s="369"/>
      <c r="AP73" s="369"/>
      <c r="AQ73" s="369"/>
      <c r="AR73" s="369"/>
      <c r="AS73" s="369"/>
    </row>
    <row r="74" spans="20:45" x14ac:dyDescent="0.25"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L74" s="369"/>
      <c r="AM74" s="369"/>
      <c r="AN74" s="369"/>
      <c r="AO74" s="369"/>
      <c r="AP74" s="369"/>
      <c r="AQ74" s="369"/>
      <c r="AR74" s="369"/>
      <c r="AS74" s="369"/>
    </row>
    <row r="75" spans="20:45" x14ac:dyDescent="0.25"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L75" s="369"/>
      <c r="AM75" s="369"/>
      <c r="AN75" s="369"/>
      <c r="AO75" s="369"/>
      <c r="AP75" s="369"/>
      <c r="AQ75" s="369"/>
      <c r="AR75" s="369"/>
      <c r="AS75" s="369"/>
    </row>
    <row r="76" spans="20:45" x14ac:dyDescent="0.25"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L76" s="369"/>
      <c r="AM76" s="369"/>
      <c r="AN76" s="369"/>
      <c r="AO76" s="369"/>
      <c r="AP76" s="369"/>
      <c r="AQ76" s="369"/>
      <c r="AR76" s="369"/>
      <c r="AS76" s="369"/>
    </row>
    <row r="77" spans="20:45" x14ac:dyDescent="0.25"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L77" s="369"/>
      <c r="AM77" s="369"/>
      <c r="AN77" s="369"/>
      <c r="AO77" s="369"/>
      <c r="AP77" s="369"/>
      <c r="AQ77" s="369"/>
      <c r="AR77" s="369"/>
      <c r="AS77" s="369"/>
    </row>
    <row r="78" spans="20:45" x14ac:dyDescent="0.25"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L78" s="369"/>
      <c r="AM78" s="369"/>
      <c r="AN78" s="369"/>
      <c r="AO78" s="369"/>
      <c r="AP78" s="369"/>
      <c r="AQ78" s="369"/>
      <c r="AR78" s="369"/>
      <c r="AS78" s="369"/>
    </row>
    <row r="79" spans="20:45" x14ac:dyDescent="0.25"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L79" s="369"/>
      <c r="AM79" s="369"/>
      <c r="AN79" s="369"/>
      <c r="AO79" s="369"/>
      <c r="AP79" s="369"/>
      <c r="AQ79" s="369"/>
      <c r="AR79" s="369"/>
      <c r="AS79" s="369"/>
    </row>
    <row r="80" spans="20:45" x14ac:dyDescent="0.25"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L80" s="369"/>
      <c r="AM80" s="369"/>
      <c r="AN80" s="369"/>
      <c r="AO80" s="369"/>
      <c r="AP80" s="369"/>
      <c r="AQ80" s="369"/>
      <c r="AR80" s="369"/>
      <c r="AS80" s="369"/>
    </row>
    <row r="81" spans="20:45" x14ac:dyDescent="0.25"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L81" s="369"/>
      <c r="AM81" s="369"/>
      <c r="AN81" s="369"/>
      <c r="AO81" s="369"/>
      <c r="AP81" s="369"/>
      <c r="AQ81" s="369"/>
      <c r="AR81" s="369"/>
      <c r="AS81" s="369"/>
    </row>
    <row r="82" spans="20:45" x14ac:dyDescent="0.25"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L82" s="369"/>
      <c r="AM82" s="369"/>
      <c r="AN82" s="369"/>
      <c r="AO82" s="369"/>
      <c r="AP82" s="369"/>
      <c r="AQ82" s="369"/>
      <c r="AR82" s="369"/>
      <c r="AS82" s="369"/>
    </row>
    <row r="83" spans="20:45" x14ac:dyDescent="0.25"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L83" s="369"/>
      <c r="AM83" s="369"/>
      <c r="AN83" s="369"/>
      <c r="AO83" s="369"/>
      <c r="AP83" s="369"/>
      <c r="AQ83" s="369"/>
      <c r="AR83" s="369"/>
      <c r="AS83" s="369"/>
    </row>
    <row r="84" spans="20:45" x14ac:dyDescent="0.25"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L84" s="369"/>
      <c r="AM84" s="369"/>
      <c r="AN84" s="369"/>
      <c r="AO84" s="369"/>
      <c r="AP84" s="369"/>
      <c r="AQ84" s="369"/>
      <c r="AR84" s="369"/>
      <c r="AS84" s="369"/>
    </row>
    <row r="85" spans="20:45" x14ac:dyDescent="0.25"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L85" s="369"/>
      <c r="AM85" s="369"/>
      <c r="AN85" s="369"/>
      <c r="AO85" s="369"/>
      <c r="AP85" s="369"/>
      <c r="AQ85" s="369"/>
      <c r="AR85" s="369"/>
      <c r="AS85" s="369"/>
    </row>
    <row r="86" spans="20:45" x14ac:dyDescent="0.25"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L86" s="369"/>
      <c r="AM86" s="369"/>
      <c r="AN86" s="369"/>
      <c r="AO86" s="369"/>
      <c r="AP86" s="369"/>
      <c r="AQ86" s="369"/>
      <c r="AR86" s="369"/>
      <c r="AS86" s="369"/>
    </row>
    <row r="87" spans="20:45" x14ac:dyDescent="0.25"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L87" s="369"/>
      <c r="AM87" s="369"/>
      <c r="AN87" s="369"/>
      <c r="AO87" s="369"/>
      <c r="AP87" s="369"/>
      <c r="AQ87" s="369"/>
      <c r="AR87" s="369"/>
      <c r="AS87" s="369"/>
    </row>
    <row r="88" spans="20:45" x14ac:dyDescent="0.25"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L88" s="369"/>
      <c r="AM88" s="369"/>
      <c r="AN88" s="369"/>
      <c r="AO88" s="369"/>
      <c r="AP88" s="369"/>
      <c r="AQ88" s="369"/>
      <c r="AR88" s="369"/>
      <c r="AS88" s="369"/>
    </row>
    <row r="89" spans="20:45" x14ac:dyDescent="0.25"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L89" s="369"/>
      <c r="AM89" s="369"/>
      <c r="AN89" s="369"/>
      <c r="AO89" s="369"/>
      <c r="AP89" s="369"/>
      <c r="AQ89" s="369"/>
      <c r="AR89" s="369"/>
      <c r="AS89" s="369"/>
    </row>
    <row r="90" spans="20:45" x14ac:dyDescent="0.25"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L90" s="369"/>
      <c r="AM90" s="369"/>
      <c r="AN90" s="369"/>
      <c r="AO90" s="369"/>
      <c r="AP90" s="369"/>
      <c r="AQ90" s="369"/>
      <c r="AR90" s="369"/>
      <c r="AS90" s="369"/>
    </row>
    <row r="91" spans="20:45" x14ac:dyDescent="0.25"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L91" s="369"/>
      <c r="AM91" s="369"/>
      <c r="AN91" s="369"/>
      <c r="AO91" s="369"/>
      <c r="AP91" s="369"/>
      <c r="AQ91" s="369"/>
      <c r="AR91" s="369"/>
      <c r="AS91" s="369"/>
    </row>
    <row r="92" spans="20:45" x14ac:dyDescent="0.25"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L92" s="369"/>
      <c r="AM92" s="369"/>
      <c r="AN92" s="369"/>
      <c r="AO92" s="369"/>
      <c r="AP92" s="369"/>
      <c r="AQ92" s="369"/>
      <c r="AR92" s="369"/>
      <c r="AS92" s="369"/>
    </row>
    <row r="93" spans="20:45" x14ac:dyDescent="0.25"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L93" s="369"/>
      <c r="AM93" s="369"/>
      <c r="AN93" s="369"/>
      <c r="AO93" s="369"/>
      <c r="AP93" s="369"/>
      <c r="AQ93" s="369"/>
      <c r="AR93" s="369"/>
      <c r="AS93" s="369"/>
    </row>
    <row r="94" spans="20:45" x14ac:dyDescent="0.25"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L94" s="369"/>
      <c r="AM94" s="369"/>
      <c r="AN94" s="369"/>
      <c r="AO94" s="369"/>
      <c r="AP94" s="369"/>
      <c r="AQ94" s="369"/>
      <c r="AR94" s="369"/>
      <c r="AS94" s="369"/>
    </row>
    <row r="95" spans="20:45" x14ac:dyDescent="0.25"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L95" s="369"/>
      <c r="AM95" s="369"/>
      <c r="AN95" s="369"/>
      <c r="AO95" s="369"/>
      <c r="AP95" s="369"/>
      <c r="AQ95" s="369"/>
      <c r="AR95" s="369"/>
      <c r="AS95" s="369"/>
    </row>
    <row r="96" spans="20:45" x14ac:dyDescent="0.25"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L96" s="369"/>
      <c r="AM96" s="369"/>
      <c r="AN96" s="369"/>
      <c r="AO96" s="369"/>
      <c r="AP96" s="369"/>
      <c r="AQ96" s="369"/>
      <c r="AR96" s="369"/>
      <c r="AS96" s="369"/>
    </row>
    <row r="97" spans="20:45" x14ac:dyDescent="0.25"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L97" s="369"/>
      <c r="AM97" s="369"/>
      <c r="AN97" s="369"/>
      <c r="AO97" s="369"/>
      <c r="AP97" s="369"/>
      <c r="AQ97" s="369"/>
      <c r="AR97" s="369"/>
      <c r="AS97" s="369"/>
    </row>
    <row r="98" spans="20:45" x14ac:dyDescent="0.25"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L98" s="369"/>
      <c r="AM98" s="369"/>
      <c r="AN98" s="369"/>
      <c r="AO98" s="369"/>
      <c r="AP98" s="369"/>
      <c r="AQ98" s="369"/>
      <c r="AR98" s="369"/>
      <c r="AS98" s="369"/>
    </row>
    <row r="99" spans="20:45" x14ac:dyDescent="0.25"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L99" s="369"/>
      <c r="AM99" s="369"/>
      <c r="AN99" s="369"/>
      <c r="AO99" s="369"/>
      <c r="AP99" s="369"/>
      <c r="AQ99" s="369"/>
      <c r="AR99" s="369"/>
      <c r="AS99" s="369"/>
    </row>
    <row r="100" spans="20:45" x14ac:dyDescent="0.25"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L100" s="369"/>
      <c r="AM100" s="369"/>
      <c r="AN100" s="369"/>
      <c r="AO100" s="369"/>
      <c r="AP100" s="369"/>
      <c r="AQ100" s="369"/>
      <c r="AR100" s="369"/>
      <c r="AS100" s="369"/>
    </row>
    <row r="101" spans="20:45" x14ac:dyDescent="0.25"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L101" s="369"/>
      <c r="AM101" s="369"/>
      <c r="AN101" s="369"/>
      <c r="AO101" s="369"/>
      <c r="AP101" s="369"/>
      <c r="AQ101" s="369"/>
      <c r="AR101" s="369"/>
      <c r="AS101" s="369"/>
    </row>
    <row r="102" spans="20:45" x14ac:dyDescent="0.25"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L102" s="369"/>
      <c r="AM102" s="369"/>
      <c r="AN102" s="369"/>
      <c r="AO102" s="369"/>
      <c r="AP102" s="369"/>
      <c r="AQ102" s="369"/>
      <c r="AR102" s="369"/>
      <c r="AS102" s="369"/>
    </row>
    <row r="103" spans="20:45" x14ac:dyDescent="0.25"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L103" s="369"/>
      <c r="AM103" s="369"/>
      <c r="AN103" s="369"/>
      <c r="AO103" s="369"/>
      <c r="AP103" s="369"/>
      <c r="AQ103" s="369"/>
      <c r="AR103" s="369"/>
      <c r="AS103" s="369"/>
    </row>
    <row r="104" spans="20:45" x14ac:dyDescent="0.25"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L104" s="369"/>
      <c r="AM104" s="369"/>
      <c r="AN104" s="369"/>
      <c r="AO104" s="369"/>
      <c r="AP104" s="369"/>
      <c r="AQ104" s="369"/>
      <c r="AR104" s="369"/>
      <c r="AS104" s="369"/>
    </row>
    <row r="105" spans="20:45" x14ac:dyDescent="0.25"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L105" s="369"/>
      <c r="AM105" s="369"/>
      <c r="AN105" s="369"/>
      <c r="AO105" s="369"/>
      <c r="AP105" s="369"/>
      <c r="AQ105" s="369"/>
      <c r="AR105" s="369"/>
      <c r="AS105" s="369"/>
    </row>
    <row r="106" spans="20:45" x14ac:dyDescent="0.25"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L106" s="369"/>
      <c r="AM106" s="369"/>
      <c r="AN106" s="369"/>
      <c r="AO106" s="369"/>
      <c r="AP106" s="369"/>
      <c r="AQ106" s="369"/>
      <c r="AR106" s="369"/>
      <c r="AS106" s="369"/>
    </row>
    <row r="107" spans="20:45" x14ac:dyDescent="0.25"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L107" s="369"/>
      <c r="AM107" s="369"/>
      <c r="AN107" s="369"/>
      <c r="AO107" s="369"/>
      <c r="AP107" s="369"/>
      <c r="AQ107" s="369"/>
      <c r="AR107" s="369"/>
      <c r="AS107" s="369"/>
    </row>
    <row r="108" spans="20:45" x14ac:dyDescent="0.25"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L108" s="369"/>
      <c r="AM108" s="369"/>
      <c r="AN108" s="369"/>
      <c r="AO108" s="369"/>
      <c r="AP108" s="369"/>
      <c r="AQ108" s="369"/>
      <c r="AR108" s="369"/>
      <c r="AS108" s="369"/>
    </row>
    <row r="109" spans="20:45" x14ac:dyDescent="0.25"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L109" s="369"/>
      <c r="AM109" s="369"/>
      <c r="AN109" s="369"/>
      <c r="AO109" s="369"/>
      <c r="AP109" s="369"/>
      <c r="AQ109" s="369"/>
      <c r="AR109" s="369"/>
      <c r="AS109" s="369"/>
    </row>
    <row r="110" spans="20:45" x14ac:dyDescent="0.25"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L110" s="369"/>
      <c r="AM110" s="369"/>
      <c r="AN110" s="369"/>
      <c r="AO110" s="369"/>
      <c r="AP110" s="369"/>
      <c r="AQ110" s="369"/>
      <c r="AR110" s="369"/>
      <c r="AS110" s="369"/>
    </row>
    <row r="111" spans="20:45" x14ac:dyDescent="0.25"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L111" s="369"/>
      <c r="AM111" s="369"/>
      <c r="AN111" s="369"/>
      <c r="AO111" s="369"/>
      <c r="AP111" s="369"/>
      <c r="AQ111" s="369"/>
      <c r="AR111" s="369"/>
      <c r="AS111" s="369"/>
    </row>
    <row r="112" spans="20:45" x14ac:dyDescent="0.25"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L112" s="369"/>
      <c r="AM112" s="369"/>
      <c r="AN112" s="369"/>
      <c r="AO112" s="369"/>
      <c r="AP112" s="369"/>
      <c r="AQ112" s="369"/>
      <c r="AR112" s="369"/>
      <c r="AS112" s="369"/>
    </row>
    <row r="113" spans="20:45" x14ac:dyDescent="0.25"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L113" s="369"/>
      <c r="AM113" s="369"/>
      <c r="AN113" s="369"/>
      <c r="AO113" s="369"/>
      <c r="AP113" s="369"/>
      <c r="AQ113" s="369"/>
      <c r="AR113" s="369"/>
      <c r="AS113" s="369"/>
    </row>
    <row r="114" spans="20:45" x14ac:dyDescent="0.25"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L114" s="369"/>
      <c r="AM114" s="369"/>
      <c r="AN114" s="369"/>
      <c r="AO114" s="369"/>
      <c r="AP114" s="369"/>
      <c r="AQ114" s="369"/>
      <c r="AR114" s="369"/>
      <c r="AS114" s="369"/>
    </row>
    <row r="115" spans="20:45" x14ac:dyDescent="0.25"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L115" s="369"/>
      <c r="AM115" s="369"/>
      <c r="AN115" s="369"/>
      <c r="AO115" s="369"/>
      <c r="AP115" s="369"/>
      <c r="AQ115" s="369"/>
      <c r="AR115" s="369"/>
      <c r="AS115" s="369"/>
    </row>
    <row r="116" spans="20:45" x14ac:dyDescent="0.25"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L116" s="369"/>
      <c r="AM116" s="369"/>
      <c r="AN116" s="369"/>
      <c r="AO116" s="369"/>
      <c r="AP116" s="369"/>
      <c r="AQ116" s="369"/>
      <c r="AR116" s="369"/>
      <c r="AS116" s="369"/>
    </row>
    <row r="117" spans="20:45" x14ac:dyDescent="0.25"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L117" s="369"/>
      <c r="AM117" s="369"/>
      <c r="AN117" s="369"/>
      <c r="AO117" s="369"/>
      <c r="AP117" s="369"/>
      <c r="AQ117" s="369"/>
      <c r="AR117" s="369"/>
      <c r="AS117" s="369"/>
    </row>
    <row r="118" spans="20:45" x14ac:dyDescent="0.25"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L118" s="369"/>
      <c r="AM118" s="369"/>
      <c r="AN118" s="369"/>
      <c r="AO118" s="369"/>
      <c r="AP118" s="369"/>
      <c r="AQ118" s="369"/>
      <c r="AR118" s="369"/>
      <c r="AS118" s="369"/>
    </row>
    <row r="119" spans="20:45" x14ac:dyDescent="0.25"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L119" s="369"/>
      <c r="AM119" s="369"/>
      <c r="AN119" s="369"/>
      <c r="AO119" s="369"/>
      <c r="AP119" s="369"/>
      <c r="AQ119" s="369"/>
      <c r="AR119" s="369"/>
      <c r="AS119" s="369"/>
    </row>
    <row r="120" spans="20:45" x14ac:dyDescent="0.25"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L120" s="369"/>
      <c r="AM120" s="369"/>
      <c r="AN120" s="369"/>
      <c r="AO120" s="369"/>
      <c r="AP120" s="369"/>
      <c r="AQ120" s="369"/>
      <c r="AR120" s="369"/>
      <c r="AS120" s="369"/>
    </row>
    <row r="121" spans="20:45" x14ac:dyDescent="0.25"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L121" s="369"/>
      <c r="AM121" s="369"/>
      <c r="AN121" s="369"/>
      <c r="AO121" s="369"/>
      <c r="AP121" s="369"/>
      <c r="AQ121" s="369"/>
      <c r="AR121" s="369"/>
      <c r="AS121" s="369"/>
    </row>
    <row r="122" spans="20:45" x14ac:dyDescent="0.25"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L122" s="369"/>
      <c r="AM122" s="369"/>
      <c r="AN122" s="369"/>
      <c r="AO122" s="369"/>
      <c r="AP122" s="369"/>
      <c r="AQ122" s="369"/>
      <c r="AR122" s="369"/>
      <c r="AS122" s="369"/>
    </row>
    <row r="123" spans="20:45" x14ac:dyDescent="0.25"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L123" s="369"/>
      <c r="AM123" s="369"/>
      <c r="AN123" s="369"/>
      <c r="AO123" s="369"/>
      <c r="AP123" s="369"/>
      <c r="AQ123" s="369"/>
      <c r="AR123" s="369"/>
      <c r="AS123" s="369"/>
    </row>
    <row r="124" spans="20:45" x14ac:dyDescent="0.25"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L124" s="369"/>
      <c r="AM124" s="369"/>
      <c r="AN124" s="369"/>
      <c r="AO124" s="369"/>
      <c r="AP124" s="369"/>
      <c r="AQ124" s="369"/>
      <c r="AR124" s="369"/>
      <c r="AS124" s="369"/>
    </row>
    <row r="125" spans="20:45" x14ac:dyDescent="0.25"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L125" s="369"/>
      <c r="AM125" s="369"/>
      <c r="AN125" s="369"/>
      <c r="AO125" s="369"/>
      <c r="AP125" s="369"/>
      <c r="AQ125" s="369"/>
      <c r="AR125" s="369"/>
      <c r="AS125" s="369"/>
    </row>
    <row r="126" spans="20:45" x14ac:dyDescent="0.25"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L126" s="369"/>
      <c r="AM126" s="369"/>
      <c r="AN126" s="369"/>
      <c r="AO126" s="369"/>
      <c r="AP126" s="369"/>
      <c r="AQ126" s="369"/>
      <c r="AR126" s="369"/>
      <c r="AS126" s="369"/>
    </row>
    <row r="127" spans="20:45" x14ac:dyDescent="0.25"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L127" s="369"/>
      <c r="AM127" s="369"/>
      <c r="AN127" s="369"/>
      <c r="AO127" s="369"/>
      <c r="AP127" s="369"/>
      <c r="AQ127" s="369"/>
      <c r="AR127" s="369"/>
      <c r="AS127" s="369"/>
    </row>
    <row r="128" spans="20:45" x14ac:dyDescent="0.25">
      <c r="T128" s="369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L128" s="369"/>
      <c r="AM128" s="369"/>
      <c r="AN128" s="369"/>
      <c r="AO128" s="369"/>
      <c r="AP128" s="369"/>
      <c r="AQ128" s="369"/>
      <c r="AR128" s="369"/>
      <c r="AS128" s="369"/>
    </row>
    <row r="129" spans="20:45" x14ac:dyDescent="0.25"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L129" s="369"/>
      <c r="AM129" s="369"/>
      <c r="AN129" s="369"/>
      <c r="AO129" s="369"/>
      <c r="AP129" s="369"/>
      <c r="AQ129" s="369"/>
      <c r="AR129" s="369"/>
      <c r="AS129" s="369"/>
    </row>
    <row r="130" spans="20:45" x14ac:dyDescent="0.25"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L130" s="369"/>
      <c r="AM130" s="369"/>
      <c r="AN130" s="369"/>
      <c r="AO130" s="369"/>
      <c r="AP130" s="369"/>
      <c r="AQ130" s="369"/>
      <c r="AR130" s="369"/>
      <c r="AS130" s="369"/>
    </row>
    <row r="131" spans="20:45" x14ac:dyDescent="0.25"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L131" s="369"/>
      <c r="AM131" s="369"/>
      <c r="AN131" s="369"/>
      <c r="AO131" s="369"/>
      <c r="AP131" s="369"/>
      <c r="AQ131" s="369"/>
      <c r="AR131" s="369"/>
      <c r="AS131" s="369"/>
    </row>
    <row r="132" spans="20:45" x14ac:dyDescent="0.25">
      <c r="T132" s="369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L132" s="369"/>
      <c r="AM132" s="369"/>
      <c r="AN132" s="369"/>
      <c r="AO132" s="369"/>
      <c r="AP132" s="369"/>
      <c r="AQ132" s="369"/>
      <c r="AR132" s="369"/>
      <c r="AS132" s="369"/>
    </row>
    <row r="133" spans="20:45" x14ac:dyDescent="0.25"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L133" s="369"/>
      <c r="AM133" s="369"/>
      <c r="AN133" s="369"/>
      <c r="AO133" s="369"/>
      <c r="AP133" s="369"/>
      <c r="AQ133" s="369"/>
      <c r="AR133" s="369"/>
      <c r="AS133" s="369"/>
    </row>
    <row r="134" spans="20:45" x14ac:dyDescent="0.25"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L134" s="369"/>
      <c r="AM134" s="369"/>
      <c r="AN134" s="369"/>
      <c r="AO134" s="369"/>
      <c r="AP134" s="369"/>
      <c r="AQ134" s="369"/>
      <c r="AR134" s="369"/>
      <c r="AS134" s="369"/>
    </row>
    <row r="135" spans="20:45" x14ac:dyDescent="0.25"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L135" s="369"/>
      <c r="AM135" s="369"/>
      <c r="AN135" s="369"/>
      <c r="AO135" s="369"/>
      <c r="AP135" s="369"/>
      <c r="AQ135" s="369"/>
      <c r="AR135" s="369"/>
      <c r="AS135" s="369"/>
    </row>
    <row r="136" spans="20:45" x14ac:dyDescent="0.25"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L136" s="369"/>
      <c r="AM136" s="369"/>
      <c r="AN136" s="369"/>
      <c r="AO136" s="369"/>
      <c r="AP136" s="369"/>
      <c r="AQ136" s="369"/>
      <c r="AR136" s="369"/>
      <c r="AS136" s="369"/>
    </row>
    <row r="137" spans="20:45" x14ac:dyDescent="0.25"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L137" s="369"/>
      <c r="AM137" s="369"/>
      <c r="AN137" s="369"/>
      <c r="AO137" s="369"/>
      <c r="AP137" s="369"/>
      <c r="AQ137" s="369"/>
      <c r="AR137" s="369"/>
      <c r="AS137" s="369"/>
    </row>
    <row r="138" spans="20:45" x14ac:dyDescent="0.25"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L138" s="369"/>
      <c r="AM138" s="369"/>
      <c r="AN138" s="369"/>
      <c r="AO138" s="369"/>
      <c r="AP138" s="369"/>
      <c r="AQ138" s="369"/>
      <c r="AR138" s="369"/>
      <c r="AS138" s="369"/>
    </row>
    <row r="139" spans="20:45" x14ac:dyDescent="0.25"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L139" s="369"/>
      <c r="AM139" s="369"/>
      <c r="AN139" s="369"/>
      <c r="AO139" s="369"/>
      <c r="AP139" s="369"/>
      <c r="AQ139" s="369"/>
      <c r="AR139" s="369"/>
      <c r="AS139" s="369"/>
    </row>
    <row r="140" spans="20:45" x14ac:dyDescent="0.25"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L140" s="369"/>
      <c r="AM140" s="369"/>
      <c r="AN140" s="369"/>
      <c r="AO140" s="369"/>
      <c r="AP140" s="369"/>
      <c r="AQ140" s="369"/>
      <c r="AR140" s="369"/>
      <c r="AS140" s="369"/>
    </row>
  </sheetData>
  <mergeCells count="1">
    <mergeCell ref="A4:C4"/>
  </mergeCells>
  <conditionalFormatting sqref="B22 B24 B26 B28 B30 B32 B34 B36 B38 B40 B42 B44 B46 B48 B50 B52">
    <cfRule type="cellIs" dxfId="16" priority="13" stopIfTrue="1" operator="equal">
      <formula>"QA"</formula>
    </cfRule>
    <cfRule type="cellIs" dxfId="15" priority="14" stopIfTrue="1" operator="equal">
      <formula>"DA"</formula>
    </cfRule>
  </conditionalFormatting>
  <conditionalFormatting sqref="E7 E21">
    <cfRule type="expression" dxfId="14" priority="16" stopIfTrue="1">
      <formula>$E7&lt;5</formula>
    </cfRule>
  </conditionalFormatting>
  <conditionalFormatting sqref="E22 E24 E26 E28 E30 E32 E34 E36 E38 E40 E42 E44 E46 E48 E50 E52">
    <cfRule type="expression" dxfId="13" priority="8" stopIfTrue="1">
      <formula>AND($E22&lt;9,$C22&gt;0)</formula>
    </cfRule>
  </conditionalFormatting>
  <conditionalFormatting sqref="F7 F9 F11 F13 F15 F17 F19">
    <cfRule type="cellIs" dxfId="12" priority="17" stopIfTrue="1" operator="equal">
      <formula>"Bye"</formula>
    </cfRule>
  </conditionalFormatting>
  <conditionalFormatting sqref="F21:F22 F24 F26 F28 F30 F32 F34 F36 F38 F40 F42 F44 F46 F48 F50">
    <cfRule type="cellIs" dxfId="11" priority="9" stopIfTrue="1" operator="equal">
      <formula>"Bye"</formula>
    </cfRule>
  </conditionalFormatting>
  <conditionalFormatting sqref="F22 F24 F26 F28 F30 F32 F34 F36 F38 F40 F42 F44 F46 F48 F50">
    <cfRule type="expression" dxfId="10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9" priority="4" stopIfTrue="1">
      <formula>AND($E7&lt;9,$C7&gt;0)</formula>
    </cfRule>
  </conditionalFormatting>
  <conditionalFormatting sqref="I8 K10 I12 M14 I16 K18 I20 I23 K25 I27 M29 I31 K33 I35 I39 K41 I43 M45 I47 K49 I51">
    <cfRule type="expression" dxfId="8" priority="5" stopIfTrue="1">
      <formula>AND($O$1="CU",I8="Umpire")</formula>
    </cfRule>
    <cfRule type="expression" dxfId="7" priority="6" stopIfTrue="1">
      <formula>AND($O$1="CU",I8&lt;&gt;"Umpire",J8&lt;&gt;"")</formula>
    </cfRule>
    <cfRule type="expression" dxfId="6" priority="7" stopIfTrue="1">
      <formula>AND($O$1="CU",I8&lt;&gt;"Umpire")</formula>
    </cfRule>
  </conditionalFormatting>
  <conditionalFormatting sqref="J8 L10 J12 N14 J16 L18 J20 R62">
    <cfRule type="expression" dxfId="5" priority="15" stopIfTrue="1">
      <formula>$O$1="CU"</formula>
    </cfRule>
  </conditionalFormatting>
  <conditionalFormatting sqref="K8 M10 K12 O14 K16 M18 K20 K23 M25 K27 O29 K31 M33 K35 K39 M41 K43 O45 K47 M49 K51">
    <cfRule type="expression" dxfId="4" priority="11" stopIfTrue="1">
      <formula>J8="as"</formula>
    </cfRule>
    <cfRule type="expression" dxfId="3" priority="12" stopIfTrue="1">
      <formula>J8="bs"</formula>
    </cfRule>
  </conditionalFormatting>
  <conditionalFormatting sqref="O16">
    <cfRule type="expression" dxfId="2" priority="1" stopIfTrue="1">
      <formula>AND($O$1="CU",O16="Umpire")</formula>
    </cfRule>
    <cfRule type="expression" dxfId="1" priority="2" stopIfTrue="1">
      <formula>AND($O$1="CU",O16&lt;&gt;"Umpire",P16&lt;&gt;"")</formula>
    </cfRule>
    <cfRule type="expression" dxfId="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742B235A-1A79-493A-AA57-4394AD712562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F39-6C86-482F-B5B1-436350DEC329}">
  <sheetPr>
    <tabColor indexed="11"/>
  </sheetPr>
  <dimension ref="A1:AS140"/>
  <sheetViews>
    <sheetView workbookViewId="0">
      <selection activeCell="M10" sqref="M10"/>
    </sheetView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33203125" style="287" customWidth="1"/>
    <col min="5" max="5" width="4.33203125" style="287" customWidth="1"/>
    <col min="6" max="6" width="17" style="287" customWidth="1"/>
    <col min="7" max="7" width="2.6640625" style="287" customWidth="1"/>
    <col min="8" max="8" width="24.77734375" style="287" bestFit="1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27" width="0" style="287" hidden="1" customWidth="1"/>
    <col min="28" max="28" width="10.33203125" style="287" hidden="1" customWidth="1"/>
    <col min="29" max="34" width="0" style="287" hidden="1" customWidth="1"/>
    <col min="35" max="37" width="9.109375" style="369" customWidth="1"/>
    <col min="38" max="16384" width="8.77734375" style="287"/>
  </cols>
  <sheetData>
    <row r="1" spans="1:45" s="209" customFormat="1" ht="21.75" customHeight="1" x14ac:dyDescent="0.25">
      <c r="A1" s="202" t="str">
        <f>[6]Altalanos!$A$6</f>
        <v>OB</v>
      </c>
      <c r="B1" s="202"/>
      <c r="C1" s="203"/>
      <c r="D1" s="203"/>
      <c r="E1" s="203"/>
      <c r="F1" s="203"/>
      <c r="G1" s="203"/>
      <c r="H1" s="202"/>
      <c r="I1" s="204"/>
      <c r="J1" s="205"/>
      <c r="K1" s="206" t="s">
        <v>33</v>
      </c>
      <c r="L1" s="207"/>
      <c r="M1" s="208"/>
      <c r="N1" s="205"/>
      <c r="O1" s="205" t="s">
        <v>9</v>
      </c>
      <c r="P1" s="205"/>
      <c r="Q1" s="203"/>
      <c r="R1" s="205"/>
      <c r="T1" s="210"/>
      <c r="U1" s="210"/>
      <c r="V1" s="210"/>
      <c r="W1" s="210"/>
      <c r="X1" s="210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  <c r="AI1" s="212"/>
      <c r="AJ1" s="212"/>
      <c r="AK1" s="212"/>
    </row>
    <row r="2" spans="1:45" s="218" customFormat="1" x14ac:dyDescent="0.25">
      <c r="A2" s="213" t="s">
        <v>32</v>
      </c>
      <c r="B2" s="214"/>
      <c r="C2" s="214"/>
      <c r="D2" s="214"/>
      <c r="E2" s="214">
        <f>[6]Altalanos!$A$8</f>
        <v>0</v>
      </c>
      <c r="F2" s="214"/>
      <c r="G2" s="215"/>
      <c r="H2" s="216"/>
      <c r="I2" s="216"/>
      <c r="J2" s="217"/>
      <c r="K2" s="207"/>
      <c r="L2" s="207"/>
      <c r="M2" s="207"/>
      <c r="N2" s="217"/>
      <c r="O2" s="216"/>
      <c r="P2" s="217"/>
      <c r="Q2" s="216"/>
      <c r="R2" s="217"/>
      <c r="T2" s="219"/>
      <c r="U2" s="219"/>
      <c r="V2" s="219"/>
      <c r="W2" s="219"/>
      <c r="X2" s="219"/>
      <c r="Y2" s="220"/>
      <c r="Z2" s="221"/>
      <c r="AA2" s="221" t="s">
        <v>43</v>
      </c>
      <c r="AB2" s="222">
        <v>300</v>
      </c>
      <c r="AC2" s="222">
        <v>250</v>
      </c>
      <c r="AD2" s="222">
        <v>200</v>
      </c>
      <c r="AE2" s="222">
        <v>150</v>
      </c>
      <c r="AF2" s="222">
        <v>120</v>
      </c>
      <c r="AG2" s="222">
        <v>90</v>
      </c>
      <c r="AH2" s="222">
        <v>40</v>
      </c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</row>
    <row r="3" spans="1:45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T3" s="227"/>
      <c r="U3" s="227"/>
      <c r="V3" s="227"/>
      <c r="W3" s="227"/>
      <c r="X3" s="227"/>
      <c r="Y3" s="221" t="str">
        <f>IF(K4="OB","A",IF(K4="IX","W",IF(K4="","",K4)))</f>
        <v/>
      </c>
      <c r="Z3" s="221"/>
      <c r="AA3" s="221" t="s">
        <v>44</v>
      </c>
      <c r="AB3" s="222">
        <v>280</v>
      </c>
      <c r="AC3" s="222">
        <v>230</v>
      </c>
      <c r="AD3" s="222">
        <v>180</v>
      </c>
      <c r="AE3" s="222">
        <v>140</v>
      </c>
      <c r="AF3" s="222">
        <v>80</v>
      </c>
      <c r="AG3" s="222">
        <v>0</v>
      </c>
      <c r="AH3" s="222">
        <v>0</v>
      </c>
      <c r="AI3" s="219"/>
      <c r="AJ3" s="219"/>
      <c r="AK3" s="219"/>
      <c r="AL3" s="227"/>
      <c r="AM3" s="227"/>
      <c r="AN3" s="227"/>
      <c r="AO3" s="227"/>
      <c r="AP3" s="227"/>
      <c r="AQ3" s="227"/>
      <c r="AR3" s="227"/>
      <c r="AS3" s="227"/>
    </row>
    <row r="4" spans="1:45" s="234" customFormat="1" ht="11.25" customHeight="1" thickBot="1" x14ac:dyDescent="0.3">
      <c r="A4" s="551">
        <f>[6]Altalanos!$A$10</f>
        <v>0</v>
      </c>
      <c r="B4" s="551"/>
      <c r="C4" s="551"/>
      <c r="D4" s="228"/>
      <c r="E4" s="229"/>
      <c r="F4" s="229"/>
      <c r="G4" s="229">
        <f>[6]Altalanos!$C$10</f>
        <v>0</v>
      </c>
      <c r="H4" s="230"/>
      <c r="I4" s="229"/>
      <c r="J4" s="231"/>
      <c r="K4" s="136"/>
      <c r="L4" s="231"/>
      <c r="M4" s="232"/>
      <c r="N4" s="231"/>
      <c r="O4" s="229"/>
      <c r="P4" s="231"/>
      <c r="Q4" s="229"/>
      <c r="R4" s="233">
        <f>[6]Altalanos!$E$10</f>
        <v>0</v>
      </c>
      <c r="T4" s="235"/>
      <c r="U4" s="235"/>
      <c r="V4" s="235"/>
      <c r="W4" s="235"/>
      <c r="X4" s="235"/>
      <c r="Y4" s="221"/>
      <c r="Z4" s="221"/>
      <c r="AA4" s="221" t="s">
        <v>67</v>
      </c>
      <c r="AB4" s="222">
        <v>250</v>
      </c>
      <c r="AC4" s="222">
        <v>200</v>
      </c>
      <c r="AD4" s="222">
        <v>150</v>
      </c>
      <c r="AE4" s="222">
        <v>120</v>
      </c>
      <c r="AF4" s="222">
        <v>90</v>
      </c>
      <c r="AG4" s="222">
        <v>60</v>
      </c>
      <c r="AH4" s="222">
        <v>25</v>
      </c>
      <c r="AI4" s="219"/>
      <c r="AJ4" s="219"/>
      <c r="AK4" s="219"/>
      <c r="AL4" s="235"/>
      <c r="AM4" s="235"/>
      <c r="AN4" s="235"/>
      <c r="AO4" s="235"/>
      <c r="AP4" s="235"/>
      <c r="AQ4" s="235"/>
      <c r="AR4" s="235"/>
      <c r="AS4" s="235"/>
    </row>
    <row r="5" spans="1:45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97</v>
      </c>
      <c r="N5" s="240"/>
      <c r="O5" s="237" t="s">
        <v>98</v>
      </c>
      <c r="P5" s="240"/>
      <c r="Q5" s="237"/>
      <c r="R5" s="241"/>
      <c r="T5" s="227"/>
      <c r="U5" s="227"/>
      <c r="V5" s="227"/>
      <c r="W5" s="227"/>
      <c r="X5" s="227"/>
      <c r="Y5" s="221">
        <f>IF(OR([6]Altalanos!$A$8="F1",[6]Altalanos!$A$8="F2",[6]Altalanos!$A$8="N1",[6]Altalanos!$A$8="N2"),1,2)</f>
        <v>2</v>
      </c>
      <c r="Z5" s="221"/>
      <c r="AA5" s="221" t="s">
        <v>68</v>
      </c>
      <c r="AB5" s="222">
        <v>200</v>
      </c>
      <c r="AC5" s="222">
        <v>150</v>
      </c>
      <c r="AD5" s="222">
        <v>120</v>
      </c>
      <c r="AE5" s="222">
        <v>90</v>
      </c>
      <c r="AF5" s="222">
        <v>60</v>
      </c>
      <c r="AG5" s="222">
        <v>40</v>
      </c>
      <c r="AH5" s="222">
        <v>15</v>
      </c>
      <c r="AI5" s="219"/>
      <c r="AJ5" s="219"/>
      <c r="AK5" s="219"/>
      <c r="AL5" s="227"/>
      <c r="AM5" s="227"/>
      <c r="AN5" s="227"/>
      <c r="AO5" s="227"/>
      <c r="AP5" s="227"/>
      <c r="AQ5" s="227"/>
      <c r="AR5" s="227"/>
      <c r="AS5" s="227"/>
    </row>
    <row r="6" spans="1:45" s="248" customFormat="1" ht="10.95" customHeight="1" thickBot="1" x14ac:dyDescent="0.3">
      <c r="A6" s="242"/>
      <c r="B6" s="243"/>
      <c r="C6" s="243"/>
      <c r="D6" s="243"/>
      <c r="E6" s="243"/>
      <c r="F6" s="242" t="str">
        <f>IF(Y3="","",CONCATENATE(VLOOKUP(Y3,AB1:AH1,4)," pont"))</f>
        <v/>
      </c>
      <c r="G6" s="244"/>
      <c r="H6" s="245"/>
      <c r="I6" s="244"/>
      <c r="J6" s="246"/>
      <c r="K6" s="243" t="str">
        <f>IF(Y3="","",CONCATENATE(VLOOKUP(Y3,AB1:AH1,3)," pont"))</f>
        <v/>
      </c>
      <c r="L6" s="246"/>
      <c r="M6" s="243" t="str">
        <f>IF(Y3="","",CONCATENATE(VLOOKUP(Y3,AB1:AH1,2)," pont"))</f>
        <v/>
      </c>
      <c r="N6" s="246"/>
      <c r="O6" s="243" t="str">
        <f>IF(Y3="","",CONCATENATE(VLOOKUP(Y3,AB1:AH1,1)," pont"))</f>
        <v/>
      </c>
      <c r="P6" s="246"/>
      <c r="Q6" s="243"/>
      <c r="R6" s="247"/>
      <c r="T6" s="249"/>
      <c r="U6" s="249"/>
      <c r="V6" s="249"/>
      <c r="W6" s="249"/>
      <c r="X6" s="249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252"/>
      <c r="AJ6" s="252"/>
      <c r="AK6" s="252"/>
      <c r="AL6" s="249"/>
      <c r="AM6" s="249"/>
      <c r="AN6" s="249"/>
      <c r="AO6" s="249"/>
      <c r="AP6" s="249"/>
      <c r="AQ6" s="249"/>
      <c r="AR6" s="249"/>
      <c r="AS6" s="249"/>
    </row>
    <row r="7" spans="1:45" s="266" customFormat="1" ht="13.05" customHeight="1" x14ac:dyDescent="0.25">
      <c r="A7" s="253">
        <v>1</v>
      </c>
      <c r="B7" s="254" t="str">
        <f>IF($E7="","",VLOOKUP($E7,'[6]1MD ELO'!$A$7:$O$22,14))</f>
        <v/>
      </c>
      <c r="C7" s="255" t="str">
        <f>IF($E7="","",VLOOKUP($E7,'[6]1MD ELO'!$A$7:$O$22,15))</f>
        <v/>
      </c>
      <c r="D7" s="255" t="str">
        <f>IF($E7="","",VLOOKUP($E7,'[6]1MD ELO'!$A$7:$O$22,5))</f>
        <v/>
      </c>
      <c r="E7" s="256"/>
      <c r="F7" s="257"/>
      <c r="G7" s="257"/>
      <c r="H7" s="257"/>
      <c r="I7" s="257" t="str">
        <f>IF($E7="","",VLOOKUP($E7,'[6]1MD ELO'!$A$7:$O$22,4))</f>
        <v/>
      </c>
      <c r="J7" s="258"/>
      <c r="K7" s="259"/>
      <c r="L7" s="259"/>
      <c r="M7" s="259"/>
      <c r="N7" s="259"/>
      <c r="O7" s="260"/>
      <c r="P7" s="261"/>
      <c r="Q7" s="262"/>
      <c r="R7" s="263"/>
      <c r="S7" s="264"/>
      <c r="T7" s="264"/>
      <c r="U7" s="265" t="str">
        <f>[6]Birók!P21</f>
        <v>Bíró</v>
      </c>
      <c r="V7" s="264"/>
      <c r="W7" s="264"/>
      <c r="X7" s="264"/>
      <c r="Y7" s="221"/>
      <c r="Z7" s="221"/>
      <c r="AA7" s="221" t="s">
        <v>70</v>
      </c>
      <c r="AB7" s="222">
        <v>120</v>
      </c>
      <c r="AC7" s="222">
        <v>90</v>
      </c>
      <c r="AD7" s="222">
        <v>60</v>
      </c>
      <c r="AE7" s="222">
        <v>40</v>
      </c>
      <c r="AF7" s="222">
        <v>25</v>
      </c>
      <c r="AG7" s="222">
        <v>10</v>
      </c>
      <c r="AH7" s="222">
        <v>5</v>
      </c>
      <c r="AI7" s="219"/>
      <c r="AJ7" s="219"/>
      <c r="AK7" s="219"/>
      <c r="AL7" s="264"/>
      <c r="AM7" s="264"/>
      <c r="AN7" s="264"/>
      <c r="AO7" s="264"/>
      <c r="AP7" s="264"/>
      <c r="AQ7" s="264"/>
      <c r="AR7" s="264"/>
      <c r="AS7" s="264"/>
    </row>
    <row r="8" spans="1:45" s="266" customFormat="1" ht="13.05" customHeight="1" x14ac:dyDescent="0.25">
      <c r="A8" s="267"/>
      <c r="B8" s="268"/>
      <c r="C8" s="269"/>
      <c r="D8" s="269"/>
      <c r="E8" s="270"/>
      <c r="F8" s="271"/>
      <c r="G8" s="271"/>
      <c r="H8" s="272"/>
      <c r="I8" s="273" t="s">
        <v>99</v>
      </c>
      <c r="J8" s="274"/>
      <c r="K8" s="275" t="str">
        <f>UPPER(IF(OR(J8="a",J8="as"),F7,IF(OR(J8="b",J8="bs"),F9,)))</f>
        <v/>
      </c>
      <c r="L8" s="275"/>
      <c r="M8" s="259"/>
      <c r="N8" s="259"/>
      <c r="O8" s="260"/>
      <c r="P8" s="261"/>
      <c r="Q8" s="262"/>
      <c r="R8" s="263"/>
      <c r="S8" s="264"/>
      <c r="T8" s="264"/>
      <c r="U8" s="276" t="str">
        <f>[6]Birók!P22</f>
        <v xml:space="preserve"> </v>
      </c>
      <c r="V8" s="264"/>
      <c r="W8" s="264"/>
      <c r="X8" s="264"/>
      <c r="Y8" s="221"/>
      <c r="Z8" s="221"/>
      <c r="AA8" s="221" t="s">
        <v>71</v>
      </c>
      <c r="AB8" s="222">
        <v>90</v>
      </c>
      <c r="AC8" s="222">
        <v>60</v>
      </c>
      <c r="AD8" s="222">
        <v>40</v>
      </c>
      <c r="AE8" s="222">
        <v>25</v>
      </c>
      <c r="AF8" s="222">
        <v>10</v>
      </c>
      <c r="AG8" s="222">
        <v>5</v>
      </c>
      <c r="AH8" s="222">
        <v>2</v>
      </c>
      <c r="AI8" s="219"/>
      <c r="AJ8" s="219"/>
      <c r="AK8" s="219"/>
      <c r="AL8" s="264"/>
      <c r="AM8" s="264"/>
      <c r="AN8" s="264"/>
      <c r="AO8" s="264"/>
      <c r="AP8" s="264"/>
      <c r="AQ8" s="264"/>
      <c r="AR8" s="264"/>
      <c r="AS8" s="264"/>
    </row>
    <row r="9" spans="1:45" s="266" customFormat="1" ht="13.05" customHeight="1" x14ac:dyDescent="0.25">
      <c r="A9" s="267">
        <v>2</v>
      </c>
      <c r="B9" s="254" t="str">
        <f>IF($E9="","",VLOOKUP($E9,'[6]1MD ELO'!$A$7:$O$22,14))</f>
        <v/>
      </c>
      <c r="C9" s="255" t="str">
        <f>IF($E9="","",VLOOKUP($E9,'[6]1MD ELO'!$A$7:$O$22,15))</f>
        <v/>
      </c>
      <c r="D9" s="255" t="str">
        <f>IF($E9="","",VLOOKUP($E9,'[6]1MD ELO'!$A$7:$O$22,5))</f>
        <v/>
      </c>
      <c r="E9" s="277"/>
      <c r="F9" s="278"/>
      <c r="G9" s="278"/>
      <c r="H9" s="278"/>
      <c r="I9" s="278" t="str">
        <f>IF($E9="","",VLOOKUP($E9,'[6]1MD ELO'!$A$7:$O$22,4))</f>
        <v/>
      </c>
      <c r="J9" s="279"/>
      <c r="K9" s="259"/>
      <c r="L9" s="280"/>
      <c r="M9" s="259"/>
      <c r="N9" s="259"/>
      <c r="O9" s="260"/>
      <c r="P9" s="261"/>
      <c r="Q9" s="262"/>
      <c r="R9" s="263"/>
      <c r="S9" s="264"/>
      <c r="T9" s="264"/>
      <c r="U9" s="276" t="str">
        <f>[6]Birók!P23</f>
        <v xml:space="preserve"> </v>
      </c>
      <c r="V9" s="264"/>
      <c r="W9" s="264"/>
      <c r="X9" s="264"/>
      <c r="Y9" s="221"/>
      <c r="Z9" s="221"/>
      <c r="AA9" s="221" t="s">
        <v>72</v>
      </c>
      <c r="AB9" s="222">
        <v>60</v>
      </c>
      <c r="AC9" s="222">
        <v>40</v>
      </c>
      <c r="AD9" s="222">
        <v>25</v>
      </c>
      <c r="AE9" s="222">
        <v>10</v>
      </c>
      <c r="AF9" s="222">
        <v>5</v>
      </c>
      <c r="AG9" s="222">
        <v>2</v>
      </c>
      <c r="AH9" s="222">
        <v>1</v>
      </c>
      <c r="AI9" s="219"/>
      <c r="AJ9" s="219"/>
      <c r="AK9" s="219"/>
      <c r="AL9" s="264"/>
      <c r="AM9" s="264"/>
      <c r="AN9" s="264"/>
      <c r="AO9" s="264"/>
      <c r="AP9" s="264"/>
      <c r="AQ9" s="264"/>
      <c r="AR9" s="264"/>
      <c r="AS9" s="264"/>
    </row>
    <row r="10" spans="1:45" s="266" customFormat="1" ht="13.05" customHeight="1" x14ac:dyDescent="0.25">
      <c r="A10" s="267"/>
      <c r="B10" s="268"/>
      <c r="C10" s="269"/>
      <c r="D10" s="269"/>
      <c r="E10" s="281"/>
      <c r="F10" s="271"/>
      <c r="G10" s="271"/>
      <c r="H10" s="272"/>
      <c r="I10" s="271"/>
      <c r="J10" s="282"/>
      <c r="K10" s="273" t="s">
        <v>99</v>
      </c>
      <c r="L10" s="283"/>
      <c r="M10" s="275" t="s">
        <v>100</v>
      </c>
      <c r="N10" s="284"/>
      <c r="O10" s="285"/>
      <c r="P10" s="285"/>
      <c r="Q10" s="262"/>
      <c r="R10" s="263"/>
      <c r="S10" s="264"/>
      <c r="T10" s="264"/>
      <c r="U10" s="276" t="str">
        <f>[6]Birók!P24</f>
        <v xml:space="preserve"> </v>
      </c>
      <c r="V10" s="264"/>
      <c r="W10" s="264"/>
      <c r="X10" s="264"/>
      <c r="Y10" s="221"/>
      <c r="Z10" s="221"/>
      <c r="AA10" s="221" t="s">
        <v>73</v>
      </c>
      <c r="AB10" s="222">
        <v>40</v>
      </c>
      <c r="AC10" s="222">
        <v>25</v>
      </c>
      <c r="AD10" s="222">
        <v>15</v>
      </c>
      <c r="AE10" s="222">
        <v>7</v>
      </c>
      <c r="AF10" s="222">
        <v>4</v>
      </c>
      <c r="AG10" s="222">
        <v>1</v>
      </c>
      <c r="AH10" s="222">
        <v>0</v>
      </c>
      <c r="AI10" s="219"/>
      <c r="AJ10" s="219"/>
      <c r="AK10" s="219"/>
      <c r="AL10" s="264"/>
      <c r="AM10" s="264"/>
      <c r="AN10" s="264"/>
      <c r="AO10" s="264"/>
      <c r="AP10" s="264"/>
      <c r="AQ10" s="264"/>
      <c r="AR10" s="264"/>
      <c r="AS10" s="264"/>
    </row>
    <row r="11" spans="1:45" s="266" customFormat="1" ht="13.05" customHeight="1" x14ac:dyDescent="0.25">
      <c r="A11" s="267">
        <v>3</v>
      </c>
      <c r="B11" s="254" t="str">
        <f>IF($E11="","",VLOOKUP($E11,'[6]1MD ELO'!$A$7:$O$22,14))</f>
        <v/>
      </c>
      <c r="C11" s="255" t="str">
        <f>IF($E11="","",VLOOKUP($E11,'[6]1MD ELO'!$A$7:$O$22,15))</f>
        <v/>
      </c>
      <c r="D11" s="255" t="str">
        <f>IF($E11="","",VLOOKUP($E11,'[6]1MD ELO'!$A$7:$O$22,5))</f>
        <v/>
      </c>
      <c r="E11" s="277"/>
      <c r="F11" s="278"/>
      <c r="G11" s="278"/>
      <c r="H11" s="278"/>
      <c r="I11" s="278" t="str">
        <f>IF($E11="","",VLOOKUP($E11,'[6]1MD ELO'!$A$7:$O$22,4))</f>
        <v/>
      </c>
      <c r="J11" s="258"/>
      <c r="K11" s="259"/>
      <c r="L11" s="286"/>
      <c r="M11" s="287" t="s">
        <v>101</v>
      </c>
      <c r="N11" s="288"/>
      <c r="O11" s="285"/>
      <c r="P11" s="285"/>
      <c r="Q11" s="262"/>
      <c r="R11" s="263"/>
      <c r="S11" s="264"/>
      <c r="T11" s="264"/>
      <c r="U11" s="276" t="str">
        <f>[6]Birók!P25</f>
        <v xml:space="preserve"> </v>
      </c>
      <c r="V11" s="264"/>
      <c r="W11" s="264"/>
      <c r="X11" s="264"/>
      <c r="Y11" s="221"/>
      <c r="Z11" s="221"/>
      <c r="AA11" s="221" t="s">
        <v>74</v>
      </c>
      <c r="AB11" s="222">
        <v>25</v>
      </c>
      <c r="AC11" s="222">
        <v>15</v>
      </c>
      <c r="AD11" s="222">
        <v>10</v>
      </c>
      <c r="AE11" s="222">
        <v>6</v>
      </c>
      <c r="AF11" s="222">
        <v>3</v>
      </c>
      <c r="AG11" s="222">
        <v>1</v>
      </c>
      <c r="AH11" s="222">
        <v>0</v>
      </c>
      <c r="AI11" s="219"/>
      <c r="AJ11" s="219"/>
      <c r="AK11" s="219"/>
      <c r="AL11" s="264"/>
      <c r="AM11" s="264"/>
      <c r="AN11" s="264"/>
      <c r="AO11" s="264"/>
      <c r="AP11" s="264"/>
      <c r="AQ11" s="264"/>
      <c r="AR11" s="264"/>
      <c r="AS11" s="264"/>
    </row>
    <row r="12" spans="1:45" s="266" customFormat="1" ht="13.05" customHeight="1" x14ac:dyDescent="0.25">
      <c r="A12" s="267"/>
      <c r="B12" s="268"/>
      <c r="C12" s="269"/>
      <c r="D12" s="269"/>
      <c r="E12" s="281"/>
      <c r="F12" s="271"/>
      <c r="G12" s="271"/>
      <c r="H12" s="272"/>
      <c r="I12" s="273" t="s">
        <v>99</v>
      </c>
      <c r="J12" s="274"/>
      <c r="K12" s="275" t="str">
        <f>UPPER(IF(OR(J12="a",J12="as"),F11,IF(OR(J12="b",J12="bs"),F13,)))</f>
        <v/>
      </c>
      <c r="L12" s="289"/>
      <c r="M12" s="259"/>
      <c r="N12" s="288"/>
      <c r="O12" s="285"/>
      <c r="P12" s="285"/>
      <c r="Q12" s="262"/>
      <c r="R12" s="263"/>
      <c r="S12" s="264"/>
      <c r="T12" s="264"/>
      <c r="U12" s="276" t="str">
        <f>[6]Birók!P26</f>
        <v xml:space="preserve"> </v>
      </c>
      <c r="V12" s="264"/>
      <c r="W12" s="264"/>
      <c r="X12" s="264"/>
      <c r="Y12" s="221"/>
      <c r="Z12" s="221"/>
      <c r="AA12" s="221" t="s">
        <v>79</v>
      </c>
      <c r="AB12" s="222">
        <v>15</v>
      </c>
      <c r="AC12" s="222">
        <v>10</v>
      </c>
      <c r="AD12" s="222">
        <v>6</v>
      </c>
      <c r="AE12" s="222">
        <v>3</v>
      </c>
      <c r="AF12" s="222">
        <v>1</v>
      </c>
      <c r="AG12" s="222">
        <v>0</v>
      </c>
      <c r="AH12" s="222">
        <v>0</v>
      </c>
      <c r="AI12" s="219"/>
      <c r="AJ12" s="219"/>
      <c r="AK12" s="219"/>
      <c r="AL12" s="264"/>
      <c r="AM12" s="264"/>
      <c r="AN12" s="264"/>
      <c r="AO12" s="264"/>
      <c r="AP12" s="264"/>
      <c r="AQ12" s="264"/>
      <c r="AR12" s="264"/>
      <c r="AS12" s="264"/>
    </row>
    <row r="13" spans="1:45" s="266" customFormat="1" ht="13.05" customHeight="1" x14ac:dyDescent="0.25">
      <c r="A13" s="267">
        <v>4</v>
      </c>
      <c r="B13" s="254" t="str">
        <f>IF($E13="","",VLOOKUP($E13,'[6]1MD ELO'!$A$7:$O$22,14))</f>
        <v/>
      </c>
      <c r="C13" s="255" t="str">
        <f>IF($E13="","",VLOOKUP($E13,'[6]1MD ELO'!$A$7:$O$22,15))</f>
        <v/>
      </c>
      <c r="D13" s="255" t="str">
        <f>IF($E13="","",VLOOKUP($E13,'[6]1MD ELO'!$A$7:$O$22,5))</f>
        <v/>
      </c>
      <c r="E13" s="277"/>
      <c r="F13" s="278"/>
      <c r="G13" s="278"/>
      <c r="H13" s="278"/>
      <c r="I13" s="278" t="str">
        <f>IF($E13="","",VLOOKUP($E13,'[6]1MD ELO'!$A$7:$O$22,4))</f>
        <v/>
      </c>
      <c r="J13" s="290"/>
      <c r="K13" s="259"/>
      <c r="L13" s="259"/>
      <c r="M13" s="259"/>
      <c r="N13" s="288"/>
      <c r="O13" s="285"/>
      <c r="P13" s="285"/>
      <c r="Q13" s="262"/>
      <c r="R13" s="263"/>
      <c r="S13" s="264"/>
      <c r="T13" s="264"/>
      <c r="U13" s="276" t="str">
        <f>[6]Birók!P27</f>
        <v xml:space="preserve"> </v>
      </c>
      <c r="V13" s="264"/>
      <c r="W13" s="264"/>
      <c r="X13" s="264"/>
      <c r="Y13" s="221"/>
      <c r="Z13" s="221"/>
      <c r="AA13" s="221" t="s">
        <v>75</v>
      </c>
      <c r="AB13" s="222">
        <v>10</v>
      </c>
      <c r="AC13" s="222">
        <v>6</v>
      </c>
      <c r="AD13" s="222">
        <v>3</v>
      </c>
      <c r="AE13" s="222">
        <v>1</v>
      </c>
      <c r="AF13" s="222">
        <v>0</v>
      </c>
      <c r="AG13" s="222">
        <v>0</v>
      </c>
      <c r="AH13" s="222">
        <v>0</v>
      </c>
      <c r="AI13" s="219"/>
      <c r="AJ13" s="219"/>
      <c r="AK13" s="219"/>
      <c r="AL13" s="264"/>
      <c r="AM13" s="264"/>
      <c r="AN13" s="264"/>
      <c r="AO13" s="264"/>
      <c r="AP13" s="264"/>
      <c r="AQ13" s="264"/>
      <c r="AR13" s="264"/>
      <c r="AS13" s="264"/>
    </row>
    <row r="14" spans="1:45" s="266" customFormat="1" ht="13.05" customHeight="1" x14ac:dyDescent="0.25">
      <c r="A14" s="267"/>
      <c r="B14" s="268"/>
      <c r="C14" s="269"/>
      <c r="D14" s="269"/>
      <c r="E14" s="281"/>
      <c r="F14" s="271"/>
      <c r="G14" s="271"/>
      <c r="H14" s="272"/>
      <c r="I14" s="271"/>
      <c r="J14" s="282"/>
      <c r="K14" s="259"/>
      <c r="L14" s="259"/>
      <c r="M14" s="273" t="s">
        <v>99</v>
      </c>
      <c r="N14" s="283"/>
      <c r="O14" s="275"/>
      <c r="P14" s="284"/>
      <c r="Q14" s="262"/>
      <c r="R14" s="263"/>
      <c r="S14" s="264"/>
      <c r="T14" s="264"/>
      <c r="U14" s="276" t="str">
        <f>[6]Birók!P28</f>
        <v xml:space="preserve"> </v>
      </c>
      <c r="V14" s="264"/>
      <c r="W14" s="264"/>
      <c r="X14" s="264"/>
      <c r="Y14" s="221"/>
      <c r="Z14" s="221"/>
      <c r="AA14" s="221" t="s">
        <v>76</v>
      </c>
      <c r="AB14" s="222">
        <v>3</v>
      </c>
      <c r="AC14" s="222">
        <v>2</v>
      </c>
      <c r="AD14" s="222">
        <v>1</v>
      </c>
      <c r="AE14" s="222">
        <v>0</v>
      </c>
      <c r="AF14" s="222">
        <v>0</v>
      </c>
      <c r="AG14" s="222">
        <v>0</v>
      </c>
      <c r="AH14" s="222">
        <v>0</v>
      </c>
      <c r="AI14" s="219"/>
      <c r="AJ14" s="219"/>
      <c r="AK14" s="219"/>
      <c r="AL14" s="264"/>
      <c r="AM14" s="264"/>
      <c r="AN14" s="264"/>
      <c r="AO14" s="264"/>
      <c r="AP14" s="264"/>
      <c r="AQ14" s="264"/>
      <c r="AR14" s="264"/>
      <c r="AS14" s="264"/>
    </row>
    <row r="15" spans="1:45" s="266" customFormat="1" ht="13.05" customHeight="1" x14ac:dyDescent="0.25">
      <c r="A15" s="291">
        <v>5</v>
      </c>
      <c r="B15" s="254" t="str">
        <f>IF($E15="","",VLOOKUP($E15,'[6]1MD ELO'!$A$7:$O$22,14))</f>
        <v/>
      </c>
      <c r="C15" s="255" t="str">
        <f>IF($E15="","",VLOOKUP($E15,'[6]1MD ELO'!$A$7:$O$22,15))</f>
        <v/>
      </c>
      <c r="D15" s="255" t="str">
        <f>IF($E15="","",VLOOKUP($E15,'[6]1MD ELO'!$A$7:$O$22,5))</f>
        <v/>
      </c>
      <c r="E15" s="277"/>
      <c r="F15" s="278"/>
      <c r="G15" s="278"/>
      <c r="H15" s="278"/>
      <c r="I15" s="278" t="str">
        <f>IF($E15="","",VLOOKUP($E15,'[6]1MD ELO'!$A$7:$O$22,4))</f>
        <v/>
      </c>
      <c r="J15" s="292"/>
      <c r="K15" s="259"/>
      <c r="L15" s="259"/>
      <c r="M15" s="259"/>
      <c r="N15" s="288"/>
      <c r="O15" s="259"/>
      <c r="P15" s="285"/>
      <c r="Q15" s="262"/>
      <c r="R15" s="263"/>
      <c r="S15" s="264"/>
      <c r="T15" s="264"/>
      <c r="U15" s="276" t="str">
        <f>[6]Birók!P29</f>
        <v xml:space="preserve"> </v>
      </c>
      <c r="V15" s="264"/>
      <c r="W15" s="264"/>
      <c r="X15" s="264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19"/>
      <c r="AJ15" s="219"/>
      <c r="AK15" s="219"/>
      <c r="AL15" s="264"/>
      <c r="AM15" s="264"/>
      <c r="AN15" s="264"/>
      <c r="AO15" s="264"/>
      <c r="AP15" s="264"/>
      <c r="AQ15" s="264"/>
      <c r="AR15" s="264"/>
      <c r="AS15" s="264"/>
    </row>
    <row r="16" spans="1:45" s="266" customFormat="1" ht="13.05" customHeight="1" thickBot="1" x14ac:dyDescent="0.3">
      <c r="A16" s="267"/>
      <c r="B16" s="268"/>
      <c r="C16" s="269"/>
      <c r="D16" s="269"/>
      <c r="E16" s="281"/>
      <c r="F16" s="271"/>
      <c r="G16" s="271"/>
      <c r="H16" s="272"/>
      <c r="I16" s="273" t="s">
        <v>99</v>
      </c>
      <c r="J16" s="274"/>
      <c r="K16" s="275" t="str">
        <f>UPPER(IF(OR(J16="a",J16="as"),F15,IF(OR(J16="b",J16="bs"),F17,)))</f>
        <v/>
      </c>
      <c r="L16" s="275"/>
      <c r="M16" s="259"/>
      <c r="N16" s="288"/>
      <c r="O16" s="273"/>
      <c r="P16" s="285"/>
      <c r="Q16" s="262"/>
      <c r="R16" s="263"/>
      <c r="S16" s="264"/>
      <c r="T16" s="264"/>
      <c r="U16" s="293" t="str">
        <f>[6]Birók!P30</f>
        <v>Egyik sem</v>
      </c>
      <c r="V16" s="264"/>
      <c r="W16" s="264"/>
      <c r="X16" s="264"/>
      <c r="Y16" s="221"/>
      <c r="Z16" s="221"/>
      <c r="AA16" s="221" t="s">
        <v>43</v>
      </c>
      <c r="AB16" s="222">
        <v>150</v>
      </c>
      <c r="AC16" s="222">
        <v>120</v>
      </c>
      <c r="AD16" s="222">
        <v>90</v>
      </c>
      <c r="AE16" s="222">
        <v>60</v>
      </c>
      <c r="AF16" s="222">
        <v>40</v>
      </c>
      <c r="AG16" s="222">
        <v>25</v>
      </c>
      <c r="AH16" s="222">
        <v>15</v>
      </c>
      <c r="AI16" s="219"/>
      <c r="AJ16" s="219"/>
      <c r="AK16" s="219"/>
      <c r="AL16" s="264"/>
      <c r="AM16" s="264"/>
      <c r="AN16" s="264"/>
      <c r="AO16" s="264"/>
      <c r="AP16" s="264"/>
      <c r="AQ16" s="264"/>
      <c r="AR16" s="264"/>
      <c r="AS16" s="264"/>
    </row>
    <row r="17" spans="1:45" s="266" customFormat="1" ht="13.05" customHeight="1" x14ac:dyDescent="0.25">
      <c r="A17" s="267">
        <v>6</v>
      </c>
      <c r="B17" s="254" t="str">
        <f>IF($E17="","",VLOOKUP($E17,'[6]1MD ELO'!$A$7:$O$22,14))</f>
        <v/>
      </c>
      <c r="C17" s="255" t="str">
        <f>IF($E17="","",VLOOKUP($E17,'[6]1MD ELO'!$A$7:$O$22,15))</f>
        <v/>
      </c>
      <c r="D17" s="255" t="str">
        <f>IF($E17="","",VLOOKUP($E17,'[6]1MD ELO'!$A$7:$O$22,5))</f>
        <v/>
      </c>
      <c r="E17" s="277"/>
      <c r="F17" s="278"/>
      <c r="G17" s="278"/>
      <c r="H17" s="278"/>
      <c r="I17" s="278" t="str">
        <f>IF($E17="","",VLOOKUP($E17,'[6]1MD ELO'!$A$7:$O$22,4))</f>
        <v/>
      </c>
      <c r="J17" s="279"/>
      <c r="K17" s="259"/>
      <c r="L17" s="280"/>
      <c r="M17" s="259"/>
      <c r="N17" s="288"/>
      <c r="O17" s="285"/>
      <c r="P17" s="285"/>
      <c r="Q17" s="262"/>
      <c r="R17" s="263"/>
      <c r="S17" s="264"/>
      <c r="T17" s="264"/>
      <c r="U17" s="264"/>
      <c r="V17" s="264"/>
      <c r="W17" s="264"/>
      <c r="X17" s="264"/>
      <c r="Y17" s="221"/>
      <c r="Z17" s="221"/>
      <c r="AA17" s="221" t="s">
        <v>67</v>
      </c>
      <c r="AB17" s="222">
        <v>120</v>
      </c>
      <c r="AC17" s="222">
        <v>90</v>
      </c>
      <c r="AD17" s="222">
        <v>60</v>
      </c>
      <c r="AE17" s="222">
        <v>40</v>
      </c>
      <c r="AF17" s="222">
        <v>25</v>
      </c>
      <c r="AG17" s="222">
        <v>15</v>
      </c>
      <c r="AH17" s="222">
        <v>8</v>
      </c>
      <c r="AI17" s="219"/>
      <c r="AJ17" s="219"/>
      <c r="AK17" s="219"/>
      <c r="AL17" s="264"/>
      <c r="AM17" s="264"/>
      <c r="AN17" s="264"/>
      <c r="AO17" s="264"/>
      <c r="AP17" s="264"/>
      <c r="AQ17" s="264"/>
      <c r="AR17" s="264"/>
      <c r="AS17" s="264"/>
    </row>
    <row r="18" spans="1:45" s="266" customFormat="1" ht="13.05" customHeight="1" x14ac:dyDescent="0.25">
      <c r="A18" s="267"/>
      <c r="B18" s="268"/>
      <c r="C18" s="269"/>
      <c r="D18" s="269"/>
      <c r="E18" s="281"/>
      <c r="F18" s="271"/>
      <c r="G18" s="271"/>
      <c r="H18" s="272"/>
      <c r="I18" s="271"/>
      <c r="J18" s="282"/>
      <c r="K18" s="273" t="s">
        <v>99</v>
      </c>
      <c r="L18" s="283"/>
      <c r="M18" s="275" t="s">
        <v>102</v>
      </c>
      <c r="N18" s="294"/>
      <c r="O18" s="285"/>
      <c r="P18" s="285"/>
      <c r="Q18" s="262"/>
      <c r="R18" s="263"/>
      <c r="S18" s="264"/>
      <c r="T18" s="264"/>
      <c r="U18" s="264"/>
      <c r="V18" s="264"/>
      <c r="W18" s="264"/>
      <c r="X18" s="264"/>
      <c r="Y18" s="221"/>
      <c r="Z18" s="221"/>
      <c r="AA18" s="221" t="s">
        <v>68</v>
      </c>
      <c r="AB18" s="222">
        <v>90</v>
      </c>
      <c r="AC18" s="222">
        <v>60</v>
      </c>
      <c r="AD18" s="222">
        <v>40</v>
      </c>
      <c r="AE18" s="222">
        <v>25</v>
      </c>
      <c r="AF18" s="222">
        <v>15</v>
      </c>
      <c r="AG18" s="222">
        <v>8</v>
      </c>
      <c r="AH18" s="222">
        <v>4</v>
      </c>
      <c r="AI18" s="219"/>
      <c r="AJ18" s="219"/>
      <c r="AK18" s="219"/>
      <c r="AL18" s="264"/>
      <c r="AM18" s="264"/>
      <c r="AN18" s="264"/>
      <c r="AO18" s="264"/>
      <c r="AP18" s="264"/>
      <c r="AQ18" s="264"/>
      <c r="AR18" s="264"/>
      <c r="AS18" s="264"/>
    </row>
    <row r="19" spans="1:45" s="266" customFormat="1" ht="13.05" customHeight="1" x14ac:dyDescent="0.25">
      <c r="A19" s="267">
        <v>7</v>
      </c>
      <c r="B19" s="254" t="str">
        <f>IF($E19="","",VLOOKUP($E19,'[6]1MD ELO'!$A$7:$O$22,14))</f>
        <v/>
      </c>
      <c r="C19" s="255" t="str">
        <f>IF($E19="","",VLOOKUP($E19,'[6]1MD ELO'!$A$7:$O$22,15))</f>
        <v/>
      </c>
      <c r="D19" s="255" t="str">
        <f>IF($E19="","",VLOOKUP($E19,'[6]1MD ELO'!$A$7:$O$22,5))</f>
        <v/>
      </c>
      <c r="E19" s="277"/>
      <c r="F19" s="278"/>
      <c r="G19" s="278"/>
      <c r="H19" s="278"/>
      <c r="I19" s="278" t="str">
        <f>IF($E19="","",VLOOKUP($E19,'[6]1MD ELO'!$A$7:$O$22,4))</f>
        <v/>
      </c>
      <c r="J19" s="258"/>
      <c r="K19" s="259"/>
      <c r="L19" s="286"/>
      <c r="M19" s="287" t="s">
        <v>103</v>
      </c>
      <c r="N19" s="285"/>
      <c r="O19" s="285"/>
      <c r="P19" s="285"/>
      <c r="Q19" s="262"/>
      <c r="R19" s="263"/>
      <c r="S19" s="264"/>
      <c r="T19" s="264"/>
      <c r="U19" s="264"/>
      <c r="V19" s="264"/>
      <c r="W19" s="264"/>
      <c r="X19" s="264"/>
      <c r="Y19" s="221"/>
      <c r="Z19" s="221"/>
      <c r="AA19" s="221" t="s">
        <v>69</v>
      </c>
      <c r="AB19" s="222">
        <v>60</v>
      </c>
      <c r="AC19" s="222">
        <v>40</v>
      </c>
      <c r="AD19" s="222">
        <v>25</v>
      </c>
      <c r="AE19" s="222">
        <v>15</v>
      </c>
      <c r="AF19" s="222">
        <v>8</v>
      </c>
      <c r="AG19" s="222">
        <v>4</v>
      </c>
      <c r="AH19" s="222">
        <v>2</v>
      </c>
      <c r="AI19" s="219"/>
      <c r="AJ19" s="219"/>
      <c r="AK19" s="219"/>
      <c r="AL19" s="264"/>
      <c r="AM19" s="264"/>
      <c r="AN19" s="264"/>
      <c r="AO19" s="264"/>
      <c r="AP19" s="264"/>
      <c r="AQ19" s="264"/>
      <c r="AR19" s="264"/>
      <c r="AS19" s="264"/>
    </row>
    <row r="20" spans="1:45" s="266" customFormat="1" ht="13.05" customHeight="1" x14ac:dyDescent="0.25">
      <c r="A20" s="267"/>
      <c r="B20" s="268"/>
      <c r="C20" s="269"/>
      <c r="D20" s="269"/>
      <c r="E20" s="270"/>
      <c r="F20" s="271"/>
      <c r="G20" s="271"/>
      <c r="H20" s="272"/>
      <c r="I20" s="273" t="s">
        <v>99</v>
      </c>
      <c r="J20" s="274"/>
      <c r="K20" s="275" t="str">
        <f>UPPER(IF(OR(J20="a",J20="as"),F19,IF(OR(J20="b",J20="bs"),F21,)))</f>
        <v/>
      </c>
      <c r="L20" s="289"/>
      <c r="M20" s="259"/>
      <c r="N20" s="285"/>
      <c r="O20" s="285"/>
      <c r="P20" s="285"/>
      <c r="Q20" s="262"/>
      <c r="R20" s="263"/>
      <c r="S20" s="264"/>
      <c r="T20" s="264"/>
      <c r="U20" s="264"/>
      <c r="V20" s="264"/>
      <c r="W20" s="264"/>
      <c r="X20" s="264"/>
      <c r="Y20" s="221"/>
      <c r="Z20" s="221"/>
      <c r="AA20" s="221" t="s">
        <v>70</v>
      </c>
      <c r="AB20" s="222">
        <v>40</v>
      </c>
      <c r="AC20" s="222">
        <v>25</v>
      </c>
      <c r="AD20" s="222">
        <v>15</v>
      </c>
      <c r="AE20" s="222">
        <v>8</v>
      </c>
      <c r="AF20" s="222">
        <v>4</v>
      </c>
      <c r="AG20" s="222">
        <v>2</v>
      </c>
      <c r="AH20" s="222">
        <v>1</v>
      </c>
      <c r="AI20" s="219"/>
      <c r="AJ20" s="219"/>
      <c r="AK20" s="219"/>
      <c r="AL20" s="264"/>
      <c r="AM20" s="264"/>
      <c r="AN20" s="264"/>
      <c r="AO20" s="264"/>
      <c r="AP20" s="264"/>
      <c r="AQ20" s="264"/>
      <c r="AR20" s="264"/>
      <c r="AS20" s="264"/>
    </row>
    <row r="21" spans="1:45" s="266" customFormat="1" ht="13.05" customHeight="1" x14ac:dyDescent="0.25">
      <c r="A21" s="295">
        <v>8</v>
      </c>
      <c r="B21" s="254" t="str">
        <f>IF($E21="","",VLOOKUP($E21,'[6]1MD ELO'!$A$7:$O$22,14))</f>
        <v/>
      </c>
      <c r="C21" s="255" t="str">
        <f>IF($E21="","",VLOOKUP($E21,'[6]1MD ELO'!$A$7:$O$22,15))</f>
        <v/>
      </c>
      <c r="D21" s="255" t="str">
        <f>IF($E21="","",VLOOKUP($E21,'[6]1MD ELO'!$A$7:$O$22,5))</f>
        <v/>
      </c>
      <c r="E21" s="256"/>
      <c r="F21" s="296"/>
      <c r="G21" s="296"/>
      <c r="H21" s="296"/>
      <c r="I21" s="296" t="str">
        <f>IF($E21="","",VLOOKUP($E21,'[6]1MD ELO'!$A$7:$O$22,4))</f>
        <v/>
      </c>
      <c r="J21" s="290"/>
      <c r="K21" s="259"/>
      <c r="L21" s="259"/>
      <c r="M21" s="259"/>
      <c r="N21" s="285"/>
      <c r="O21" s="285"/>
      <c r="P21" s="285"/>
      <c r="Q21" s="262"/>
      <c r="R21" s="263"/>
      <c r="S21" s="264"/>
      <c r="T21" s="264"/>
      <c r="U21" s="264"/>
      <c r="V21" s="264"/>
      <c r="W21" s="264"/>
      <c r="X21" s="264"/>
      <c r="Y21" s="221"/>
      <c r="Z21" s="221"/>
      <c r="AA21" s="221" t="s">
        <v>71</v>
      </c>
      <c r="AB21" s="222">
        <v>25</v>
      </c>
      <c r="AC21" s="222">
        <v>15</v>
      </c>
      <c r="AD21" s="222">
        <v>10</v>
      </c>
      <c r="AE21" s="222">
        <v>6</v>
      </c>
      <c r="AF21" s="222">
        <v>3</v>
      </c>
      <c r="AG21" s="222">
        <v>1</v>
      </c>
      <c r="AH21" s="222">
        <v>0</v>
      </c>
      <c r="AI21" s="219"/>
      <c r="AJ21" s="219"/>
      <c r="AK21" s="219"/>
      <c r="AL21" s="264"/>
      <c r="AM21" s="264"/>
      <c r="AN21" s="264"/>
      <c r="AO21" s="264"/>
      <c r="AP21" s="264"/>
      <c r="AQ21" s="264"/>
      <c r="AR21" s="264"/>
      <c r="AS21" s="264"/>
    </row>
    <row r="22" spans="1:45" s="266" customFormat="1" ht="9.4499999999999993" customHeight="1" x14ac:dyDescent="0.25">
      <c r="A22" s="297"/>
      <c r="B22" s="260"/>
      <c r="C22" s="260"/>
      <c r="D22" s="260"/>
      <c r="E22" s="270"/>
      <c r="F22" s="260"/>
      <c r="G22" s="260"/>
      <c r="H22" s="260"/>
      <c r="I22" s="260"/>
      <c r="J22" s="270"/>
      <c r="K22" s="260"/>
      <c r="L22" s="260"/>
      <c r="M22" s="260"/>
      <c r="N22" s="262"/>
      <c r="O22" s="262"/>
      <c r="P22" s="262"/>
      <c r="Q22" s="262"/>
      <c r="R22" s="263"/>
      <c r="S22" s="264"/>
      <c r="T22" s="264"/>
      <c r="U22" s="264"/>
      <c r="V22" s="264"/>
      <c r="W22" s="264"/>
      <c r="X22" s="264"/>
      <c r="Y22" s="221"/>
      <c r="Z22" s="221"/>
      <c r="AA22" s="221" t="s">
        <v>72</v>
      </c>
      <c r="AB22" s="222">
        <v>15</v>
      </c>
      <c r="AC22" s="222">
        <v>10</v>
      </c>
      <c r="AD22" s="222">
        <v>6</v>
      </c>
      <c r="AE22" s="222">
        <v>3</v>
      </c>
      <c r="AF22" s="222">
        <v>1</v>
      </c>
      <c r="AG22" s="222">
        <v>0</v>
      </c>
      <c r="AH22" s="222">
        <v>0</v>
      </c>
      <c r="AI22" s="219"/>
      <c r="AJ22" s="219"/>
      <c r="AK22" s="219"/>
      <c r="AL22" s="264"/>
      <c r="AM22" s="264"/>
      <c r="AN22" s="264"/>
      <c r="AO22" s="264"/>
      <c r="AP22" s="264"/>
      <c r="AQ22" s="264"/>
      <c r="AR22" s="264"/>
      <c r="AS22" s="264"/>
    </row>
    <row r="23" spans="1:45" s="266" customFormat="1" ht="9.4499999999999993" customHeight="1" x14ac:dyDescent="0.25">
      <c r="A23" s="298"/>
      <c r="B23" s="270"/>
      <c r="C23" s="270"/>
      <c r="D23" s="270"/>
      <c r="E23" s="270"/>
      <c r="F23" s="260"/>
      <c r="G23" s="260"/>
      <c r="H23" s="264"/>
      <c r="I23" s="299"/>
      <c r="J23" s="270"/>
      <c r="K23" s="260"/>
      <c r="L23" s="260"/>
      <c r="M23" s="260"/>
      <c r="N23" s="262"/>
      <c r="O23" s="262"/>
      <c r="P23" s="262"/>
      <c r="Q23" s="262"/>
      <c r="R23" s="263"/>
      <c r="S23" s="264"/>
      <c r="T23" s="264"/>
      <c r="U23" s="264"/>
      <c r="V23" s="264"/>
      <c r="W23" s="264"/>
      <c r="X23" s="264"/>
      <c r="Y23" s="221"/>
      <c r="Z23" s="221"/>
      <c r="AA23" s="221" t="s">
        <v>73</v>
      </c>
      <c r="AB23" s="222">
        <v>10</v>
      </c>
      <c r="AC23" s="222">
        <v>6</v>
      </c>
      <c r="AD23" s="222">
        <v>3</v>
      </c>
      <c r="AE23" s="222">
        <v>1</v>
      </c>
      <c r="AF23" s="222">
        <v>0</v>
      </c>
      <c r="AG23" s="222">
        <v>0</v>
      </c>
      <c r="AH23" s="222">
        <v>0</v>
      </c>
      <c r="AI23" s="219"/>
      <c r="AJ23" s="219"/>
      <c r="AK23" s="219"/>
      <c r="AL23" s="264"/>
      <c r="AM23" s="264"/>
      <c r="AN23" s="264"/>
      <c r="AO23" s="264"/>
      <c r="AP23" s="264"/>
      <c r="AQ23" s="264"/>
      <c r="AR23" s="264"/>
      <c r="AS23" s="264"/>
    </row>
    <row r="24" spans="1:45" s="266" customFormat="1" ht="9.4499999999999993" customHeight="1" x14ac:dyDescent="0.25">
      <c r="A24" s="298"/>
      <c r="B24" s="260"/>
      <c r="C24" s="260"/>
      <c r="D24" s="260"/>
      <c r="E24" s="270"/>
      <c r="F24" s="260"/>
      <c r="G24" s="260"/>
      <c r="H24" s="260"/>
      <c r="I24" s="260"/>
      <c r="J24" s="270"/>
      <c r="K24" s="260"/>
      <c r="L24" s="300"/>
      <c r="M24" s="260"/>
      <c r="N24" s="262"/>
      <c r="O24" s="262"/>
      <c r="P24" s="262"/>
      <c r="Q24" s="262"/>
      <c r="R24" s="263"/>
      <c r="S24" s="264"/>
      <c r="T24" s="264"/>
      <c r="U24" s="264"/>
      <c r="V24" s="264"/>
      <c r="W24" s="264"/>
      <c r="X24" s="264"/>
      <c r="Y24" s="221"/>
      <c r="Z24" s="221"/>
      <c r="AA24" s="221" t="s">
        <v>74</v>
      </c>
      <c r="AB24" s="222">
        <v>6</v>
      </c>
      <c r="AC24" s="222">
        <v>3</v>
      </c>
      <c r="AD24" s="222">
        <v>1</v>
      </c>
      <c r="AE24" s="222">
        <v>0</v>
      </c>
      <c r="AF24" s="222">
        <v>0</v>
      </c>
      <c r="AG24" s="222">
        <v>0</v>
      </c>
      <c r="AH24" s="222">
        <v>0</v>
      </c>
      <c r="AI24" s="219"/>
      <c r="AJ24" s="219"/>
      <c r="AK24" s="219"/>
      <c r="AL24" s="264"/>
      <c r="AM24" s="264"/>
      <c r="AN24" s="264"/>
      <c r="AO24" s="264"/>
      <c r="AP24" s="264"/>
      <c r="AQ24" s="264"/>
      <c r="AR24" s="264"/>
      <c r="AS24" s="264"/>
    </row>
    <row r="25" spans="1:45" s="266" customFormat="1" ht="9.4499999999999993" customHeight="1" x14ac:dyDescent="0.25">
      <c r="A25" s="298"/>
      <c r="B25" s="270"/>
      <c r="C25" s="270"/>
      <c r="D25" s="270"/>
      <c r="E25" s="270"/>
      <c r="F25" s="260"/>
      <c r="G25" s="260"/>
      <c r="H25" s="264"/>
      <c r="I25" s="260"/>
      <c r="J25" s="270"/>
      <c r="K25" s="299"/>
      <c r="L25" s="270"/>
      <c r="M25" s="260"/>
      <c r="N25" s="262"/>
      <c r="O25" s="262"/>
      <c r="P25" s="262"/>
      <c r="Q25" s="262"/>
      <c r="R25" s="263"/>
      <c r="S25" s="264"/>
      <c r="T25" s="264"/>
      <c r="U25" s="264"/>
      <c r="V25" s="264"/>
      <c r="W25" s="264"/>
      <c r="X25" s="264"/>
      <c r="Y25" s="221"/>
      <c r="Z25" s="221"/>
      <c r="AA25" s="221" t="s">
        <v>79</v>
      </c>
      <c r="AB25" s="222">
        <v>3</v>
      </c>
      <c r="AC25" s="222">
        <v>2</v>
      </c>
      <c r="AD25" s="222">
        <v>1</v>
      </c>
      <c r="AE25" s="222">
        <v>0</v>
      </c>
      <c r="AF25" s="222">
        <v>0</v>
      </c>
      <c r="AG25" s="222">
        <v>0</v>
      </c>
      <c r="AH25" s="222">
        <v>0</v>
      </c>
      <c r="AI25" s="219"/>
      <c r="AJ25" s="219"/>
      <c r="AK25" s="219"/>
      <c r="AL25" s="264"/>
      <c r="AM25" s="264"/>
      <c r="AN25" s="264"/>
      <c r="AO25" s="264"/>
      <c r="AP25" s="264"/>
      <c r="AQ25" s="264"/>
      <c r="AR25" s="264"/>
      <c r="AS25" s="264"/>
    </row>
    <row r="26" spans="1:45" s="266" customFormat="1" ht="9.4499999999999993" customHeight="1" x14ac:dyDescent="0.25">
      <c r="A26" s="298"/>
      <c r="B26" s="260"/>
      <c r="C26" s="260"/>
      <c r="D26" s="260"/>
      <c r="E26" s="270"/>
      <c r="F26" s="260"/>
      <c r="G26" s="260"/>
      <c r="H26" s="260"/>
      <c r="I26" s="260"/>
      <c r="J26" s="270"/>
      <c r="K26" s="260"/>
      <c r="L26" s="260"/>
      <c r="M26" s="260"/>
      <c r="N26" s="262"/>
      <c r="O26" s="262"/>
      <c r="P26" s="262"/>
      <c r="Q26" s="262"/>
      <c r="R26" s="263"/>
      <c r="S26" s="301"/>
      <c r="T26" s="264"/>
      <c r="U26" s="264"/>
      <c r="V26" s="264"/>
      <c r="W26" s="264"/>
      <c r="X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19"/>
      <c r="AJ26" s="219"/>
      <c r="AK26" s="219"/>
      <c r="AL26" s="264"/>
      <c r="AM26" s="264"/>
      <c r="AN26" s="264"/>
      <c r="AO26" s="264"/>
      <c r="AP26" s="264"/>
      <c r="AQ26" s="264"/>
      <c r="AR26" s="264"/>
      <c r="AS26" s="264"/>
    </row>
    <row r="27" spans="1:45" s="266" customFormat="1" ht="9.4499999999999993" customHeight="1" x14ac:dyDescent="0.25">
      <c r="A27" s="298"/>
      <c r="B27" s="270"/>
      <c r="C27" s="270"/>
      <c r="D27" s="270"/>
      <c r="E27" s="270"/>
      <c r="F27" s="260"/>
      <c r="G27" s="260"/>
      <c r="H27" s="264"/>
      <c r="I27" s="299"/>
      <c r="J27" s="270"/>
      <c r="K27" s="260"/>
      <c r="L27" s="260"/>
      <c r="M27" s="260"/>
      <c r="N27" s="262"/>
      <c r="O27" s="262"/>
      <c r="P27" s="262"/>
      <c r="Q27" s="262"/>
      <c r="R27" s="263"/>
      <c r="S27" s="264"/>
      <c r="T27" s="264"/>
      <c r="U27" s="264"/>
      <c r="V27" s="264"/>
      <c r="W27" s="264"/>
      <c r="X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19"/>
      <c r="AJ27" s="219"/>
      <c r="AK27" s="219"/>
      <c r="AL27" s="264"/>
      <c r="AM27" s="264"/>
      <c r="AN27" s="264"/>
      <c r="AO27" s="264"/>
      <c r="AP27" s="264"/>
      <c r="AQ27" s="264"/>
      <c r="AR27" s="264"/>
      <c r="AS27" s="264"/>
    </row>
    <row r="28" spans="1:45" s="266" customFormat="1" ht="9.4499999999999993" customHeight="1" x14ac:dyDescent="0.25">
      <c r="A28" s="298"/>
      <c r="B28" s="260"/>
      <c r="C28" s="260"/>
      <c r="D28" s="260"/>
      <c r="E28" s="270"/>
      <c r="F28" s="260"/>
      <c r="G28" s="260"/>
      <c r="H28" s="260"/>
      <c r="I28" s="260"/>
      <c r="J28" s="270"/>
      <c r="K28" s="260"/>
      <c r="L28" s="260"/>
      <c r="M28" s="260"/>
      <c r="N28" s="262"/>
      <c r="O28" s="262"/>
      <c r="P28" s="262"/>
      <c r="Q28" s="262"/>
      <c r="R28" s="263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</row>
    <row r="29" spans="1:45" s="266" customFormat="1" ht="9.4499999999999993" customHeight="1" x14ac:dyDescent="0.25">
      <c r="A29" s="298"/>
      <c r="B29" s="270"/>
      <c r="C29" s="270"/>
      <c r="D29" s="270"/>
      <c r="E29" s="270"/>
      <c r="F29" s="260"/>
      <c r="G29" s="260"/>
      <c r="H29" s="264"/>
      <c r="I29" s="260"/>
      <c r="J29" s="270"/>
      <c r="K29" s="260"/>
      <c r="L29" s="260"/>
      <c r="M29" s="299"/>
      <c r="N29" s="270"/>
      <c r="O29" s="260"/>
      <c r="P29" s="262"/>
      <c r="Q29" s="262"/>
      <c r="R29" s="263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</row>
    <row r="30" spans="1:45" s="266" customFormat="1" ht="9.4499999999999993" customHeight="1" x14ac:dyDescent="0.25">
      <c r="A30" s="298"/>
      <c r="B30" s="260"/>
      <c r="C30" s="260"/>
      <c r="D30" s="260"/>
      <c r="E30" s="270"/>
      <c r="F30" s="260"/>
      <c r="G30" s="260"/>
      <c r="H30" s="260"/>
      <c r="I30" s="260"/>
      <c r="J30" s="270"/>
      <c r="K30" s="260"/>
      <c r="L30" s="260"/>
      <c r="M30" s="260"/>
      <c r="N30" s="262"/>
      <c r="O30" s="260"/>
      <c r="P30" s="262"/>
      <c r="Q30" s="262"/>
      <c r="R30" s="263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</row>
    <row r="31" spans="1:45" s="266" customFormat="1" ht="9.4499999999999993" customHeight="1" x14ac:dyDescent="0.25">
      <c r="A31" s="298"/>
      <c r="B31" s="270"/>
      <c r="C31" s="270"/>
      <c r="D31" s="270"/>
      <c r="E31" s="270"/>
      <c r="F31" s="260"/>
      <c r="G31" s="260"/>
      <c r="H31" s="264"/>
      <c r="I31" s="299"/>
      <c r="J31" s="270"/>
      <c r="K31" s="260"/>
      <c r="L31" s="260"/>
      <c r="M31" s="260"/>
      <c r="N31" s="262"/>
      <c r="O31" s="262"/>
      <c r="P31" s="262"/>
      <c r="Q31" s="262"/>
      <c r="R31" s="263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</row>
    <row r="32" spans="1:45" s="266" customFormat="1" ht="9.4499999999999993" customHeight="1" x14ac:dyDescent="0.25">
      <c r="A32" s="298"/>
      <c r="B32" s="260"/>
      <c r="C32" s="260"/>
      <c r="D32" s="260"/>
      <c r="E32" s="270"/>
      <c r="F32" s="260"/>
      <c r="G32" s="260"/>
      <c r="H32" s="260"/>
      <c r="I32" s="260"/>
      <c r="J32" s="270"/>
      <c r="K32" s="260"/>
      <c r="L32" s="300"/>
      <c r="M32" s="260"/>
      <c r="N32" s="262"/>
      <c r="O32" s="262"/>
      <c r="P32" s="262"/>
      <c r="Q32" s="262"/>
      <c r="R32" s="263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</row>
    <row r="33" spans="1:45" s="266" customFormat="1" ht="9.4499999999999993" customHeight="1" x14ac:dyDescent="0.25">
      <c r="A33" s="298"/>
      <c r="B33" s="270"/>
      <c r="C33" s="270"/>
      <c r="D33" s="270"/>
      <c r="E33" s="270"/>
      <c r="F33" s="260"/>
      <c r="G33" s="260"/>
      <c r="H33" s="264"/>
      <c r="I33" s="260"/>
      <c r="J33" s="270"/>
      <c r="K33" s="299"/>
      <c r="L33" s="270"/>
      <c r="M33" s="260"/>
      <c r="N33" s="262"/>
      <c r="O33" s="262"/>
      <c r="P33" s="262"/>
      <c r="Q33" s="262"/>
      <c r="R33" s="26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</row>
    <row r="34" spans="1:45" s="266" customFormat="1" ht="9.4499999999999993" customHeight="1" x14ac:dyDescent="0.25">
      <c r="A34" s="298"/>
      <c r="B34" s="260"/>
      <c r="C34" s="260"/>
      <c r="D34" s="260"/>
      <c r="E34" s="270"/>
      <c r="F34" s="260"/>
      <c r="G34" s="260"/>
      <c r="H34" s="260"/>
      <c r="I34" s="260"/>
      <c r="J34" s="270"/>
      <c r="K34" s="260"/>
      <c r="L34" s="260"/>
      <c r="M34" s="260"/>
      <c r="N34" s="262"/>
      <c r="O34" s="262"/>
      <c r="P34" s="262"/>
      <c r="Q34" s="262"/>
      <c r="R34" s="263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</row>
    <row r="35" spans="1:45" s="266" customFormat="1" ht="9.4499999999999993" customHeight="1" x14ac:dyDescent="0.25">
      <c r="A35" s="298"/>
      <c r="B35" s="270"/>
      <c r="C35" s="270"/>
      <c r="D35" s="270"/>
      <c r="E35" s="270"/>
      <c r="F35" s="260"/>
      <c r="G35" s="260"/>
      <c r="H35" s="264"/>
      <c r="I35" s="299"/>
      <c r="J35" s="270"/>
      <c r="K35" s="260"/>
      <c r="L35" s="260"/>
      <c r="M35" s="260"/>
      <c r="N35" s="262"/>
      <c r="O35" s="262"/>
      <c r="P35" s="262"/>
      <c r="Q35" s="262"/>
      <c r="R35" s="263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</row>
    <row r="36" spans="1:45" s="266" customFormat="1" ht="9.4499999999999993" customHeight="1" x14ac:dyDescent="0.25">
      <c r="A36" s="297"/>
      <c r="B36" s="260"/>
      <c r="C36" s="260"/>
      <c r="D36" s="260"/>
      <c r="E36" s="270"/>
      <c r="F36" s="260"/>
      <c r="G36" s="260"/>
      <c r="H36" s="260"/>
      <c r="I36" s="260"/>
      <c r="J36" s="270"/>
      <c r="K36" s="260"/>
      <c r="L36" s="260"/>
      <c r="M36" s="260"/>
      <c r="N36" s="260"/>
      <c r="O36" s="260"/>
      <c r="P36" s="260"/>
      <c r="Q36" s="262"/>
      <c r="R36" s="263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</row>
    <row r="37" spans="1:45" s="266" customFormat="1" ht="9.4499999999999993" customHeight="1" x14ac:dyDescent="0.25">
      <c r="A37" s="298"/>
      <c r="B37" s="270"/>
      <c r="C37" s="270"/>
      <c r="D37" s="270"/>
      <c r="E37" s="270"/>
      <c r="F37" s="302"/>
      <c r="G37" s="302"/>
      <c r="H37" s="303"/>
      <c r="I37" s="259"/>
      <c r="J37" s="282"/>
      <c r="K37" s="259"/>
      <c r="L37" s="259"/>
      <c r="M37" s="259"/>
      <c r="N37" s="285"/>
      <c r="O37" s="285"/>
      <c r="P37" s="285"/>
      <c r="Q37" s="262"/>
      <c r="R37" s="263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</row>
    <row r="38" spans="1:45" s="266" customFormat="1" ht="9.4499999999999993" customHeight="1" x14ac:dyDescent="0.25">
      <c r="A38" s="297"/>
      <c r="B38" s="260"/>
      <c r="C38" s="260"/>
      <c r="D38" s="260"/>
      <c r="E38" s="270"/>
      <c r="F38" s="260"/>
      <c r="G38" s="260"/>
      <c r="H38" s="260"/>
      <c r="I38" s="260"/>
      <c r="J38" s="270"/>
      <c r="K38" s="260"/>
      <c r="L38" s="260"/>
      <c r="M38" s="260"/>
      <c r="N38" s="262"/>
      <c r="O38" s="262"/>
      <c r="P38" s="262"/>
      <c r="Q38" s="262"/>
      <c r="R38" s="263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</row>
    <row r="39" spans="1:45" s="266" customFormat="1" ht="9.4499999999999993" customHeight="1" x14ac:dyDescent="0.25">
      <c r="A39" s="298"/>
      <c r="B39" s="270"/>
      <c r="C39" s="270"/>
      <c r="D39" s="270"/>
      <c r="E39" s="270"/>
      <c r="F39" s="260"/>
      <c r="G39" s="260"/>
      <c r="H39" s="264"/>
      <c r="I39" s="299"/>
      <c r="J39" s="270"/>
      <c r="K39" s="260"/>
      <c r="L39" s="260"/>
      <c r="M39" s="260"/>
      <c r="N39" s="262"/>
      <c r="O39" s="262"/>
      <c r="P39" s="262"/>
      <c r="Q39" s="262"/>
      <c r="R39" s="263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</row>
    <row r="40" spans="1:45" s="266" customFormat="1" ht="9.4499999999999993" customHeight="1" x14ac:dyDescent="0.25">
      <c r="A40" s="298"/>
      <c r="B40" s="260"/>
      <c r="C40" s="260"/>
      <c r="D40" s="260"/>
      <c r="E40" s="270"/>
      <c r="F40" s="260"/>
      <c r="G40" s="260"/>
      <c r="H40" s="260"/>
      <c r="I40" s="260"/>
      <c r="J40" s="270"/>
      <c r="K40" s="260"/>
      <c r="L40" s="300"/>
      <c r="M40" s="260"/>
      <c r="N40" s="262"/>
      <c r="O40" s="262"/>
      <c r="P40" s="262"/>
      <c r="Q40" s="262"/>
      <c r="R40" s="263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</row>
    <row r="41" spans="1:45" s="266" customFormat="1" ht="9.4499999999999993" customHeight="1" x14ac:dyDescent="0.25">
      <c r="A41" s="298"/>
      <c r="B41" s="270"/>
      <c r="C41" s="270"/>
      <c r="D41" s="270"/>
      <c r="E41" s="270"/>
      <c r="F41" s="260"/>
      <c r="G41" s="260"/>
      <c r="H41" s="264"/>
      <c r="I41" s="260"/>
      <c r="J41" s="270"/>
      <c r="K41" s="299"/>
      <c r="L41" s="270"/>
      <c r="M41" s="260"/>
      <c r="N41" s="262"/>
      <c r="O41" s="262"/>
      <c r="P41" s="262"/>
      <c r="Q41" s="262"/>
      <c r="R41" s="263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</row>
    <row r="42" spans="1:45" s="266" customFormat="1" ht="9.4499999999999993" customHeight="1" x14ac:dyDescent="0.25">
      <c r="A42" s="298"/>
      <c r="B42" s="260"/>
      <c r="C42" s="260"/>
      <c r="D42" s="260"/>
      <c r="E42" s="270"/>
      <c r="F42" s="260"/>
      <c r="G42" s="260"/>
      <c r="H42" s="260"/>
      <c r="I42" s="260"/>
      <c r="J42" s="270"/>
      <c r="K42" s="260"/>
      <c r="L42" s="260"/>
      <c r="M42" s="260"/>
      <c r="N42" s="262"/>
      <c r="O42" s="262"/>
      <c r="P42" s="262"/>
      <c r="Q42" s="262"/>
      <c r="R42" s="263"/>
      <c r="S42" s="301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</row>
    <row r="43" spans="1:45" s="266" customFormat="1" ht="9.4499999999999993" customHeight="1" x14ac:dyDescent="0.25">
      <c r="A43" s="298"/>
      <c r="B43" s="270"/>
      <c r="C43" s="270"/>
      <c r="D43" s="270"/>
      <c r="E43" s="270"/>
      <c r="F43" s="260"/>
      <c r="G43" s="260"/>
      <c r="H43" s="264"/>
      <c r="I43" s="299"/>
      <c r="J43" s="270"/>
      <c r="K43" s="260"/>
      <c r="L43" s="260"/>
      <c r="M43" s="260"/>
      <c r="N43" s="262"/>
      <c r="O43" s="262"/>
      <c r="P43" s="262"/>
      <c r="Q43" s="262"/>
      <c r="R43" s="263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</row>
    <row r="44" spans="1:45" s="266" customFormat="1" ht="9.4499999999999993" customHeight="1" x14ac:dyDescent="0.25">
      <c r="A44" s="298"/>
      <c r="B44" s="260"/>
      <c r="C44" s="260"/>
      <c r="D44" s="260"/>
      <c r="E44" s="270"/>
      <c r="F44" s="260"/>
      <c r="G44" s="260"/>
      <c r="H44" s="260"/>
      <c r="I44" s="260"/>
      <c r="J44" s="270"/>
      <c r="K44" s="260"/>
      <c r="L44" s="260"/>
      <c r="M44" s="260"/>
      <c r="N44" s="262"/>
      <c r="O44" s="262"/>
      <c r="P44" s="262"/>
      <c r="Q44" s="262"/>
      <c r="R44" s="263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</row>
    <row r="45" spans="1:45" s="266" customFormat="1" ht="9.4499999999999993" customHeight="1" x14ac:dyDescent="0.25">
      <c r="A45" s="298"/>
      <c r="B45" s="270"/>
      <c r="C45" s="270"/>
      <c r="D45" s="270"/>
      <c r="E45" s="270"/>
      <c r="F45" s="260"/>
      <c r="G45" s="260"/>
      <c r="H45" s="264"/>
      <c r="I45" s="260"/>
      <c r="J45" s="270"/>
      <c r="K45" s="260"/>
      <c r="L45" s="260"/>
      <c r="M45" s="299"/>
      <c r="N45" s="270"/>
      <c r="O45" s="260"/>
      <c r="P45" s="262"/>
      <c r="Q45" s="262"/>
      <c r="R45" s="263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</row>
    <row r="46" spans="1:45" s="266" customFormat="1" ht="9.4499999999999993" customHeight="1" x14ac:dyDescent="0.25">
      <c r="A46" s="298"/>
      <c r="B46" s="260"/>
      <c r="C46" s="260"/>
      <c r="D46" s="260"/>
      <c r="E46" s="270"/>
      <c r="F46" s="260"/>
      <c r="G46" s="260"/>
      <c r="H46" s="260"/>
      <c r="I46" s="260"/>
      <c r="J46" s="270"/>
      <c r="K46" s="260"/>
      <c r="L46" s="260"/>
      <c r="M46" s="260"/>
      <c r="N46" s="262"/>
      <c r="O46" s="260"/>
      <c r="P46" s="262"/>
      <c r="Q46" s="262"/>
      <c r="R46" s="263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</row>
    <row r="47" spans="1:45" s="266" customFormat="1" ht="9.4499999999999993" customHeight="1" x14ac:dyDescent="0.25">
      <c r="A47" s="298"/>
      <c r="B47" s="270"/>
      <c r="C47" s="270"/>
      <c r="D47" s="270"/>
      <c r="E47" s="270"/>
      <c r="F47" s="260"/>
      <c r="G47" s="260"/>
      <c r="H47" s="264"/>
      <c r="I47" s="299"/>
      <c r="J47" s="270"/>
      <c r="K47" s="260"/>
      <c r="L47" s="260"/>
      <c r="M47" s="260"/>
      <c r="N47" s="262"/>
      <c r="O47" s="262"/>
      <c r="P47" s="262"/>
      <c r="Q47" s="262"/>
      <c r="R47" s="263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</row>
    <row r="48" spans="1:45" s="266" customFormat="1" ht="9.4499999999999993" customHeight="1" x14ac:dyDescent="0.25">
      <c r="A48" s="298"/>
      <c r="B48" s="260"/>
      <c r="C48" s="260"/>
      <c r="D48" s="260"/>
      <c r="E48" s="270"/>
      <c r="F48" s="260"/>
      <c r="G48" s="260"/>
      <c r="H48" s="260"/>
      <c r="I48" s="260"/>
      <c r="J48" s="270"/>
      <c r="K48" s="260"/>
      <c r="L48" s="300"/>
      <c r="M48" s="260"/>
      <c r="N48" s="262"/>
      <c r="O48" s="262"/>
      <c r="P48" s="262"/>
      <c r="Q48" s="262"/>
      <c r="R48" s="263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</row>
    <row r="49" spans="1:45" s="266" customFormat="1" ht="9.4499999999999993" customHeight="1" x14ac:dyDescent="0.25">
      <c r="A49" s="298"/>
      <c r="B49" s="270"/>
      <c r="C49" s="270"/>
      <c r="D49" s="270"/>
      <c r="E49" s="270"/>
      <c r="F49" s="260"/>
      <c r="G49" s="260"/>
      <c r="H49" s="264"/>
      <c r="I49" s="260"/>
      <c r="J49" s="270"/>
      <c r="K49" s="299"/>
      <c r="L49" s="270"/>
      <c r="M49" s="260"/>
      <c r="N49" s="262"/>
      <c r="O49" s="262"/>
      <c r="P49" s="262"/>
      <c r="Q49" s="262"/>
      <c r="R49" s="263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</row>
    <row r="50" spans="1:45" s="266" customFormat="1" ht="9.4499999999999993" customHeight="1" x14ac:dyDescent="0.25">
      <c r="A50" s="298"/>
      <c r="B50" s="260"/>
      <c r="C50" s="260"/>
      <c r="D50" s="260"/>
      <c r="E50" s="270"/>
      <c r="F50" s="260"/>
      <c r="G50" s="260"/>
      <c r="H50" s="260"/>
      <c r="I50" s="260"/>
      <c r="J50" s="270"/>
      <c r="K50" s="260"/>
      <c r="L50" s="260"/>
      <c r="M50" s="260"/>
      <c r="N50" s="262"/>
      <c r="O50" s="262"/>
      <c r="P50" s="262"/>
      <c r="Q50" s="262"/>
      <c r="R50" s="263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</row>
    <row r="51" spans="1:45" s="266" customFormat="1" ht="9.4499999999999993" customHeight="1" x14ac:dyDescent="0.25">
      <c r="A51" s="298"/>
      <c r="B51" s="270"/>
      <c r="C51" s="270"/>
      <c r="D51" s="270"/>
      <c r="E51" s="270"/>
      <c r="F51" s="260"/>
      <c r="G51" s="260"/>
      <c r="H51" s="264"/>
      <c r="I51" s="299"/>
      <c r="J51" s="270"/>
      <c r="K51" s="260"/>
      <c r="L51" s="260"/>
      <c r="M51" s="260"/>
      <c r="N51" s="262"/>
      <c r="O51" s="262"/>
      <c r="P51" s="262"/>
      <c r="Q51" s="262"/>
      <c r="R51" s="263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</row>
    <row r="52" spans="1:45" s="266" customFormat="1" ht="9.4499999999999993" customHeight="1" x14ac:dyDescent="0.25">
      <c r="A52" s="297"/>
      <c r="B52" s="260"/>
      <c r="C52" s="260"/>
      <c r="D52" s="260"/>
      <c r="E52" s="270"/>
      <c r="F52" s="304"/>
      <c r="G52" s="304"/>
      <c r="H52" s="304"/>
      <c r="I52" s="304"/>
      <c r="J52" s="270"/>
      <c r="K52" s="260"/>
      <c r="L52" s="260"/>
      <c r="M52" s="260"/>
      <c r="N52" s="260"/>
      <c r="O52" s="260"/>
      <c r="P52" s="260"/>
      <c r="Q52" s="262"/>
      <c r="R52" s="263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</row>
    <row r="53" spans="1:45" s="311" customFormat="1" ht="6.75" customHeight="1" x14ac:dyDescent="0.25">
      <c r="A53" s="305"/>
      <c r="B53" s="305"/>
      <c r="C53" s="305"/>
      <c r="D53" s="305"/>
      <c r="E53" s="305"/>
      <c r="F53" s="306"/>
      <c r="G53" s="306"/>
      <c r="H53" s="306"/>
      <c r="I53" s="306"/>
      <c r="J53" s="307"/>
      <c r="K53" s="308"/>
      <c r="L53" s="309"/>
      <c r="M53" s="308"/>
      <c r="N53" s="309"/>
      <c r="O53" s="308"/>
      <c r="P53" s="309"/>
      <c r="Q53" s="308"/>
      <c r="R53" s="309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264"/>
      <c r="AJ53" s="264"/>
      <c r="AK53" s="264"/>
      <c r="AL53" s="310"/>
      <c r="AM53" s="310"/>
      <c r="AN53" s="310"/>
      <c r="AO53" s="310"/>
      <c r="AP53" s="310"/>
      <c r="AQ53" s="310"/>
      <c r="AR53" s="310"/>
      <c r="AS53" s="310"/>
    </row>
    <row r="54" spans="1:45" s="324" customFormat="1" ht="10.5" customHeight="1" x14ac:dyDescent="0.25">
      <c r="A54" s="312" t="s">
        <v>26</v>
      </c>
      <c r="B54" s="313"/>
      <c r="C54" s="313"/>
      <c r="D54" s="314"/>
      <c r="E54" s="315" t="s">
        <v>0</v>
      </c>
      <c r="F54" s="316" t="s">
        <v>28</v>
      </c>
      <c r="G54" s="315"/>
      <c r="H54" s="317"/>
      <c r="I54" s="318"/>
      <c r="J54" s="315" t="s">
        <v>0</v>
      </c>
      <c r="K54" s="316" t="s">
        <v>35</v>
      </c>
      <c r="L54" s="319"/>
      <c r="M54" s="316" t="s">
        <v>36</v>
      </c>
      <c r="N54" s="320"/>
      <c r="O54" s="321" t="s">
        <v>37</v>
      </c>
      <c r="P54" s="321"/>
      <c r="Q54" s="322"/>
      <c r="R54" s="323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6"/>
      <c r="AJ54" s="326"/>
      <c r="AK54" s="326"/>
      <c r="AL54" s="325"/>
      <c r="AM54" s="325"/>
      <c r="AN54" s="325"/>
      <c r="AO54" s="325"/>
      <c r="AP54" s="325"/>
      <c r="AQ54" s="325"/>
      <c r="AR54" s="325"/>
      <c r="AS54" s="325"/>
    </row>
    <row r="55" spans="1:45" s="324" customFormat="1" ht="9" customHeight="1" x14ac:dyDescent="0.25">
      <c r="A55" s="327" t="s">
        <v>27</v>
      </c>
      <c r="B55" s="328"/>
      <c r="C55" s="329"/>
      <c r="D55" s="330"/>
      <c r="E55" s="331">
        <v>1</v>
      </c>
      <c r="F55" s="325" t="str">
        <f>IF(E55&gt;$R$62,,UPPER(VLOOKUP(E55,'[6]1MD ELO'!$A$7:$Q$134,2)))</f>
        <v/>
      </c>
      <c r="G55" s="331"/>
      <c r="H55" s="325"/>
      <c r="I55" s="332"/>
      <c r="J55" s="333" t="s">
        <v>1</v>
      </c>
      <c r="K55" s="334"/>
      <c r="L55" s="335"/>
      <c r="M55" s="334"/>
      <c r="N55" s="336"/>
      <c r="O55" s="337" t="s">
        <v>29</v>
      </c>
      <c r="P55" s="338"/>
      <c r="Q55" s="338"/>
      <c r="R55" s="336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6"/>
      <c r="AJ55" s="326"/>
      <c r="AK55" s="326"/>
      <c r="AL55" s="325"/>
      <c r="AM55" s="325"/>
      <c r="AN55" s="325"/>
      <c r="AO55" s="325"/>
      <c r="AP55" s="325"/>
      <c r="AQ55" s="325"/>
      <c r="AR55" s="325"/>
      <c r="AS55" s="325"/>
    </row>
    <row r="56" spans="1:45" s="324" customFormat="1" ht="9" customHeight="1" x14ac:dyDescent="0.25">
      <c r="A56" s="339" t="s">
        <v>34</v>
      </c>
      <c r="B56" s="340"/>
      <c r="C56" s="341"/>
      <c r="D56" s="342"/>
      <c r="E56" s="331">
        <v>2</v>
      </c>
      <c r="F56" s="325" t="str">
        <f>IF(E56&gt;$R$62,,UPPER(VLOOKUP(E56,'[6]1MD ELO'!$A$7:$Q$134,2)))</f>
        <v/>
      </c>
      <c r="G56" s="331"/>
      <c r="H56" s="325"/>
      <c r="I56" s="332"/>
      <c r="J56" s="333" t="s">
        <v>2</v>
      </c>
      <c r="K56" s="334"/>
      <c r="L56" s="335"/>
      <c r="M56" s="334"/>
      <c r="N56" s="336"/>
      <c r="O56" s="343"/>
      <c r="P56" s="344"/>
      <c r="Q56" s="340"/>
      <c r="R56" s="34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6"/>
      <c r="AJ56" s="326"/>
      <c r="AK56" s="326"/>
      <c r="AL56" s="325"/>
      <c r="AM56" s="325"/>
      <c r="AN56" s="325"/>
      <c r="AO56" s="325"/>
      <c r="AP56" s="325"/>
      <c r="AQ56" s="325"/>
      <c r="AR56" s="325"/>
      <c r="AS56" s="325"/>
    </row>
    <row r="57" spans="1:45" s="324" customFormat="1" ht="9" customHeight="1" x14ac:dyDescent="0.25">
      <c r="A57" s="346"/>
      <c r="B57" s="347"/>
      <c r="C57" s="348"/>
      <c r="D57" s="349"/>
      <c r="E57" s="331"/>
      <c r="F57" s="325"/>
      <c r="G57" s="331"/>
      <c r="H57" s="325"/>
      <c r="I57" s="332"/>
      <c r="J57" s="333" t="s">
        <v>3</v>
      </c>
      <c r="K57" s="334"/>
      <c r="L57" s="335"/>
      <c r="M57" s="334"/>
      <c r="N57" s="336"/>
      <c r="O57" s="337" t="s">
        <v>30</v>
      </c>
      <c r="P57" s="338"/>
      <c r="Q57" s="338"/>
      <c r="R57" s="336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6"/>
      <c r="AJ57" s="326"/>
      <c r="AK57" s="326"/>
      <c r="AL57" s="325"/>
      <c r="AM57" s="325"/>
      <c r="AN57" s="325"/>
      <c r="AO57" s="325"/>
      <c r="AP57" s="325"/>
      <c r="AQ57" s="325"/>
      <c r="AR57" s="325"/>
      <c r="AS57" s="325"/>
    </row>
    <row r="58" spans="1:45" s="324" customFormat="1" ht="9" customHeight="1" x14ac:dyDescent="0.25">
      <c r="A58" s="350"/>
      <c r="B58" s="236"/>
      <c r="C58" s="236"/>
      <c r="D58" s="351"/>
      <c r="E58" s="331"/>
      <c r="F58" s="325"/>
      <c r="G58" s="331"/>
      <c r="H58" s="325"/>
      <c r="I58" s="332"/>
      <c r="J58" s="333" t="s">
        <v>4</v>
      </c>
      <c r="K58" s="334"/>
      <c r="L58" s="335"/>
      <c r="M58" s="334"/>
      <c r="N58" s="336"/>
      <c r="O58" s="334"/>
      <c r="P58" s="335"/>
      <c r="Q58" s="334"/>
      <c r="R58" s="336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6"/>
      <c r="AJ58" s="326"/>
      <c r="AK58" s="326"/>
      <c r="AL58" s="325"/>
      <c r="AM58" s="325"/>
      <c r="AN58" s="325"/>
      <c r="AO58" s="325"/>
      <c r="AP58" s="325"/>
      <c r="AQ58" s="325"/>
      <c r="AR58" s="325"/>
      <c r="AS58" s="325"/>
    </row>
    <row r="59" spans="1:45" s="324" customFormat="1" ht="9" customHeight="1" x14ac:dyDescent="0.25">
      <c r="A59" s="352"/>
      <c r="B59" s="353"/>
      <c r="C59" s="353"/>
      <c r="D59" s="354"/>
      <c r="E59" s="331"/>
      <c r="F59" s="325"/>
      <c r="G59" s="331"/>
      <c r="H59" s="325"/>
      <c r="I59" s="332"/>
      <c r="J59" s="333" t="s">
        <v>5</v>
      </c>
      <c r="K59" s="334"/>
      <c r="L59" s="335"/>
      <c r="M59" s="334"/>
      <c r="N59" s="336"/>
      <c r="O59" s="340"/>
      <c r="P59" s="344"/>
      <c r="Q59" s="340"/>
      <c r="R59" s="34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6"/>
      <c r="AJ59" s="326"/>
      <c r="AK59" s="326"/>
      <c r="AL59" s="325"/>
      <c r="AM59" s="325"/>
      <c r="AN59" s="325"/>
      <c r="AO59" s="325"/>
      <c r="AP59" s="325"/>
      <c r="AQ59" s="325"/>
      <c r="AR59" s="325"/>
      <c r="AS59" s="325"/>
    </row>
    <row r="60" spans="1:45" s="324" customFormat="1" ht="9" customHeight="1" x14ac:dyDescent="0.25">
      <c r="A60" s="355"/>
      <c r="B60" s="356"/>
      <c r="C60" s="236"/>
      <c r="D60" s="351"/>
      <c r="E60" s="331"/>
      <c r="F60" s="325"/>
      <c r="G60" s="331"/>
      <c r="H60" s="325"/>
      <c r="I60" s="332"/>
      <c r="J60" s="333" t="s">
        <v>6</v>
      </c>
      <c r="K60" s="334"/>
      <c r="L60" s="335"/>
      <c r="M60" s="334"/>
      <c r="N60" s="336"/>
      <c r="O60" s="337" t="s">
        <v>25</v>
      </c>
      <c r="P60" s="338"/>
      <c r="Q60" s="338"/>
      <c r="R60" s="336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6"/>
      <c r="AJ60" s="326"/>
      <c r="AK60" s="326"/>
      <c r="AL60" s="325"/>
      <c r="AM60" s="325"/>
      <c r="AN60" s="325"/>
      <c r="AO60" s="325"/>
      <c r="AP60" s="325"/>
      <c r="AQ60" s="325"/>
      <c r="AR60" s="325"/>
      <c r="AS60" s="325"/>
    </row>
    <row r="61" spans="1:45" s="324" customFormat="1" ht="9" customHeight="1" x14ac:dyDescent="0.25">
      <c r="A61" s="355"/>
      <c r="B61" s="356"/>
      <c r="C61" s="357"/>
      <c r="D61" s="358"/>
      <c r="E61" s="331"/>
      <c r="F61" s="325"/>
      <c r="G61" s="331"/>
      <c r="H61" s="325"/>
      <c r="I61" s="332"/>
      <c r="J61" s="333" t="s">
        <v>7</v>
      </c>
      <c r="K61" s="334"/>
      <c r="L61" s="335"/>
      <c r="M61" s="334"/>
      <c r="N61" s="336"/>
      <c r="O61" s="334"/>
      <c r="P61" s="335"/>
      <c r="Q61" s="334"/>
      <c r="R61" s="336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6"/>
      <c r="AJ61" s="326"/>
      <c r="AK61" s="326"/>
      <c r="AL61" s="325"/>
      <c r="AM61" s="325"/>
      <c r="AN61" s="325"/>
      <c r="AO61" s="325"/>
      <c r="AP61" s="325"/>
      <c r="AQ61" s="325"/>
      <c r="AR61" s="325"/>
      <c r="AS61" s="325"/>
    </row>
    <row r="62" spans="1:45" s="324" customFormat="1" ht="9" customHeight="1" x14ac:dyDescent="0.25">
      <c r="A62" s="359"/>
      <c r="B62" s="360"/>
      <c r="C62" s="361"/>
      <c r="D62" s="362"/>
      <c r="E62" s="363"/>
      <c r="F62" s="343"/>
      <c r="G62" s="363"/>
      <c r="H62" s="343"/>
      <c r="I62" s="364"/>
      <c r="J62" s="365" t="s">
        <v>8</v>
      </c>
      <c r="K62" s="340"/>
      <c r="L62" s="344"/>
      <c r="M62" s="340"/>
      <c r="N62" s="345"/>
      <c r="O62" s="340">
        <f>R4</f>
        <v>0</v>
      </c>
      <c r="P62" s="344"/>
      <c r="Q62" s="340"/>
      <c r="R62" s="366">
        <f>MIN(4,'[6]1MD ELO'!Q5)</f>
        <v>4</v>
      </c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6"/>
      <c r="AJ62" s="326"/>
      <c r="AK62" s="326"/>
      <c r="AL62" s="325"/>
      <c r="AM62" s="325"/>
      <c r="AN62" s="325"/>
      <c r="AO62" s="325"/>
      <c r="AP62" s="325"/>
      <c r="AQ62" s="325"/>
      <c r="AR62" s="325"/>
      <c r="AS62" s="325"/>
    </row>
    <row r="63" spans="1:45" x14ac:dyDescent="0.25"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L63" s="369"/>
      <c r="AM63" s="369"/>
      <c r="AN63" s="369"/>
      <c r="AO63" s="369"/>
      <c r="AP63" s="369"/>
      <c r="AQ63" s="369"/>
      <c r="AR63" s="369"/>
      <c r="AS63" s="369"/>
    </row>
    <row r="64" spans="1:45" x14ac:dyDescent="0.25"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L64" s="369"/>
      <c r="AM64" s="369"/>
      <c r="AN64" s="369"/>
      <c r="AO64" s="369"/>
      <c r="AP64" s="369"/>
      <c r="AQ64" s="369"/>
      <c r="AR64" s="369"/>
      <c r="AS64" s="369"/>
    </row>
    <row r="65" spans="20:45" x14ac:dyDescent="0.25"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L65" s="369"/>
      <c r="AM65" s="369"/>
      <c r="AN65" s="369"/>
      <c r="AO65" s="369"/>
      <c r="AP65" s="369"/>
      <c r="AQ65" s="369"/>
      <c r="AR65" s="369"/>
      <c r="AS65" s="369"/>
    </row>
    <row r="66" spans="20:45" x14ac:dyDescent="0.25"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L66" s="369"/>
      <c r="AM66" s="369"/>
      <c r="AN66" s="369"/>
      <c r="AO66" s="369"/>
      <c r="AP66" s="369"/>
      <c r="AQ66" s="369"/>
      <c r="AR66" s="369"/>
      <c r="AS66" s="369"/>
    </row>
    <row r="67" spans="20:45" x14ac:dyDescent="0.25"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L67" s="369"/>
      <c r="AM67" s="369"/>
      <c r="AN67" s="369"/>
      <c r="AO67" s="369"/>
      <c r="AP67" s="369"/>
      <c r="AQ67" s="369"/>
      <c r="AR67" s="369"/>
      <c r="AS67" s="369"/>
    </row>
    <row r="68" spans="20:45" x14ac:dyDescent="0.25"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L68" s="369"/>
      <c r="AM68" s="369"/>
      <c r="AN68" s="369"/>
      <c r="AO68" s="369"/>
      <c r="AP68" s="369"/>
      <c r="AQ68" s="369"/>
      <c r="AR68" s="369"/>
      <c r="AS68" s="369"/>
    </row>
    <row r="69" spans="20:45" x14ac:dyDescent="0.25"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L69" s="369"/>
      <c r="AM69" s="369"/>
      <c r="AN69" s="369"/>
      <c r="AO69" s="369"/>
      <c r="AP69" s="369"/>
      <c r="AQ69" s="369"/>
      <c r="AR69" s="369"/>
      <c r="AS69" s="369"/>
    </row>
    <row r="70" spans="20:45" x14ac:dyDescent="0.25"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L70" s="369"/>
      <c r="AM70" s="369"/>
      <c r="AN70" s="369"/>
      <c r="AO70" s="369"/>
      <c r="AP70" s="369"/>
      <c r="AQ70" s="369"/>
      <c r="AR70" s="369"/>
      <c r="AS70" s="369"/>
    </row>
    <row r="71" spans="20:45" x14ac:dyDescent="0.25"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L71" s="369"/>
      <c r="AM71" s="369"/>
      <c r="AN71" s="369"/>
      <c r="AO71" s="369"/>
      <c r="AP71" s="369"/>
      <c r="AQ71" s="369"/>
      <c r="AR71" s="369"/>
      <c r="AS71" s="369"/>
    </row>
    <row r="72" spans="20:45" x14ac:dyDescent="0.25"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L72" s="369"/>
      <c r="AM72" s="369"/>
      <c r="AN72" s="369"/>
      <c r="AO72" s="369"/>
      <c r="AP72" s="369"/>
      <c r="AQ72" s="369"/>
      <c r="AR72" s="369"/>
      <c r="AS72" s="369"/>
    </row>
    <row r="73" spans="20:45" x14ac:dyDescent="0.25"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L73" s="369"/>
      <c r="AM73" s="369"/>
      <c r="AN73" s="369"/>
      <c r="AO73" s="369"/>
      <c r="AP73" s="369"/>
      <c r="AQ73" s="369"/>
      <c r="AR73" s="369"/>
      <c r="AS73" s="369"/>
    </row>
    <row r="74" spans="20:45" x14ac:dyDescent="0.25"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L74" s="369"/>
      <c r="AM74" s="369"/>
      <c r="AN74" s="369"/>
      <c r="AO74" s="369"/>
      <c r="AP74" s="369"/>
      <c r="AQ74" s="369"/>
      <c r="AR74" s="369"/>
      <c r="AS74" s="369"/>
    </row>
    <row r="75" spans="20:45" x14ac:dyDescent="0.25"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L75" s="369"/>
      <c r="AM75" s="369"/>
      <c r="AN75" s="369"/>
      <c r="AO75" s="369"/>
      <c r="AP75" s="369"/>
      <c r="AQ75" s="369"/>
      <c r="AR75" s="369"/>
      <c r="AS75" s="369"/>
    </row>
    <row r="76" spans="20:45" x14ac:dyDescent="0.25"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L76" s="369"/>
      <c r="AM76" s="369"/>
      <c r="AN76" s="369"/>
      <c r="AO76" s="369"/>
      <c r="AP76" s="369"/>
      <c r="AQ76" s="369"/>
      <c r="AR76" s="369"/>
      <c r="AS76" s="369"/>
    </row>
    <row r="77" spans="20:45" x14ac:dyDescent="0.25"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L77" s="369"/>
      <c r="AM77" s="369"/>
      <c r="AN77" s="369"/>
      <c r="AO77" s="369"/>
      <c r="AP77" s="369"/>
      <c r="AQ77" s="369"/>
      <c r="AR77" s="369"/>
      <c r="AS77" s="369"/>
    </row>
    <row r="78" spans="20:45" x14ac:dyDescent="0.25"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L78" s="369"/>
      <c r="AM78" s="369"/>
      <c r="AN78" s="369"/>
      <c r="AO78" s="369"/>
      <c r="AP78" s="369"/>
      <c r="AQ78" s="369"/>
      <c r="AR78" s="369"/>
      <c r="AS78" s="369"/>
    </row>
    <row r="79" spans="20:45" x14ac:dyDescent="0.25"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L79" s="369"/>
      <c r="AM79" s="369"/>
      <c r="AN79" s="369"/>
      <c r="AO79" s="369"/>
      <c r="AP79" s="369"/>
      <c r="AQ79" s="369"/>
      <c r="AR79" s="369"/>
      <c r="AS79" s="369"/>
    </row>
    <row r="80" spans="20:45" x14ac:dyDescent="0.25"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L80" s="369"/>
      <c r="AM80" s="369"/>
      <c r="AN80" s="369"/>
      <c r="AO80" s="369"/>
      <c r="AP80" s="369"/>
      <c r="AQ80" s="369"/>
      <c r="AR80" s="369"/>
      <c r="AS80" s="369"/>
    </row>
    <row r="81" spans="20:45" x14ac:dyDescent="0.25"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L81" s="369"/>
      <c r="AM81" s="369"/>
      <c r="AN81" s="369"/>
      <c r="AO81" s="369"/>
      <c r="AP81" s="369"/>
      <c r="AQ81" s="369"/>
      <c r="AR81" s="369"/>
      <c r="AS81" s="369"/>
    </row>
    <row r="82" spans="20:45" x14ac:dyDescent="0.25"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L82" s="369"/>
      <c r="AM82" s="369"/>
      <c r="AN82" s="369"/>
      <c r="AO82" s="369"/>
      <c r="AP82" s="369"/>
      <c r="AQ82" s="369"/>
      <c r="AR82" s="369"/>
      <c r="AS82" s="369"/>
    </row>
    <row r="83" spans="20:45" x14ac:dyDescent="0.25"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L83" s="369"/>
      <c r="AM83" s="369"/>
      <c r="AN83" s="369"/>
      <c r="AO83" s="369"/>
      <c r="AP83" s="369"/>
      <c r="AQ83" s="369"/>
      <c r="AR83" s="369"/>
      <c r="AS83" s="369"/>
    </row>
    <row r="84" spans="20:45" x14ac:dyDescent="0.25"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L84" s="369"/>
      <c r="AM84" s="369"/>
      <c r="AN84" s="369"/>
      <c r="AO84" s="369"/>
      <c r="AP84" s="369"/>
      <c r="AQ84" s="369"/>
      <c r="AR84" s="369"/>
      <c r="AS84" s="369"/>
    </row>
    <row r="85" spans="20:45" x14ac:dyDescent="0.25"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L85" s="369"/>
      <c r="AM85" s="369"/>
      <c r="AN85" s="369"/>
      <c r="AO85" s="369"/>
      <c r="AP85" s="369"/>
      <c r="AQ85" s="369"/>
      <c r="AR85" s="369"/>
      <c r="AS85" s="369"/>
    </row>
    <row r="86" spans="20:45" x14ac:dyDescent="0.25"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L86" s="369"/>
      <c r="AM86" s="369"/>
      <c r="AN86" s="369"/>
      <c r="AO86" s="369"/>
      <c r="AP86" s="369"/>
      <c r="AQ86" s="369"/>
      <c r="AR86" s="369"/>
      <c r="AS86" s="369"/>
    </row>
    <row r="87" spans="20:45" x14ac:dyDescent="0.25"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L87" s="369"/>
      <c r="AM87" s="369"/>
      <c r="AN87" s="369"/>
      <c r="AO87" s="369"/>
      <c r="AP87" s="369"/>
      <c r="AQ87" s="369"/>
      <c r="AR87" s="369"/>
      <c r="AS87" s="369"/>
    </row>
    <row r="88" spans="20:45" x14ac:dyDescent="0.25"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L88" s="369"/>
      <c r="AM88" s="369"/>
      <c r="AN88" s="369"/>
      <c r="AO88" s="369"/>
      <c r="AP88" s="369"/>
      <c r="AQ88" s="369"/>
      <c r="AR88" s="369"/>
      <c r="AS88" s="369"/>
    </row>
    <row r="89" spans="20:45" x14ac:dyDescent="0.25"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L89" s="369"/>
      <c r="AM89" s="369"/>
      <c r="AN89" s="369"/>
      <c r="AO89" s="369"/>
      <c r="AP89" s="369"/>
      <c r="AQ89" s="369"/>
      <c r="AR89" s="369"/>
      <c r="AS89" s="369"/>
    </row>
    <row r="90" spans="20:45" x14ac:dyDescent="0.25"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L90" s="369"/>
      <c r="AM90" s="369"/>
      <c r="AN90" s="369"/>
      <c r="AO90" s="369"/>
      <c r="AP90" s="369"/>
      <c r="AQ90" s="369"/>
      <c r="AR90" s="369"/>
      <c r="AS90" s="369"/>
    </row>
    <row r="91" spans="20:45" x14ac:dyDescent="0.25"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L91" s="369"/>
      <c r="AM91" s="369"/>
      <c r="AN91" s="369"/>
      <c r="AO91" s="369"/>
      <c r="AP91" s="369"/>
      <c r="AQ91" s="369"/>
      <c r="AR91" s="369"/>
      <c r="AS91" s="369"/>
    </row>
    <row r="92" spans="20:45" x14ac:dyDescent="0.25"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L92" s="369"/>
      <c r="AM92" s="369"/>
      <c r="AN92" s="369"/>
      <c r="AO92" s="369"/>
      <c r="AP92" s="369"/>
      <c r="AQ92" s="369"/>
      <c r="AR92" s="369"/>
      <c r="AS92" s="369"/>
    </row>
    <row r="93" spans="20:45" x14ac:dyDescent="0.25"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L93" s="369"/>
      <c r="AM93" s="369"/>
      <c r="AN93" s="369"/>
      <c r="AO93" s="369"/>
      <c r="AP93" s="369"/>
      <c r="AQ93" s="369"/>
      <c r="AR93" s="369"/>
      <c r="AS93" s="369"/>
    </row>
    <row r="94" spans="20:45" x14ac:dyDescent="0.25"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L94" s="369"/>
      <c r="AM94" s="369"/>
      <c r="AN94" s="369"/>
      <c r="AO94" s="369"/>
      <c r="AP94" s="369"/>
      <c r="AQ94" s="369"/>
      <c r="AR94" s="369"/>
      <c r="AS94" s="369"/>
    </row>
    <row r="95" spans="20:45" x14ac:dyDescent="0.25"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L95" s="369"/>
      <c r="AM95" s="369"/>
      <c r="AN95" s="369"/>
      <c r="AO95" s="369"/>
      <c r="AP95" s="369"/>
      <c r="AQ95" s="369"/>
      <c r="AR95" s="369"/>
      <c r="AS95" s="369"/>
    </row>
    <row r="96" spans="20:45" x14ac:dyDescent="0.25"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L96" s="369"/>
      <c r="AM96" s="369"/>
      <c r="AN96" s="369"/>
      <c r="AO96" s="369"/>
      <c r="AP96" s="369"/>
      <c r="AQ96" s="369"/>
      <c r="AR96" s="369"/>
      <c r="AS96" s="369"/>
    </row>
    <row r="97" spans="20:45" x14ac:dyDescent="0.25"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L97" s="369"/>
      <c r="AM97" s="369"/>
      <c r="AN97" s="369"/>
      <c r="AO97" s="369"/>
      <c r="AP97" s="369"/>
      <c r="AQ97" s="369"/>
      <c r="AR97" s="369"/>
      <c r="AS97" s="369"/>
    </row>
    <row r="98" spans="20:45" x14ac:dyDescent="0.25"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L98" s="369"/>
      <c r="AM98" s="369"/>
      <c r="AN98" s="369"/>
      <c r="AO98" s="369"/>
      <c r="AP98" s="369"/>
      <c r="AQ98" s="369"/>
      <c r="AR98" s="369"/>
      <c r="AS98" s="369"/>
    </row>
    <row r="99" spans="20:45" x14ac:dyDescent="0.25"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L99" s="369"/>
      <c r="AM99" s="369"/>
      <c r="AN99" s="369"/>
      <c r="AO99" s="369"/>
      <c r="AP99" s="369"/>
      <c r="AQ99" s="369"/>
      <c r="AR99" s="369"/>
      <c r="AS99" s="369"/>
    </row>
    <row r="100" spans="20:45" x14ac:dyDescent="0.25"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L100" s="369"/>
      <c r="AM100" s="369"/>
      <c r="AN100" s="369"/>
      <c r="AO100" s="369"/>
      <c r="AP100" s="369"/>
      <c r="AQ100" s="369"/>
      <c r="AR100" s="369"/>
      <c r="AS100" s="369"/>
    </row>
    <row r="101" spans="20:45" x14ac:dyDescent="0.25"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L101" s="369"/>
      <c r="AM101" s="369"/>
      <c r="AN101" s="369"/>
      <c r="AO101" s="369"/>
      <c r="AP101" s="369"/>
      <c r="AQ101" s="369"/>
      <c r="AR101" s="369"/>
      <c r="AS101" s="369"/>
    </row>
    <row r="102" spans="20:45" x14ac:dyDescent="0.25"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L102" s="369"/>
      <c r="AM102" s="369"/>
      <c r="AN102" s="369"/>
      <c r="AO102" s="369"/>
      <c r="AP102" s="369"/>
      <c r="AQ102" s="369"/>
      <c r="AR102" s="369"/>
      <c r="AS102" s="369"/>
    </row>
    <row r="103" spans="20:45" x14ac:dyDescent="0.25"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L103" s="369"/>
      <c r="AM103" s="369"/>
      <c r="AN103" s="369"/>
      <c r="AO103" s="369"/>
      <c r="AP103" s="369"/>
      <c r="AQ103" s="369"/>
      <c r="AR103" s="369"/>
      <c r="AS103" s="369"/>
    </row>
    <row r="104" spans="20:45" x14ac:dyDescent="0.25"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L104" s="369"/>
      <c r="AM104" s="369"/>
      <c r="AN104" s="369"/>
      <c r="AO104" s="369"/>
      <c r="AP104" s="369"/>
      <c r="AQ104" s="369"/>
      <c r="AR104" s="369"/>
      <c r="AS104" s="369"/>
    </row>
    <row r="105" spans="20:45" x14ac:dyDescent="0.25"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L105" s="369"/>
      <c r="AM105" s="369"/>
      <c r="AN105" s="369"/>
      <c r="AO105" s="369"/>
      <c r="AP105" s="369"/>
      <c r="AQ105" s="369"/>
      <c r="AR105" s="369"/>
      <c r="AS105" s="369"/>
    </row>
    <row r="106" spans="20:45" x14ac:dyDescent="0.25"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L106" s="369"/>
      <c r="AM106" s="369"/>
      <c r="AN106" s="369"/>
      <c r="AO106" s="369"/>
      <c r="AP106" s="369"/>
      <c r="AQ106" s="369"/>
      <c r="AR106" s="369"/>
      <c r="AS106" s="369"/>
    </row>
    <row r="107" spans="20:45" x14ac:dyDescent="0.25"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L107" s="369"/>
      <c r="AM107" s="369"/>
      <c r="AN107" s="369"/>
      <c r="AO107" s="369"/>
      <c r="AP107" s="369"/>
      <c r="AQ107" s="369"/>
      <c r="AR107" s="369"/>
      <c r="AS107" s="369"/>
    </row>
    <row r="108" spans="20:45" x14ac:dyDescent="0.25"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L108" s="369"/>
      <c r="AM108" s="369"/>
      <c r="AN108" s="369"/>
      <c r="AO108" s="369"/>
      <c r="AP108" s="369"/>
      <c r="AQ108" s="369"/>
      <c r="AR108" s="369"/>
      <c r="AS108" s="369"/>
    </row>
    <row r="109" spans="20:45" x14ac:dyDescent="0.25"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L109" s="369"/>
      <c r="AM109" s="369"/>
      <c r="AN109" s="369"/>
      <c r="AO109" s="369"/>
      <c r="AP109" s="369"/>
      <c r="AQ109" s="369"/>
      <c r="AR109" s="369"/>
      <c r="AS109" s="369"/>
    </row>
    <row r="110" spans="20:45" x14ac:dyDescent="0.25"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L110" s="369"/>
      <c r="AM110" s="369"/>
      <c r="AN110" s="369"/>
      <c r="AO110" s="369"/>
      <c r="AP110" s="369"/>
      <c r="AQ110" s="369"/>
      <c r="AR110" s="369"/>
      <c r="AS110" s="369"/>
    </row>
    <row r="111" spans="20:45" x14ac:dyDescent="0.25"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L111" s="369"/>
      <c r="AM111" s="369"/>
      <c r="AN111" s="369"/>
      <c r="AO111" s="369"/>
      <c r="AP111" s="369"/>
      <c r="AQ111" s="369"/>
      <c r="AR111" s="369"/>
      <c r="AS111" s="369"/>
    </row>
    <row r="112" spans="20:45" x14ac:dyDescent="0.25"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L112" s="369"/>
      <c r="AM112" s="369"/>
      <c r="AN112" s="369"/>
      <c r="AO112" s="369"/>
      <c r="AP112" s="369"/>
      <c r="AQ112" s="369"/>
      <c r="AR112" s="369"/>
      <c r="AS112" s="369"/>
    </row>
    <row r="113" spans="20:45" x14ac:dyDescent="0.25"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L113" s="369"/>
      <c r="AM113" s="369"/>
      <c r="AN113" s="369"/>
      <c r="AO113" s="369"/>
      <c r="AP113" s="369"/>
      <c r="AQ113" s="369"/>
      <c r="AR113" s="369"/>
      <c r="AS113" s="369"/>
    </row>
    <row r="114" spans="20:45" x14ac:dyDescent="0.25"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L114" s="369"/>
      <c r="AM114" s="369"/>
      <c r="AN114" s="369"/>
      <c r="AO114" s="369"/>
      <c r="AP114" s="369"/>
      <c r="AQ114" s="369"/>
      <c r="AR114" s="369"/>
      <c r="AS114" s="369"/>
    </row>
    <row r="115" spans="20:45" x14ac:dyDescent="0.25"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L115" s="369"/>
      <c r="AM115" s="369"/>
      <c r="AN115" s="369"/>
      <c r="AO115" s="369"/>
      <c r="AP115" s="369"/>
      <c r="AQ115" s="369"/>
      <c r="AR115" s="369"/>
      <c r="AS115" s="369"/>
    </row>
    <row r="116" spans="20:45" x14ac:dyDescent="0.25"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L116" s="369"/>
      <c r="AM116" s="369"/>
      <c r="AN116" s="369"/>
      <c r="AO116" s="369"/>
      <c r="AP116" s="369"/>
      <c r="AQ116" s="369"/>
      <c r="AR116" s="369"/>
      <c r="AS116" s="369"/>
    </row>
    <row r="117" spans="20:45" x14ac:dyDescent="0.25"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L117" s="369"/>
      <c r="AM117" s="369"/>
      <c r="AN117" s="369"/>
      <c r="AO117" s="369"/>
      <c r="AP117" s="369"/>
      <c r="AQ117" s="369"/>
      <c r="AR117" s="369"/>
      <c r="AS117" s="369"/>
    </row>
    <row r="118" spans="20:45" x14ac:dyDescent="0.25"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L118" s="369"/>
      <c r="AM118" s="369"/>
      <c r="AN118" s="369"/>
      <c r="AO118" s="369"/>
      <c r="AP118" s="369"/>
      <c r="AQ118" s="369"/>
      <c r="AR118" s="369"/>
      <c r="AS118" s="369"/>
    </row>
    <row r="119" spans="20:45" x14ac:dyDescent="0.25"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L119" s="369"/>
      <c r="AM119" s="369"/>
      <c r="AN119" s="369"/>
      <c r="AO119" s="369"/>
      <c r="AP119" s="369"/>
      <c r="AQ119" s="369"/>
      <c r="AR119" s="369"/>
      <c r="AS119" s="369"/>
    </row>
    <row r="120" spans="20:45" x14ac:dyDescent="0.25"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L120" s="369"/>
      <c r="AM120" s="369"/>
      <c r="AN120" s="369"/>
      <c r="AO120" s="369"/>
      <c r="AP120" s="369"/>
      <c r="AQ120" s="369"/>
      <c r="AR120" s="369"/>
      <c r="AS120" s="369"/>
    </row>
    <row r="121" spans="20:45" x14ac:dyDescent="0.25"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L121" s="369"/>
      <c r="AM121" s="369"/>
      <c r="AN121" s="369"/>
      <c r="AO121" s="369"/>
      <c r="AP121" s="369"/>
      <c r="AQ121" s="369"/>
      <c r="AR121" s="369"/>
      <c r="AS121" s="369"/>
    </row>
    <row r="122" spans="20:45" x14ac:dyDescent="0.25"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L122" s="369"/>
      <c r="AM122" s="369"/>
      <c r="AN122" s="369"/>
      <c r="AO122" s="369"/>
      <c r="AP122" s="369"/>
      <c r="AQ122" s="369"/>
      <c r="AR122" s="369"/>
      <c r="AS122" s="369"/>
    </row>
    <row r="123" spans="20:45" x14ac:dyDescent="0.25"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L123" s="369"/>
      <c r="AM123" s="369"/>
      <c r="AN123" s="369"/>
      <c r="AO123" s="369"/>
      <c r="AP123" s="369"/>
      <c r="AQ123" s="369"/>
      <c r="AR123" s="369"/>
      <c r="AS123" s="369"/>
    </row>
    <row r="124" spans="20:45" x14ac:dyDescent="0.25"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L124" s="369"/>
      <c r="AM124" s="369"/>
      <c r="AN124" s="369"/>
      <c r="AO124" s="369"/>
      <c r="AP124" s="369"/>
      <c r="AQ124" s="369"/>
      <c r="AR124" s="369"/>
      <c r="AS124" s="369"/>
    </row>
    <row r="125" spans="20:45" x14ac:dyDescent="0.25"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L125" s="369"/>
      <c r="AM125" s="369"/>
      <c r="AN125" s="369"/>
      <c r="AO125" s="369"/>
      <c r="AP125" s="369"/>
      <c r="AQ125" s="369"/>
      <c r="AR125" s="369"/>
      <c r="AS125" s="369"/>
    </row>
    <row r="126" spans="20:45" x14ac:dyDescent="0.25"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L126" s="369"/>
      <c r="AM126" s="369"/>
      <c r="AN126" s="369"/>
      <c r="AO126" s="369"/>
      <c r="AP126" s="369"/>
      <c r="AQ126" s="369"/>
      <c r="AR126" s="369"/>
      <c r="AS126" s="369"/>
    </row>
    <row r="127" spans="20:45" x14ac:dyDescent="0.25"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L127" s="369"/>
      <c r="AM127" s="369"/>
      <c r="AN127" s="369"/>
      <c r="AO127" s="369"/>
      <c r="AP127" s="369"/>
      <c r="AQ127" s="369"/>
      <c r="AR127" s="369"/>
      <c r="AS127" s="369"/>
    </row>
    <row r="128" spans="20:45" x14ac:dyDescent="0.25">
      <c r="T128" s="369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L128" s="369"/>
      <c r="AM128" s="369"/>
      <c r="AN128" s="369"/>
      <c r="AO128" s="369"/>
      <c r="AP128" s="369"/>
      <c r="AQ128" s="369"/>
      <c r="AR128" s="369"/>
      <c r="AS128" s="369"/>
    </row>
    <row r="129" spans="20:45" x14ac:dyDescent="0.25"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L129" s="369"/>
      <c r="AM129" s="369"/>
      <c r="AN129" s="369"/>
      <c r="AO129" s="369"/>
      <c r="AP129" s="369"/>
      <c r="AQ129" s="369"/>
      <c r="AR129" s="369"/>
      <c r="AS129" s="369"/>
    </row>
    <row r="130" spans="20:45" x14ac:dyDescent="0.25"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L130" s="369"/>
      <c r="AM130" s="369"/>
      <c r="AN130" s="369"/>
      <c r="AO130" s="369"/>
      <c r="AP130" s="369"/>
      <c r="AQ130" s="369"/>
      <c r="AR130" s="369"/>
      <c r="AS130" s="369"/>
    </row>
    <row r="131" spans="20:45" x14ac:dyDescent="0.25"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L131" s="369"/>
      <c r="AM131" s="369"/>
      <c r="AN131" s="369"/>
      <c r="AO131" s="369"/>
      <c r="AP131" s="369"/>
      <c r="AQ131" s="369"/>
      <c r="AR131" s="369"/>
      <c r="AS131" s="369"/>
    </row>
    <row r="132" spans="20:45" x14ac:dyDescent="0.25">
      <c r="T132" s="369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L132" s="369"/>
      <c r="AM132" s="369"/>
      <c r="AN132" s="369"/>
      <c r="AO132" s="369"/>
      <c r="AP132" s="369"/>
      <c r="AQ132" s="369"/>
      <c r="AR132" s="369"/>
      <c r="AS132" s="369"/>
    </row>
    <row r="133" spans="20:45" x14ac:dyDescent="0.25"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L133" s="369"/>
      <c r="AM133" s="369"/>
      <c r="AN133" s="369"/>
      <c r="AO133" s="369"/>
      <c r="AP133" s="369"/>
      <c r="AQ133" s="369"/>
      <c r="AR133" s="369"/>
      <c r="AS133" s="369"/>
    </row>
    <row r="134" spans="20:45" x14ac:dyDescent="0.25"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L134" s="369"/>
      <c r="AM134" s="369"/>
      <c r="AN134" s="369"/>
      <c r="AO134" s="369"/>
      <c r="AP134" s="369"/>
      <c r="AQ134" s="369"/>
      <c r="AR134" s="369"/>
      <c r="AS134" s="369"/>
    </row>
    <row r="135" spans="20:45" x14ac:dyDescent="0.25"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L135" s="369"/>
      <c r="AM135" s="369"/>
      <c r="AN135" s="369"/>
      <c r="AO135" s="369"/>
      <c r="AP135" s="369"/>
      <c r="AQ135" s="369"/>
      <c r="AR135" s="369"/>
      <c r="AS135" s="369"/>
    </row>
    <row r="136" spans="20:45" x14ac:dyDescent="0.25"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L136" s="369"/>
      <c r="AM136" s="369"/>
      <c r="AN136" s="369"/>
      <c r="AO136" s="369"/>
      <c r="AP136" s="369"/>
      <c r="AQ136" s="369"/>
      <c r="AR136" s="369"/>
      <c r="AS136" s="369"/>
    </row>
    <row r="137" spans="20:45" x14ac:dyDescent="0.25"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L137" s="369"/>
      <c r="AM137" s="369"/>
      <c r="AN137" s="369"/>
      <c r="AO137" s="369"/>
      <c r="AP137" s="369"/>
      <c r="AQ137" s="369"/>
      <c r="AR137" s="369"/>
      <c r="AS137" s="369"/>
    </row>
    <row r="138" spans="20:45" x14ac:dyDescent="0.25"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L138" s="369"/>
      <c r="AM138" s="369"/>
      <c r="AN138" s="369"/>
      <c r="AO138" s="369"/>
      <c r="AP138" s="369"/>
      <c r="AQ138" s="369"/>
      <c r="AR138" s="369"/>
      <c r="AS138" s="369"/>
    </row>
    <row r="139" spans="20:45" x14ac:dyDescent="0.25"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L139" s="369"/>
      <c r="AM139" s="369"/>
      <c r="AN139" s="369"/>
      <c r="AO139" s="369"/>
      <c r="AP139" s="369"/>
      <c r="AQ139" s="369"/>
      <c r="AR139" s="369"/>
      <c r="AS139" s="369"/>
    </row>
    <row r="140" spans="20:45" x14ac:dyDescent="0.25"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L140" s="369"/>
      <c r="AM140" s="369"/>
      <c r="AN140" s="369"/>
      <c r="AO140" s="369"/>
      <c r="AP140" s="369"/>
      <c r="AQ140" s="369"/>
      <c r="AR140" s="369"/>
      <c r="AS140" s="369"/>
    </row>
  </sheetData>
  <mergeCells count="1">
    <mergeCell ref="A4:C4"/>
  </mergeCells>
  <conditionalFormatting sqref="B22 B24 B26 B28 B30 B32 B34 B36 B38 B40 B42 B44 B46 B48 B50 B52">
    <cfRule type="cellIs" dxfId="134" priority="13" stopIfTrue="1" operator="equal">
      <formula>"QA"</formula>
    </cfRule>
    <cfRule type="cellIs" dxfId="133" priority="14" stopIfTrue="1" operator="equal">
      <formula>"DA"</formula>
    </cfRule>
  </conditionalFormatting>
  <conditionalFormatting sqref="E7 E21">
    <cfRule type="expression" dxfId="132" priority="16" stopIfTrue="1">
      <formula>$E7&lt;5</formula>
    </cfRule>
  </conditionalFormatting>
  <conditionalFormatting sqref="E22 E24 E26 E28 E30 E32 E34 E36 E38 E40 E42 E44 E46 E48 E50 E52">
    <cfRule type="expression" dxfId="131" priority="8" stopIfTrue="1">
      <formula>AND($E22&lt;9,$C22&gt;0)</formula>
    </cfRule>
  </conditionalFormatting>
  <conditionalFormatting sqref="F7 F9 F11 F13 F15 F17 F19">
    <cfRule type="cellIs" dxfId="130" priority="17" stopIfTrue="1" operator="equal">
      <formula>"Bye"</formula>
    </cfRule>
  </conditionalFormatting>
  <conditionalFormatting sqref="F21:F22 F24 F26 F28 F30 F32 F34 F36 F38 F40 F42 F44 F46 F48 F50">
    <cfRule type="cellIs" dxfId="129" priority="9" stopIfTrue="1" operator="equal">
      <formula>"Bye"</formula>
    </cfRule>
  </conditionalFormatting>
  <conditionalFormatting sqref="F22 F24 F26 F28 F30 F32 F34 F36 F38 F40 F42 F44 F46 F48 F50">
    <cfRule type="expression" dxfId="128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27" priority="4" stopIfTrue="1">
      <formula>AND($E7&lt;9,$C7&gt;0)</formula>
    </cfRule>
  </conditionalFormatting>
  <conditionalFormatting sqref="I8 K10 I12 M14 I16 K18 I20 I23 K25 I27 M29 I31 K33 I35 I39 K41 I43 M45 I47 K49 I51">
    <cfRule type="expression" dxfId="126" priority="5" stopIfTrue="1">
      <formula>AND($O$1="CU",I8="Umpire")</formula>
    </cfRule>
    <cfRule type="expression" dxfId="125" priority="6" stopIfTrue="1">
      <formula>AND($O$1="CU",I8&lt;&gt;"Umpire",J8&lt;&gt;"")</formula>
    </cfRule>
    <cfRule type="expression" dxfId="124" priority="7" stopIfTrue="1">
      <formula>AND($O$1="CU",I8&lt;&gt;"Umpire")</formula>
    </cfRule>
  </conditionalFormatting>
  <conditionalFormatting sqref="J8 L10 J12 N14 J16 L18 J20 R62">
    <cfRule type="expression" dxfId="123" priority="15" stopIfTrue="1">
      <formula>$O$1="CU"</formula>
    </cfRule>
  </conditionalFormatting>
  <conditionalFormatting sqref="K8 M10 K12 O14 K16 M18 K20 K23 M25 K27 O29 K31 M33 K35 K39 M41 K43 O45 K47 M49 K51">
    <cfRule type="expression" dxfId="122" priority="11" stopIfTrue="1">
      <formula>J8="as"</formula>
    </cfRule>
    <cfRule type="expression" dxfId="121" priority="12" stopIfTrue="1">
      <formula>J8="bs"</formula>
    </cfRule>
  </conditionalFormatting>
  <conditionalFormatting sqref="O16">
    <cfRule type="expression" dxfId="120" priority="1" stopIfTrue="1">
      <formula>AND($O$1="CU",O16="Umpire")</formula>
    </cfRule>
    <cfRule type="expression" dxfId="119" priority="2" stopIfTrue="1">
      <formula>AND($O$1="CU",O16&lt;&gt;"Umpire",P16&lt;&gt;"")</formula>
    </cfRule>
    <cfRule type="expression" dxfId="118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B6A6D7BF-1DE4-453A-BA2A-8D50BA6203D2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4560A-4A82-4D2B-AE9A-EC33B9B8D31E}">
  <sheetPr>
    <tabColor indexed="11"/>
  </sheetPr>
  <dimension ref="A1:AS140"/>
  <sheetViews>
    <sheetView workbookViewId="0">
      <selection activeCell="F12" sqref="F12"/>
    </sheetView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33203125" style="287" customWidth="1"/>
    <col min="5" max="5" width="4.33203125" style="287" customWidth="1"/>
    <col min="6" max="6" width="17" style="287" customWidth="1"/>
    <col min="7" max="7" width="2.6640625" style="287" customWidth="1"/>
    <col min="8" max="8" width="24.77734375" style="287" bestFit="1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27" width="0" style="287" hidden="1" customWidth="1"/>
    <col min="28" max="28" width="10.33203125" style="287" hidden="1" customWidth="1"/>
    <col min="29" max="34" width="0" style="287" hidden="1" customWidth="1"/>
    <col min="35" max="37" width="9.109375" style="369" customWidth="1"/>
    <col min="38" max="16384" width="8.77734375" style="287"/>
  </cols>
  <sheetData>
    <row r="1" spans="1:45" s="209" customFormat="1" ht="21.75" customHeight="1" x14ac:dyDescent="0.25">
      <c r="A1" s="202" t="str">
        <f>[7]Altalanos!$A$6</f>
        <v>OB</v>
      </c>
      <c r="B1" s="202"/>
      <c r="C1" s="203"/>
      <c r="D1" s="203"/>
      <c r="E1" s="203"/>
      <c r="F1" s="203"/>
      <c r="G1" s="203"/>
      <c r="H1" s="202"/>
      <c r="I1" s="204"/>
      <c r="J1" s="205"/>
      <c r="K1" s="206" t="s">
        <v>33</v>
      </c>
      <c r="L1" s="207"/>
      <c r="M1" s="208"/>
      <c r="N1" s="205"/>
      <c r="O1" s="205" t="s">
        <v>9</v>
      </c>
      <c r="P1" s="205"/>
      <c r="Q1" s="203"/>
      <c r="R1" s="205"/>
      <c r="T1" s="210"/>
      <c r="U1" s="210"/>
      <c r="V1" s="210"/>
      <c r="W1" s="210"/>
      <c r="X1" s="210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  <c r="AI1" s="212"/>
      <c r="AJ1" s="212"/>
      <c r="AK1" s="212"/>
    </row>
    <row r="2" spans="1:45" s="218" customFormat="1" x14ac:dyDescent="0.25">
      <c r="A2" s="213" t="s">
        <v>32</v>
      </c>
      <c r="B2" s="214"/>
      <c r="C2" s="214"/>
      <c r="D2" s="214"/>
      <c r="E2" s="214">
        <f>[7]Altalanos!$A$8</f>
        <v>0</v>
      </c>
      <c r="F2" s="214"/>
      <c r="G2" s="215"/>
      <c r="H2" s="216"/>
      <c r="I2" s="216"/>
      <c r="J2" s="217"/>
      <c r="K2" s="207"/>
      <c r="L2" s="207"/>
      <c r="M2" s="207"/>
      <c r="N2" s="217"/>
      <c r="O2" s="216"/>
      <c r="P2" s="217"/>
      <c r="Q2" s="216"/>
      <c r="R2" s="217"/>
      <c r="T2" s="219"/>
      <c r="U2" s="219"/>
      <c r="V2" s="219"/>
      <c r="W2" s="219"/>
      <c r="X2" s="219"/>
      <c r="Y2" s="220"/>
      <c r="Z2" s="221"/>
      <c r="AA2" s="221" t="s">
        <v>43</v>
      </c>
      <c r="AB2" s="222">
        <v>300</v>
      </c>
      <c r="AC2" s="222">
        <v>250</v>
      </c>
      <c r="AD2" s="222">
        <v>200</v>
      </c>
      <c r="AE2" s="222">
        <v>150</v>
      </c>
      <c r="AF2" s="222">
        <v>120</v>
      </c>
      <c r="AG2" s="222">
        <v>90</v>
      </c>
      <c r="AH2" s="222">
        <v>40</v>
      </c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</row>
    <row r="3" spans="1:45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T3" s="227"/>
      <c r="U3" s="227"/>
      <c r="V3" s="227"/>
      <c r="W3" s="227"/>
      <c r="X3" s="227"/>
      <c r="Y3" s="221" t="str">
        <f>IF(K4="OB","A",IF(K4="IX","W",IF(K4="","",K4)))</f>
        <v/>
      </c>
      <c r="Z3" s="221"/>
      <c r="AA3" s="221" t="s">
        <v>44</v>
      </c>
      <c r="AB3" s="222">
        <v>280</v>
      </c>
      <c r="AC3" s="222">
        <v>230</v>
      </c>
      <c r="AD3" s="222">
        <v>180</v>
      </c>
      <c r="AE3" s="222">
        <v>140</v>
      </c>
      <c r="AF3" s="222">
        <v>80</v>
      </c>
      <c r="AG3" s="222">
        <v>0</v>
      </c>
      <c r="AH3" s="222">
        <v>0</v>
      </c>
      <c r="AI3" s="219"/>
      <c r="AJ3" s="219"/>
      <c r="AK3" s="219"/>
      <c r="AL3" s="227"/>
      <c r="AM3" s="227"/>
      <c r="AN3" s="227"/>
      <c r="AO3" s="227"/>
      <c r="AP3" s="227"/>
      <c r="AQ3" s="227"/>
      <c r="AR3" s="227"/>
      <c r="AS3" s="227"/>
    </row>
    <row r="4" spans="1:45" s="234" customFormat="1" ht="11.25" customHeight="1" thickBot="1" x14ac:dyDescent="0.3">
      <c r="A4" s="551">
        <f>[7]Altalanos!$A$10</f>
        <v>0</v>
      </c>
      <c r="B4" s="551"/>
      <c r="C4" s="551"/>
      <c r="D4" s="228"/>
      <c r="E4" s="229"/>
      <c r="F4" s="229"/>
      <c r="G4" s="229">
        <f>[7]Altalanos!$C$10</f>
        <v>0</v>
      </c>
      <c r="H4" s="230"/>
      <c r="I4" s="229"/>
      <c r="J4" s="231"/>
      <c r="K4" s="136"/>
      <c r="L4" s="231"/>
      <c r="M4" s="232"/>
      <c r="N4" s="231"/>
      <c r="O4" s="229"/>
      <c r="P4" s="231"/>
      <c r="Q4" s="229"/>
      <c r="R4" s="233">
        <f>[7]Altalanos!$E$10</f>
        <v>0</v>
      </c>
      <c r="T4" s="235"/>
      <c r="U4" s="235"/>
      <c r="V4" s="235"/>
      <c r="W4" s="235"/>
      <c r="X4" s="235"/>
      <c r="Y4" s="221"/>
      <c r="Z4" s="221"/>
      <c r="AA4" s="221" t="s">
        <v>67</v>
      </c>
      <c r="AB4" s="222">
        <v>250</v>
      </c>
      <c r="AC4" s="222">
        <v>200</v>
      </c>
      <c r="AD4" s="222">
        <v>150</v>
      </c>
      <c r="AE4" s="222">
        <v>120</v>
      </c>
      <c r="AF4" s="222">
        <v>90</v>
      </c>
      <c r="AG4" s="222">
        <v>60</v>
      </c>
      <c r="AH4" s="222">
        <v>25</v>
      </c>
      <c r="AI4" s="219"/>
      <c r="AJ4" s="219"/>
      <c r="AK4" s="219"/>
      <c r="AL4" s="235"/>
      <c r="AM4" s="235"/>
      <c r="AN4" s="235"/>
      <c r="AO4" s="235"/>
      <c r="AP4" s="235"/>
      <c r="AQ4" s="235"/>
      <c r="AR4" s="235"/>
      <c r="AS4" s="235"/>
    </row>
    <row r="5" spans="1:45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97</v>
      </c>
      <c r="N5" s="240"/>
      <c r="O5" s="237" t="s">
        <v>98</v>
      </c>
      <c r="P5" s="240"/>
      <c r="Q5" s="237"/>
      <c r="R5" s="241"/>
      <c r="T5" s="227"/>
      <c r="U5" s="227"/>
      <c r="V5" s="227"/>
      <c r="W5" s="227"/>
      <c r="X5" s="227"/>
      <c r="Y5" s="221">
        <f>IF(OR([7]Altalanos!$A$8="F1",[7]Altalanos!$A$8="F2",[7]Altalanos!$A$8="N1",[7]Altalanos!$A$8="N2"),1,2)</f>
        <v>2</v>
      </c>
      <c r="Z5" s="221"/>
      <c r="AA5" s="221" t="s">
        <v>68</v>
      </c>
      <c r="AB5" s="222">
        <v>200</v>
      </c>
      <c r="AC5" s="222">
        <v>150</v>
      </c>
      <c r="AD5" s="222">
        <v>120</v>
      </c>
      <c r="AE5" s="222">
        <v>90</v>
      </c>
      <c r="AF5" s="222">
        <v>60</v>
      </c>
      <c r="AG5" s="222">
        <v>40</v>
      </c>
      <c r="AH5" s="222">
        <v>15</v>
      </c>
      <c r="AI5" s="219"/>
      <c r="AJ5" s="219"/>
      <c r="AK5" s="219"/>
      <c r="AL5" s="227"/>
      <c r="AM5" s="227"/>
      <c r="AN5" s="227"/>
      <c r="AO5" s="227"/>
      <c r="AP5" s="227"/>
      <c r="AQ5" s="227"/>
      <c r="AR5" s="227"/>
      <c r="AS5" s="227"/>
    </row>
    <row r="6" spans="1:45" s="248" customFormat="1" ht="10.95" customHeight="1" thickBot="1" x14ac:dyDescent="0.3">
      <c r="A6" s="242"/>
      <c r="B6" s="243"/>
      <c r="C6" s="243"/>
      <c r="D6" s="243"/>
      <c r="E6" s="243"/>
      <c r="F6" s="242" t="str">
        <f>IF(Y3="","",CONCATENATE(VLOOKUP(Y3,AB1:AH1,4)," pont"))</f>
        <v/>
      </c>
      <c r="G6" s="244"/>
      <c r="H6" s="245"/>
      <c r="I6" s="244"/>
      <c r="J6" s="246"/>
      <c r="K6" s="243" t="str">
        <f>IF(Y3="","",CONCATENATE(VLOOKUP(Y3,AB1:AH1,3)," pont"))</f>
        <v/>
      </c>
      <c r="L6" s="246"/>
      <c r="M6" s="243" t="str">
        <f>IF(Y3="","",CONCATENATE(VLOOKUP(Y3,AB1:AH1,2)," pont"))</f>
        <v/>
      </c>
      <c r="N6" s="246"/>
      <c r="O6" s="243" t="str">
        <f>IF(Y3="","",CONCATENATE(VLOOKUP(Y3,AB1:AH1,1)," pont"))</f>
        <v/>
      </c>
      <c r="P6" s="246"/>
      <c r="Q6" s="243"/>
      <c r="R6" s="247"/>
      <c r="T6" s="249"/>
      <c r="U6" s="249"/>
      <c r="V6" s="249"/>
      <c r="W6" s="249"/>
      <c r="X6" s="249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252"/>
      <c r="AJ6" s="252"/>
      <c r="AK6" s="252"/>
      <c r="AL6" s="249"/>
      <c r="AM6" s="249"/>
      <c r="AN6" s="249"/>
      <c r="AO6" s="249"/>
      <c r="AP6" s="249"/>
      <c r="AQ6" s="249"/>
      <c r="AR6" s="249"/>
      <c r="AS6" s="249"/>
    </row>
    <row r="7" spans="1:45" s="266" customFormat="1" ht="13.05" customHeight="1" x14ac:dyDescent="0.25">
      <c r="A7" s="253">
        <v>1</v>
      </c>
      <c r="B7" s="254" t="str">
        <f>IF($E7="","",VLOOKUP($E7,'[7]1MD ELO'!$A$7:$O$22,14))</f>
        <v/>
      </c>
      <c r="C7" s="255" t="str">
        <f>IF($E7="","",VLOOKUP($E7,'[7]1MD ELO'!$A$7:$O$22,15))</f>
        <v/>
      </c>
      <c r="D7" s="255" t="str">
        <f>IF($E7="","",VLOOKUP($E7,'[7]1MD ELO'!$A$7:$O$22,5))</f>
        <v/>
      </c>
      <c r="E7" s="256"/>
      <c r="F7" s="257" t="s">
        <v>125</v>
      </c>
      <c r="G7" s="257" t="str">
        <f>IF($E7="","",VLOOKUP($E7,'[7]1MD ELO'!$A$7:$O$22,3))</f>
        <v/>
      </c>
      <c r="H7" s="287" t="s">
        <v>109</v>
      </c>
      <c r="I7" s="257" t="str">
        <f>IF($E7="","",VLOOKUP($E7,'[7]1MD ELO'!$A$7:$O$22,4))</f>
        <v/>
      </c>
      <c r="J7" s="258"/>
      <c r="K7" s="259"/>
      <c r="L7" s="259"/>
      <c r="M7" s="259"/>
      <c r="N7" s="259"/>
      <c r="O7" s="260"/>
      <c r="P7" s="261"/>
      <c r="Q7" s="262"/>
      <c r="R7" s="263"/>
      <c r="S7" s="264"/>
      <c r="T7" s="264"/>
      <c r="U7" s="265" t="str">
        <f>[7]Birók!P21</f>
        <v>Bíró</v>
      </c>
      <c r="V7" s="264"/>
      <c r="W7" s="264"/>
      <c r="X7" s="264"/>
      <c r="Y7" s="221"/>
      <c r="Z7" s="221"/>
      <c r="AA7" s="221" t="s">
        <v>70</v>
      </c>
      <c r="AB7" s="222">
        <v>120</v>
      </c>
      <c r="AC7" s="222">
        <v>90</v>
      </c>
      <c r="AD7" s="222">
        <v>60</v>
      </c>
      <c r="AE7" s="222">
        <v>40</v>
      </c>
      <c r="AF7" s="222">
        <v>25</v>
      </c>
      <c r="AG7" s="222">
        <v>10</v>
      </c>
      <c r="AH7" s="222">
        <v>5</v>
      </c>
      <c r="AI7" s="219"/>
      <c r="AJ7" s="219"/>
      <c r="AK7" s="219"/>
      <c r="AL7" s="264"/>
      <c r="AM7" s="264"/>
      <c r="AN7" s="264"/>
      <c r="AO7" s="264"/>
      <c r="AP7" s="264"/>
      <c r="AQ7" s="264"/>
      <c r="AR7" s="264"/>
      <c r="AS7" s="264"/>
    </row>
    <row r="8" spans="1:45" s="266" customFormat="1" ht="13.05" customHeight="1" x14ac:dyDescent="0.25">
      <c r="A8" s="267"/>
      <c r="B8" s="268"/>
      <c r="C8" s="269"/>
      <c r="D8" s="269"/>
      <c r="E8" s="270"/>
      <c r="F8" s="271"/>
      <c r="G8" s="271"/>
      <c r="H8" s="272"/>
      <c r="I8" s="273" t="s">
        <v>99</v>
      </c>
      <c r="J8" s="274"/>
      <c r="K8" s="275" t="str">
        <f>UPPER(IF(OR(J8="a",J8="as"),F7,IF(OR(J8="b",J8="bs"),F9,)))</f>
        <v/>
      </c>
      <c r="L8" s="275"/>
      <c r="M8" s="259"/>
      <c r="N8" s="259"/>
      <c r="O8" s="260"/>
      <c r="P8" s="261"/>
      <c r="Q8" s="262"/>
      <c r="R8" s="263"/>
      <c r="S8" s="264"/>
      <c r="T8" s="264"/>
      <c r="U8" s="276" t="str">
        <f>[7]Birók!P22</f>
        <v xml:space="preserve"> </v>
      </c>
      <c r="V8" s="264"/>
      <c r="W8" s="264"/>
      <c r="X8" s="264"/>
      <c r="Y8" s="221"/>
      <c r="Z8" s="221"/>
      <c r="AA8" s="221" t="s">
        <v>71</v>
      </c>
      <c r="AB8" s="222">
        <v>90</v>
      </c>
      <c r="AC8" s="222">
        <v>60</v>
      </c>
      <c r="AD8" s="222">
        <v>40</v>
      </c>
      <c r="AE8" s="222">
        <v>25</v>
      </c>
      <c r="AF8" s="222">
        <v>10</v>
      </c>
      <c r="AG8" s="222">
        <v>5</v>
      </c>
      <c r="AH8" s="222">
        <v>2</v>
      </c>
      <c r="AI8" s="219"/>
      <c r="AJ8" s="219"/>
      <c r="AK8" s="219"/>
      <c r="AL8" s="264"/>
      <c r="AM8" s="264"/>
      <c r="AN8" s="264"/>
      <c r="AO8" s="264"/>
      <c r="AP8" s="264"/>
      <c r="AQ8" s="264"/>
      <c r="AR8" s="264"/>
      <c r="AS8" s="264"/>
    </row>
    <row r="9" spans="1:45" s="266" customFormat="1" ht="13.05" customHeight="1" x14ac:dyDescent="0.25">
      <c r="A9" s="267">
        <v>2</v>
      </c>
      <c r="B9" s="254" t="str">
        <f>IF($E9="","",VLOOKUP($E9,'[7]1MD ELO'!$A$7:$O$22,14))</f>
        <v/>
      </c>
      <c r="C9" s="255" t="str">
        <f>IF($E9="","",VLOOKUP($E9,'[7]1MD ELO'!$A$7:$O$22,15))</f>
        <v/>
      </c>
      <c r="D9" s="255" t="str">
        <f>IF($E9="","",VLOOKUP($E9,'[7]1MD ELO'!$A$7:$O$22,5))</f>
        <v/>
      </c>
      <c r="E9" s="277"/>
      <c r="F9" s="278" t="s">
        <v>126</v>
      </c>
      <c r="G9" s="278" t="str">
        <f>IF($E9="","",VLOOKUP($E9,'[7]1MD ELO'!$A$7:$O$22,3))</f>
        <v/>
      </c>
      <c r="H9" s="287" t="s">
        <v>115</v>
      </c>
      <c r="I9" s="278" t="str">
        <f>IF($E9="","",VLOOKUP($E9,'[7]1MD ELO'!$A$7:$O$22,4))</f>
        <v/>
      </c>
      <c r="J9" s="279"/>
      <c r="K9" s="259"/>
      <c r="L9" s="280"/>
      <c r="M9" s="259"/>
      <c r="N9" s="259"/>
      <c r="O9" s="260"/>
      <c r="P9" s="261"/>
      <c r="Q9" s="262"/>
      <c r="R9" s="263"/>
      <c r="S9" s="264"/>
      <c r="T9" s="264"/>
      <c r="U9" s="276" t="str">
        <f>[7]Birók!P23</f>
        <v xml:space="preserve"> </v>
      </c>
      <c r="V9" s="264"/>
      <c r="W9" s="264"/>
      <c r="X9" s="264"/>
      <c r="Y9" s="221"/>
      <c r="Z9" s="221"/>
      <c r="AA9" s="221" t="s">
        <v>72</v>
      </c>
      <c r="AB9" s="222">
        <v>60</v>
      </c>
      <c r="AC9" s="222">
        <v>40</v>
      </c>
      <c r="AD9" s="222">
        <v>25</v>
      </c>
      <c r="AE9" s="222">
        <v>10</v>
      </c>
      <c r="AF9" s="222">
        <v>5</v>
      </c>
      <c r="AG9" s="222">
        <v>2</v>
      </c>
      <c r="AH9" s="222">
        <v>1</v>
      </c>
      <c r="AI9" s="219"/>
      <c r="AJ9" s="219"/>
      <c r="AK9" s="219"/>
      <c r="AL9" s="264"/>
      <c r="AM9" s="264"/>
      <c r="AN9" s="264"/>
      <c r="AO9" s="264"/>
      <c r="AP9" s="264"/>
      <c r="AQ9" s="264"/>
      <c r="AR9" s="264"/>
      <c r="AS9" s="264"/>
    </row>
    <row r="10" spans="1:45" s="266" customFormat="1" ht="13.05" customHeight="1" x14ac:dyDescent="0.25">
      <c r="A10" s="267"/>
      <c r="B10" s="268"/>
      <c r="C10" s="269"/>
      <c r="D10" s="269"/>
      <c r="E10" s="281"/>
      <c r="F10" s="271"/>
      <c r="G10" s="271"/>
      <c r="H10" s="272"/>
      <c r="I10" s="271"/>
      <c r="J10" s="282"/>
      <c r="K10" s="273" t="s">
        <v>99</v>
      </c>
      <c r="L10" s="283"/>
      <c r="M10" s="275"/>
      <c r="N10" s="284"/>
      <c r="O10" s="285"/>
      <c r="P10" s="285"/>
      <c r="Q10" s="262"/>
      <c r="R10" s="263"/>
      <c r="S10" s="264"/>
      <c r="T10" s="264"/>
      <c r="U10" s="276" t="str">
        <f>[7]Birók!P24</f>
        <v xml:space="preserve"> </v>
      </c>
      <c r="V10" s="264"/>
      <c r="W10" s="264"/>
      <c r="X10" s="264"/>
      <c r="Y10" s="221"/>
      <c r="Z10" s="221"/>
      <c r="AA10" s="221" t="s">
        <v>73</v>
      </c>
      <c r="AB10" s="222">
        <v>40</v>
      </c>
      <c r="AC10" s="222">
        <v>25</v>
      </c>
      <c r="AD10" s="222">
        <v>15</v>
      </c>
      <c r="AE10" s="222">
        <v>7</v>
      </c>
      <c r="AF10" s="222">
        <v>4</v>
      </c>
      <c r="AG10" s="222">
        <v>1</v>
      </c>
      <c r="AH10" s="222">
        <v>0</v>
      </c>
      <c r="AI10" s="219"/>
      <c r="AJ10" s="219"/>
      <c r="AK10" s="219"/>
      <c r="AL10" s="264"/>
      <c r="AM10" s="264"/>
      <c r="AN10" s="264"/>
      <c r="AO10" s="264"/>
      <c r="AP10" s="264"/>
      <c r="AQ10" s="264"/>
      <c r="AR10" s="264"/>
      <c r="AS10" s="264"/>
    </row>
    <row r="11" spans="1:45" s="266" customFormat="1" ht="13.05" customHeight="1" x14ac:dyDescent="0.25">
      <c r="A11" s="267">
        <v>3</v>
      </c>
      <c r="B11" s="254" t="str">
        <f>IF($E11="","",VLOOKUP($E11,'[7]1MD ELO'!$A$7:$O$22,14))</f>
        <v/>
      </c>
      <c r="C11" s="255" t="str">
        <f>IF($E11="","",VLOOKUP($E11,'[7]1MD ELO'!$A$7:$O$22,15))</f>
        <v/>
      </c>
      <c r="D11" s="255" t="str">
        <f>IF($E11="","",VLOOKUP($E11,'[7]1MD ELO'!$A$7:$O$22,5))</f>
        <v/>
      </c>
      <c r="E11" s="277"/>
      <c r="F11" s="278" t="s">
        <v>127</v>
      </c>
      <c r="G11" s="278" t="str">
        <f>IF($E11="","",VLOOKUP($E11,'[7]1MD ELO'!$A$7:$O$22,3))</f>
        <v/>
      </c>
      <c r="H11" s="287" t="s">
        <v>113</v>
      </c>
      <c r="I11" s="278" t="str">
        <f>IF($E11="","",VLOOKUP($E11,'[7]1MD ELO'!$A$7:$O$22,4))</f>
        <v/>
      </c>
      <c r="J11" s="258"/>
      <c r="K11" s="259"/>
      <c r="L11" s="286"/>
      <c r="M11" s="259"/>
      <c r="N11" s="288"/>
      <c r="O11" s="285"/>
      <c r="P11" s="285"/>
      <c r="Q11" s="262"/>
      <c r="R11" s="263"/>
      <c r="S11" s="264"/>
      <c r="T11" s="264"/>
      <c r="U11" s="276" t="str">
        <f>[7]Birók!P25</f>
        <v xml:space="preserve"> </v>
      </c>
      <c r="V11" s="264"/>
      <c r="W11" s="264"/>
      <c r="X11" s="264"/>
      <c r="Y11" s="221"/>
      <c r="Z11" s="221"/>
      <c r="AA11" s="221" t="s">
        <v>74</v>
      </c>
      <c r="AB11" s="222">
        <v>25</v>
      </c>
      <c r="AC11" s="222">
        <v>15</v>
      </c>
      <c r="AD11" s="222">
        <v>10</v>
      </c>
      <c r="AE11" s="222">
        <v>6</v>
      </c>
      <c r="AF11" s="222">
        <v>3</v>
      </c>
      <c r="AG11" s="222">
        <v>1</v>
      </c>
      <c r="AH11" s="222">
        <v>0</v>
      </c>
      <c r="AI11" s="219"/>
      <c r="AJ11" s="219"/>
      <c r="AK11" s="219"/>
      <c r="AL11" s="264"/>
      <c r="AM11" s="264"/>
      <c r="AN11" s="264"/>
      <c r="AO11" s="264"/>
      <c r="AP11" s="264"/>
      <c r="AQ11" s="264"/>
      <c r="AR11" s="264"/>
      <c r="AS11" s="264"/>
    </row>
    <row r="12" spans="1:45" s="266" customFormat="1" ht="13.05" customHeight="1" x14ac:dyDescent="0.25">
      <c r="A12" s="267"/>
      <c r="B12" s="268"/>
      <c r="C12" s="269"/>
      <c r="D12" s="269"/>
      <c r="E12" s="281"/>
      <c r="F12" s="271"/>
      <c r="G12" s="271"/>
      <c r="H12" s="272"/>
      <c r="I12" s="273" t="s">
        <v>99</v>
      </c>
      <c r="J12" s="274"/>
      <c r="K12" s="275" t="str">
        <f>UPPER(IF(OR(J12="a",J12="as"),F11,IF(OR(J12="b",J12="bs"),F13,)))</f>
        <v/>
      </c>
      <c r="L12" s="289"/>
      <c r="M12" s="259"/>
      <c r="N12" s="288"/>
      <c r="O12" s="285"/>
      <c r="P12" s="285"/>
      <c r="Q12" s="262"/>
      <c r="R12" s="263"/>
      <c r="S12" s="264"/>
      <c r="T12" s="264"/>
      <c r="U12" s="276" t="str">
        <f>[7]Birók!P26</f>
        <v xml:space="preserve"> </v>
      </c>
      <c r="V12" s="264"/>
      <c r="W12" s="264"/>
      <c r="X12" s="264"/>
      <c r="Y12" s="221"/>
      <c r="Z12" s="221"/>
      <c r="AA12" s="221" t="s">
        <v>79</v>
      </c>
      <c r="AB12" s="222">
        <v>15</v>
      </c>
      <c r="AC12" s="222">
        <v>10</v>
      </c>
      <c r="AD12" s="222">
        <v>6</v>
      </c>
      <c r="AE12" s="222">
        <v>3</v>
      </c>
      <c r="AF12" s="222">
        <v>1</v>
      </c>
      <c r="AG12" s="222">
        <v>0</v>
      </c>
      <c r="AH12" s="222">
        <v>0</v>
      </c>
      <c r="AI12" s="219"/>
      <c r="AJ12" s="219"/>
      <c r="AK12" s="219"/>
      <c r="AL12" s="264"/>
      <c r="AM12" s="264"/>
      <c r="AN12" s="264"/>
      <c r="AO12" s="264"/>
      <c r="AP12" s="264"/>
      <c r="AQ12" s="264"/>
      <c r="AR12" s="264"/>
      <c r="AS12" s="264"/>
    </row>
    <row r="13" spans="1:45" s="266" customFormat="1" ht="13.05" customHeight="1" x14ac:dyDescent="0.25">
      <c r="A13" s="267">
        <v>4</v>
      </c>
      <c r="B13" s="254" t="str">
        <f>IF($E13="","",VLOOKUP($E13,'[7]1MD ELO'!$A$7:$O$22,14))</f>
        <v/>
      </c>
      <c r="C13" s="255" t="str">
        <f>IF($E13="","",VLOOKUP($E13,'[7]1MD ELO'!$A$7:$O$22,15))</f>
        <v/>
      </c>
      <c r="D13" s="255" t="str">
        <f>IF($E13="","",VLOOKUP($E13,'[7]1MD ELO'!$A$7:$O$22,5))</f>
        <v/>
      </c>
      <c r="E13" s="277"/>
      <c r="F13" s="278" t="s">
        <v>128</v>
      </c>
      <c r="G13" s="278" t="str">
        <f>IF($E13="","",VLOOKUP($E13,'[7]1MD ELO'!$A$7:$O$22,3))</f>
        <v/>
      </c>
      <c r="H13" s="287" t="s">
        <v>115</v>
      </c>
      <c r="I13" s="278" t="str">
        <f>IF($E13="","",VLOOKUP($E13,'[7]1MD ELO'!$A$7:$O$22,4))</f>
        <v/>
      </c>
      <c r="J13" s="290"/>
      <c r="K13" s="259"/>
      <c r="L13" s="259"/>
      <c r="M13" s="259"/>
      <c r="N13" s="288"/>
      <c r="O13" s="285"/>
      <c r="P13" s="285"/>
      <c r="Q13" s="262"/>
      <c r="R13" s="263"/>
      <c r="S13" s="264"/>
      <c r="T13" s="264"/>
      <c r="U13" s="276" t="str">
        <f>[7]Birók!P27</f>
        <v xml:space="preserve"> </v>
      </c>
      <c r="V13" s="264"/>
      <c r="W13" s="264"/>
      <c r="X13" s="264"/>
      <c r="Y13" s="221"/>
      <c r="Z13" s="221"/>
      <c r="AA13" s="221" t="s">
        <v>75</v>
      </c>
      <c r="AB13" s="222">
        <v>10</v>
      </c>
      <c r="AC13" s="222">
        <v>6</v>
      </c>
      <c r="AD13" s="222">
        <v>3</v>
      </c>
      <c r="AE13" s="222">
        <v>1</v>
      </c>
      <c r="AF13" s="222">
        <v>0</v>
      </c>
      <c r="AG13" s="222">
        <v>0</v>
      </c>
      <c r="AH13" s="222">
        <v>0</v>
      </c>
      <c r="AI13" s="219"/>
      <c r="AJ13" s="219"/>
      <c r="AK13" s="219"/>
      <c r="AL13" s="264"/>
      <c r="AM13" s="264"/>
      <c r="AN13" s="264"/>
      <c r="AO13" s="264"/>
      <c r="AP13" s="264"/>
      <c r="AQ13" s="264"/>
      <c r="AR13" s="264"/>
      <c r="AS13" s="264"/>
    </row>
    <row r="14" spans="1:45" s="266" customFormat="1" ht="13.05" customHeight="1" x14ac:dyDescent="0.25">
      <c r="A14" s="267"/>
      <c r="B14" s="268"/>
      <c r="C14" s="269"/>
      <c r="D14" s="269"/>
      <c r="E14" s="281"/>
      <c r="F14" s="271"/>
      <c r="G14" s="271"/>
      <c r="H14" s="272"/>
      <c r="I14" s="271"/>
      <c r="J14" s="282"/>
      <c r="K14" s="259"/>
      <c r="L14" s="259"/>
      <c r="M14" s="273" t="s">
        <v>99</v>
      </c>
      <c r="N14" s="283"/>
      <c r="O14" s="275" t="str">
        <f>UPPER(IF(OR(N14="a",N14="as"),M10,IF(OR(N14="b",N14="bs"),M18,)))</f>
        <v/>
      </c>
      <c r="P14" s="284"/>
      <c r="Q14" s="262"/>
      <c r="R14" s="263"/>
      <c r="S14" s="264"/>
      <c r="T14" s="264"/>
      <c r="U14" s="276" t="str">
        <f>[7]Birók!P28</f>
        <v xml:space="preserve"> </v>
      </c>
      <c r="V14" s="264"/>
      <c r="W14" s="264"/>
      <c r="X14" s="264"/>
      <c r="Y14" s="221"/>
      <c r="Z14" s="221"/>
      <c r="AA14" s="221" t="s">
        <v>76</v>
      </c>
      <c r="AB14" s="222">
        <v>3</v>
      </c>
      <c r="AC14" s="222">
        <v>2</v>
      </c>
      <c r="AD14" s="222">
        <v>1</v>
      </c>
      <c r="AE14" s="222">
        <v>0</v>
      </c>
      <c r="AF14" s="222">
        <v>0</v>
      </c>
      <c r="AG14" s="222">
        <v>0</v>
      </c>
      <c r="AH14" s="222">
        <v>0</v>
      </c>
      <c r="AI14" s="219"/>
      <c r="AJ14" s="219"/>
      <c r="AK14" s="219"/>
      <c r="AL14" s="264"/>
      <c r="AM14" s="264"/>
      <c r="AN14" s="264"/>
      <c r="AO14" s="264"/>
      <c r="AP14" s="264"/>
      <c r="AQ14" s="264"/>
      <c r="AR14" s="264"/>
      <c r="AS14" s="264"/>
    </row>
    <row r="15" spans="1:45" s="266" customFormat="1" ht="13.05" customHeight="1" x14ac:dyDescent="0.25">
      <c r="A15" s="291">
        <v>5</v>
      </c>
      <c r="B15" s="254" t="str">
        <f>IF($E15="","",VLOOKUP($E15,'[7]1MD ELO'!$A$7:$O$22,14))</f>
        <v/>
      </c>
      <c r="C15" s="255" t="str">
        <f>IF($E15="","",VLOOKUP($E15,'[7]1MD ELO'!$A$7:$O$22,15))</f>
        <v/>
      </c>
      <c r="D15" s="255" t="str">
        <f>IF($E15="","",VLOOKUP($E15,'[7]1MD ELO'!$A$7:$O$22,5))</f>
        <v/>
      </c>
      <c r="E15" s="277"/>
      <c r="F15" s="278" t="s">
        <v>129</v>
      </c>
      <c r="G15" s="278" t="str">
        <f>IF($E15="","",VLOOKUP($E15,'[7]1MD ELO'!$A$7:$O$22,3))</f>
        <v/>
      </c>
      <c r="H15" s="287" t="s">
        <v>113</v>
      </c>
      <c r="I15" s="278" t="str">
        <f>IF($E15="","",VLOOKUP($E15,'[7]1MD ELO'!$A$7:$O$22,4))</f>
        <v/>
      </c>
      <c r="J15" s="292"/>
      <c r="K15" s="259"/>
      <c r="L15" s="259"/>
      <c r="M15" s="259"/>
      <c r="N15" s="288"/>
      <c r="O15" s="259"/>
      <c r="P15" s="285"/>
      <c r="Q15" s="262"/>
      <c r="R15" s="263"/>
      <c r="S15" s="264"/>
      <c r="T15" s="264"/>
      <c r="U15" s="276" t="str">
        <f>[7]Birók!P29</f>
        <v xml:space="preserve"> </v>
      </c>
      <c r="V15" s="264"/>
      <c r="W15" s="264"/>
      <c r="X15" s="264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19"/>
      <c r="AJ15" s="219"/>
      <c r="AK15" s="219"/>
      <c r="AL15" s="264"/>
      <c r="AM15" s="264"/>
      <c r="AN15" s="264"/>
      <c r="AO15" s="264"/>
      <c r="AP15" s="264"/>
      <c r="AQ15" s="264"/>
      <c r="AR15" s="264"/>
      <c r="AS15" s="264"/>
    </row>
    <row r="16" spans="1:45" s="266" customFormat="1" ht="13.05" customHeight="1" thickBot="1" x14ac:dyDescent="0.3">
      <c r="A16" s="267"/>
      <c r="B16" s="268"/>
      <c r="C16" s="269"/>
      <c r="D16" s="269"/>
      <c r="E16" s="281"/>
      <c r="F16" s="271"/>
      <c r="G16" s="271"/>
      <c r="H16" s="272"/>
      <c r="I16" s="273" t="s">
        <v>99</v>
      </c>
      <c r="J16" s="274"/>
      <c r="K16" s="275" t="str">
        <f>UPPER(IF(OR(J16="a",J16="as"),F15,IF(OR(J16="b",J16="bs"),F17,)))</f>
        <v/>
      </c>
      <c r="L16" s="275"/>
      <c r="M16" s="259"/>
      <c r="N16" s="288"/>
      <c r="O16" s="273"/>
      <c r="P16" s="285"/>
      <c r="Q16" s="262"/>
      <c r="R16" s="263"/>
      <c r="S16" s="264"/>
      <c r="T16" s="264"/>
      <c r="U16" s="293" t="str">
        <f>[7]Birók!P30</f>
        <v>Egyik sem</v>
      </c>
      <c r="V16" s="264"/>
      <c r="W16" s="264"/>
      <c r="X16" s="264"/>
      <c r="Y16" s="221"/>
      <c r="Z16" s="221"/>
      <c r="AA16" s="221" t="s">
        <v>43</v>
      </c>
      <c r="AB16" s="222">
        <v>150</v>
      </c>
      <c r="AC16" s="222">
        <v>120</v>
      </c>
      <c r="AD16" s="222">
        <v>90</v>
      </c>
      <c r="AE16" s="222">
        <v>60</v>
      </c>
      <c r="AF16" s="222">
        <v>40</v>
      </c>
      <c r="AG16" s="222">
        <v>25</v>
      </c>
      <c r="AH16" s="222">
        <v>15</v>
      </c>
      <c r="AI16" s="219"/>
      <c r="AJ16" s="219"/>
      <c r="AK16" s="219"/>
      <c r="AL16" s="264"/>
      <c r="AM16" s="264"/>
      <c r="AN16" s="264"/>
      <c r="AO16" s="264"/>
      <c r="AP16" s="264"/>
      <c r="AQ16" s="264"/>
      <c r="AR16" s="264"/>
      <c r="AS16" s="264"/>
    </row>
    <row r="17" spans="1:45" s="266" customFormat="1" ht="13.05" customHeight="1" x14ac:dyDescent="0.25">
      <c r="A17" s="267">
        <v>6</v>
      </c>
      <c r="B17" s="254" t="str">
        <f>IF($E17="","",VLOOKUP($E17,'[7]1MD ELO'!$A$7:$O$22,14))</f>
        <v/>
      </c>
      <c r="C17" s="255" t="str">
        <f>IF($E17="","",VLOOKUP($E17,'[7]1MD ELO'!$A$7:$O$22,15))</f>
        <v/>
      </c>
      <c r="D17" s="255" t="str">
        <f>IF($E17="","",VLOOKUP($E17,'[7]1MD ELO'!$A$7:$O$22,5))</f>
        <v/>
      </c>
      <c r="E17" s="277"/>
      <c r="F17" s="278" t="s">
        <v>130</v>
      </c>
      <c r="G17" s="278" t="str">
        <f>IF($E17="","",VLOOKUP($E17,'[7]1MD ELO'!$A$7:$O$22,3))</f>
        <v/>
      </c>
      <c r="H17" s="287" t="s">
        <v>123</v>
      </c>
      <c r="I17" s="278" t="str">
        <f>IF($E17="","",VLOOKUP($E17,'[7]1MD ELO'!$A$7:$O$22,4))</f>
        <v/>
      </c>
      <c r="J17" s="279"/>
      <c r="K17" s="259"/>
      <c r="L17" s="280"/>
      <c r="M17" s="259"/>
      <c r="N17" s="288"/>
      <c r="O17" s="285"/>
      <c r="P17" s="285"/>
      <c r="Q17" s="262"/>
      <c r="R17" s="263"/>
      <c r="S17" s="264"/>
      <c r="T17" s="264"/>
      <c r="U17" s="264"/>
      <c r="V17" s="264"/>
      <c r="W17" s="264"/>
      <c r="X17" s="264"/>
      <c r="Y17" s="221"/>
      <c r="Z17" s="221"/>
      <c r="AA17" s="221" t="s">
        <v>67</v>
      </c>
      <c r="AB17" s="222">
        <v>120</v>
      </c>
      <c r="AC17" s="222">
        <v>90</v>
      </c>
      <c r="AD17" s="222">
        <v>60</v>
      </c>
      <c r="AE17" s="222">
        <v>40</v>
      </c>
      <c r="AF17" s="222">
        <v>25</v>
      </c>
      <c r="AG17" s="222">
        <v>15</v>
      </c>
      <c r="AH17" s="222">
        <v>8</v>
      </c>
      <c r="AI17" s="219"/>
      <c r="AJ17" s="219"/>
      <c r="AK17" s="219"/>
      <c r="AL17" s="264"/>
      <c r="AM17" s="264"/>
      <c r="AN17" s="264"/>
      <c r="AO17" s="264"/>
      <c r="AP17" s="264"/>
      <c r="AQ17" s="264"/>
      <c r="AR17" s="264"/>
      <c r="AS17" s="264"/>
    </row>
    <row r="18" spans="1:45" s="266" customFormat="1" ht="13.05" customHeight="1" x14ac:dyDescent="0.25">
      <c r="A18" s="267"/>
      <c r="B18" s="268"/>
      <c r="C18" s="269"/>
      <c r="D18" s="269"/>
      <c r="E18" s="281"/>
      <c r="F18" s="271"/>
      <c r="G18" s="271"/>
      <c r="H18" s="272"/>
      <c r="I18" s="271"/>
      <c r="J18" s="282"/>
      <c r="K18" s="273" t="s">
        <v>99</v>
      </c>
      <c r="L18" s="283"/>
      <c r="M18" s="275"/>
      <c r="N18" s="294"/>
      <c r="O18" s="285"/>
      <c r="P18" s="285"/>
      <c r="Q18" s="262"/>
      <c r="R18" s="263"/>
      <c r="S18" s="264"/>
      <c r="T18" s="264"/>
      <c r="U18" s="264"/>
      <c r="V18" s="264"/>
      <c r="W18" s="264"/>
      <c r="X18" s="264"/>
      <c r="Y18" s="221"/>
      <c r="Z18" s="221"/>
      <c r="AA18" s="221" t="s">
        <v>68</v>
      </c>
      <c r="AB18" s="222">
        <v>90</v>
      </c>
      <c r="AC18" s="222">
        <v>60</v>
      </c>
      <c r="AD18" s="222">
        <v>40</v>
      </c>
      <c r="AE18" s="222">
        <v>25</v>
      </c>
      <c r="AF18" s="222">
        <v>15</v>
      </c>
      <c r="AG18" s="222">
        <v>8</v>
      </c>
      <c r="AH18" s="222">
        <v>4</v>
      </c>
      <c r="AI18" s="219"/>
      <c r="AJ18" s="219"/>
      <c r="AK18" s="219"/>
      <c r="AL18" s="264"/>
      <c r="AM18" s="264"/>
      <c r="AN18" s="264"/>
      <c r="AO18" s="264"/>
      <c r="AP18" s="264"/>
      <c r="AQ18" s="264"/>
      <c r="AR18" s="264"/>
      <c r="AS18" s="264"/>
    </row>
    <row r="19" spans="1:45" s="266" customFormat="1" ht="13.05" customHeight="1" x14ac:dyDescent="0.25">
      <c r="A19" s="267">
        <v>7</v>
      </c>
      <c r="B19" s="254" t="str">
        <f>IF($E19="","",VLOOKUP($E19,'[7]1MD ELO'!$A$7:$O$22,14))</f>
        <v/>
      </c>
      <c r="C19" s="255" t="str">
        <f>IF($E19="","",VLOOKUP($E19,'[7]1MD ELO'!$A$7:$O$22,15))</f>
        <v/>
      </c>
      <c r="D19" s="255" t="str">
        <f>IF($E19="","",VLOOKUP($E19,'[7]1MD ELO'!$A$7:$O$22,5))</f>
        <v/>
      </c>
      <c r="E19" s="277"/>
      <c r="F19" s="278" t="s">
        <v>131</v>
      </c>
      <c r="G19" s="278" t="str">
        <f>IF($E19="","",VLOOKUP($E19,'[7]1MD ELO'!$A$7:$O$22,3))</f>
        <v/>
      </c>
      <c r="H19" s="287" t="s">
        <v>115</v>
      </c>
      <c r="I19" s="278" t="str">
        <f>IF($E19="","",VLOOKUP($E19,'[7]1MD ELO'!$A$7:$O$22,4))</f>
        <v/>
      </c>
      <c r="J19" s="258"/>
      <c r="K19" s="259"/>
      <c r="L19" s="286"/>
      <c r="M19" s="259"/>
      <c r="N19" s="285"/>
      <c r="O19" s="285"/>
      <c r="P19" s="285"/>
      <c r="Q19" s="262"/>
      <c r="R19" s="263"/>
      <c r="S19" s="264"/>
      <c r="T19" s="264"/>
      <c r="U19" s="264"/>
      <c r="V19" s="264"/>
      <c r="W19" s="264"/>
      <c r="X19" s="264"/>
      <c r="Y19" s="221"/>
      <c r="Z19" s="221"/>
      <c r="AA19" s="221" t="s">
        <v>69</v>
      </c>
      <c r="AB19" s="222">
        <v>60</v>
      </c>
      <c r="AC19" s="222">
        <v>40</v>
      </c>
      <c r="AD19" s="222">
        <v>25</v>
      </c>
      <c r="AE19" s="222">
        <v>15</v>
      </c>
      <c r="AF19" s="222">
        <v>8</v>
      </c>
      <c r="AG19" s="222">
        <v>4</v>
      </c>
      <c r="AH19" s="222">
        <v>2</v>
      </c>
      <c r="AI19" s="219"/>
      <c r="AJ19" s="219"/>
      <c r="AK19" s="219"/>
      <c r="AL19" s="264"/>
      <c r="AM19" s="264"/>
      <c r="AN19" s="264"/>
      <c r="AO19" s="264"/>
      <c r="AP19" s="264"/>
      <c r="AQ19" s="264"/>
      <c r="AR19" s="264"/>
      <c r="AS19" s="264"/>
    </row>
    <row r="20" spans="1:45" s="266" customFormat="1" ht="13.05" customHeight="1" x14ac:dyDescent="0.25">
      <c r="A20" s="267"/>
      <c r="B20" s="268"/>
      <c r="C20" s="269"/>
      <c r="D20" s="269"/>
      <c r="E20" s="270"/>
      <c r="F20" s="271"/>
      <c r="G20" s="271"/>
      <c r="H20" s="272"/>
      <c r="I20" s="273" t="s">
        <v>99</v>
      </c>
      <c r="J20" s="274"/>
      <c r="K20" s="275" t="str">
        <f>UPPER(IF(OR(J20="a",J20="as"),F19,IF(OR(J20="b",J20="bs"),F21,)))</f>
        <v/>
      </c>
      <c r="L20" s="289"/>
      <c r="M20" s="259"/>
      <c r="N20" s="285"/>
      <c r="O20" s="285"/>
      <c r="P20" s="285"/>
      <c r="Q20" s="262"/>
      <c r="R20" s="263"/>
      <c r="S20" s="264"/>
      <c r="T20" s="264"/>
      <c r="U20" s="264"/>
      <c r="V20" s="264"/>
      <c r="W20" s="264"/>
      <c r="X20" s="264"/>
      <c r="Y20" s="221"/>
      <c r="Z20" s="221"/>
      <c r="AA20" s="221" t="s">
        <v>70</v>
      </c>
      <c r="AB20" s="222">
        <v>40</v>
      </c>
      <c r="AC20" s="222">
        <v>25</v>
      </c>
      <c r="AD20" s="222">
        <v>15</v>
      </c>
      <c r="AE20" s="222">
        <v>8</v>
      </c>
      <c r="AF20" s="222">
        <v>4</v>
      </c>
      <c r="AG20" s="222">
        <v>2</v>
      </c>
      <c r="AH20" s="222">
        <v>1</v>
      </c>
      <c r="AI20" s="219"/>
      <c r="AJ20" s="219"/>
      <c r="AK20" s="219"/>
      <c r="AL20" s="264"/>
      <c r="AM20" s="264"/>
      <c r="AN20" s="264"/>
      <c r="AO20" s="264"/>
      <c r="AP20" s="264"/>
      <c r="AQ20" s="264"/>
      <c r="AR20" s="264"/>
      <c r="AS20" s="264"/>
    </row>
    <row r="21" spans="1:45" s="266" customFormat="1" ht="13.05" customHeight="1" x14ac:dyDescent="0.25">
      <c r="A21" s="295">
        <v>8</v>
      </c>
      <c r="B21" s="254" t="str">
        <f>IF($E21="","",VLOOKUP($E21,'[7]1MD ELO'!$A$7:$O$22,14))</f>
        <v/>
      </c>
      <c r="C21" s="255" t="str">
        <f>IF($E21="","",VLOOKUP($E21,'[7]1MD ELO'!$A$7:$O$22,15))</f>
        <v/>
      </c>
      <c r="D21" s="255" t="str">
        <f>IF($E21="","",VLOOKUP($E21,'[7]1MD ELO'!$A$7:$O$22,5))</f>
        <v/>
      </c>
      <c r="E21" s="256"/>
      <c r="F21" s="296" t="s">
        <v>132</v>
      </c>
      <c r="G21" s="296" t="str">
        <f>IF($E21="","",VLOOKUP($E21,'[7]1MD ELO'!$A$7:$O$22,3))</f>
        <v/>
      </c>
      <c r="H21" s="287" t="s">
        <v>92</v>
      </c>
      <c r="I21" s="296" t="str">
        <f>IF($E21="","",VLOOKUP($E21,'[7]1MD ELO'!$A$7:$O$22,4))</f>
        <v/>
      </c>
      <c r="J21" s="290"/>
      <c r="K21" s="259"/>
      <c r="L21" s="259"/>
      <c r="M21" s="259"/>
      <c r="N21" s="285"/>
      <c r="O21" s="285"/>
      <c r="P21" s="285"/>
      <c r="Q21" s="262"/>
      <c r="R21" s="263"/>
      <c r="S21" s="264"/>
      <c r="T21" s="264"/>
      <c r="U21" s="264"/>
      <c r="V21" s="264"/>
      <c r="W21" s="264"/>
      <c r="X21" s="264"/>
      <c r="Y21" s="221"/>
      <c r="Z21" s="221"/>
      <c r="AA21" s="221" t="s">
        <v>71</v>
      </c>
      <c r="AB21" s="222">
        <v>25</v>
      </c>
      <c r="AC21" s="222">
        <v>15</v>
      </c>
      <c r="AD21" s="222">
        <v>10</v>
      </c>
      <c r="AE21" s="222">
        <v>6</v>
      </c>
      <c r="AF21" s="222">
        <v>3</v>
      </c>
      <c r="AG21" s="222">
        <v>1</v>
      </c>
      <c r="AH21" s="222">
        <v>0</v>
      </c>
      <c r="AI21" s="219"/>
      <c r="AJ21" s="219"/>
      <c r="AK21" s="219"/>
      <c r="AL21" s="264"/>
      <c r="AM21" s="264"/>
      <c r="AN21" s="264"/>
      <c r="AO21" s="264"/>
      <c r="AP21" s="264"/>
      <c r="AQ21" s="264"/>
      <c r="AR21" s="264"/>
      <c r="AS21" s="264"/>
    </row>
    <row r="22" spans="1:45" s="266" customFormat="1" ht="9.4499999999999993" customHeight="1" x14ac:dyDescent="0.25">
      <c r="A22" s="297"/>
      <c r="B22" s="260"/>
      <c r="C22" s="260"/>
      <c r="D22" s="260"/>
      <c r="E22" s="270"/>
      <c r="F22" s="260"/>
      <c r="G22" s="260"/>
      <c r="H22" s="260"/>
      <c r="I22" s="260"/>
      <c r="J22" s="270"/>
      <c r="K22" s="260"/>
      <c r="L22" s="260"/>
      <c r="M22" s="260"/>
      <c r="N22" s="262"/>
      <c r="O22" s="262"/>
      <c r="P22" s="262"/>
      <c r="Q22" s="262"/>
      <c r="R22" s="263"/>
      <c r="S22" s="264"/>
      <c r="T22" s="264"/>
      <c r="U22" s="264"/>
      <c r="V22" s="264"/>
      <c r="W22" s="264"/>
      <c r="X22" s="264"/>
      <c r="Y22" s="221"/>
      <c r="Z22" s="221"/>
      <c r="AA22" s="221" t="s">
        <v>72</v>
      </c>
      <c r="AB22" s="222">
        <v>15</v>
      </c>
      <c r="AC22" s="222">
        <v>10</v>
      </c>
      <c r="AD22" s="222">
        <v>6</v>
      </c>
      <c r="AE22" s="222">
        <v>3</v>
      </c>
      <c r="AF22" s="222">
        <v>1</v>
      </c>
      <c r="AG22" s="222">
        <v>0</v>
      </c>
      <c r="AH22" s="222">
        <v>0</v>
      </c>
      <c r="AI22" s="219"/>
      <c r="AJ22" s="219"/>
      <c r="AK22" s="219"/>
      <c r="AL22" s="264"/>
      <c r="AM22" s="264"/>
      <c r="AN22" s="264"/>
      <c r="AO22" s="264"/>
      <c r="AP22" s="264"/>
      <c r="AQ22" s="264"/>
      <c r="AR22" s="264"/>
      <c r="AS22" s="264"/>
    </row>
    <row r="23" spans="1:45" s="266" customFormat="1" ht="9.4499999999999993" customHeight="1" x14ac:dyDescent="0.25">
      <c r="A23" s="298"/>
      <c r="B23" s="270"/>
      <c r="C23" s="270"/>
      <c r="D23" s="270"/>
      <c r="E23" s="270"/>
      <c r="F23" s="260"/>
      <c r="G23" s="260"/>
      <c r="H23" s="264"/>
      <c r="I23" s="299"/>
      <c r="J23" s="270"/>
      <c r="K23" s="260"/>
      <c r="L23" s="260"/>
      <c r="M23" s="260"/>
      <c r="N23" s="262"/>
      <c r="O23" s="262"/>
      <c r="P23" s="262"/>
      <c r="Q23" s="262"/>
      <c r="R23" s="263"/>
      <c r="S23" s="264"/>
      <c r="T23" s="264"/>
      <c r="U23" s="264"/>
      <c r="V23" s="264"/>
      <c r="W23" s="264"/>
      <c r="X23" s="264"/>
      <c r="Y23" s="221"/>
      <c r="Z23" s="221"/>
      <c r="AA23" s="221" t="s">
        <v>73</v>
      </c>
      <c r="AB23" s="222">
        <v>10</v>
      </c>
      <c r="AC23" s="222">
        <v>6</v>
      </c>
      <c r="AD23" s="222">
        <v>3</v>
      </c>
      <c r="AE23" s="222">
        <v>1</v>
      </c>
      <c r="AF23" s="222">
        <v>0</v>
      </c>
      <c r="AG23" s="222">
        <v>0</v>
      </c>
      <c r="AH23" s="222">
        <v>0</v>
      </c>
      <c r="AI23" s="219"/>
      <c r="AJ23" s="219"/>
      <c r="AK23" s="219"/>
      <c r="AL23" s="264"/>
      <c r="AM23" s="264"/>
      <c r="AN23" s="264"/>
      <c r="AO23" s="264"/>
      <c r="AP23" s="264"/>
      <c r="AQ23" s="264"/>
      <c r="AR23" s="264"/>
      <c r="AS23" s="264"/>
    </row>
    <row r="24" spans="1:45" s="266" customFormat="1" ht="9.4499999999999993" customHeight="1" x14ac:dyDescent="0.25">
      <c r="A24" s="298"/>
      <c r="B24" s="260"/>
      <c r="C24" s="260"/>
      <c r="D24" s="260"/>
      <c r="E24" s="270"/>
      <c r="F24" s="260"/>
      <c r="G24" s="260"/>
      <c r="H24" s="260"/>
      <c r="I24" s="260"/>
      <c r="J24" s="270"/>
      <c r="K24" s="260"/>
      <c r="L24" s="300"/>
      <c r="M24" s="260"/>
      <c r="N24" s="262"/>
      <c r="O24" s="262"/>
      <c r="P24" s="262"/>
      <c r="Q24" s="262"/>
      <c r="R24" s="263"/>
      <c r="S24" s="264"/>
      <c r="T24" s="264"/>
      <c r="U24" s="264"/>
      <c r="V24" s="264"/>
      <c r="W24" s="264"/>
      <c r="X24" s="264"/>
      <c r="Y24" s="221"/>
      <c r="Z24" s="221"/>
      <c r="AA24" s="221" t="s">
        <v>74</v>
      </c>
      <c r="AB24" s="222">
        <v>6</v>
      </c>
      <c r="AC24" s="222">
        <v>3</v>
      </c>
      <c r="AD24" s="222">
        <v>1</v>
      </c>
      <c r="AE24" s="222">
        <v>0</v>
      </c>
      <c r="AF24" s="222">
        <v>0</v>
      </c>
      <c r="AG24" s="222">
        <v>0</v>
      </c>
      <c r="AH24" s="222">
        <v>0</v>
      </c>
      <c r="AI24" s="219"/>
      <c r="AJ24" s="219"/>
      <c r="AK24" s="219"/>
      <c r="AL24" s="264"/>
      <c r="AM24" s="264"/>
      <c r="AN24" s="264"/>
      <c r="AO24" s="264"/>
      <c r="AP24" s="264"/>
      <c r="AQ24" s="264"/>
      <c r="AR24" s="264"/>
      <c r="AS24" s="264"/>
    </row>
    <row r="25" spans="1:45" s="266" customFormat="1" ht="9.4499999999999993" customHeight="1" x14ac:dyDescent="0.25">
      <c r="A25" s="298"/>
      <c r="B25" s="270"/>
      <c r="C25" s="270"/>
      <c r="D25" s="270"/>
      <c r="E25" s="270"/>
      <c r="F25" s="260"/>
      <c r="G25" s="260"/>
      <c r="H25" s="264"/>
      <c r="I25" s="260"/>
      <c r="J25" s="270"/>
      <c r="K25" s="299"/>
      <c r="L25" s="270"/>
      <c r="M25" s="260"/>
      <c r="N25" s="262"/>
      <c r="O25" s="262"/>
      <c r="P25" s="262"/>
      <c r="Q25" s="262"/>
      <c r="R25" s="263"/>
      <c r="S25" s="264"/>
      <c r="T25" s="264"/>
      <c r="U25" s="264"/>
      <c r="V25" s="264"/>
      <c r="W25" s="264"/>
      <c r="X25" s="264"/>
      <c r="Y25" s="221"/>
      <c r="Z25" s="221"/>
      <c r="AA25" s="221" t="s">
        <v>79</v>
      </c>
      <c r="AB25" s="222">
        <v>3</v>
      </c>
      <c r="AC25" s="222">
        <v>2</v>
      </c>
      <c r="AD25" s="222">
        <v>1</v>
      </c>
      <c r="AE25" s="222">
        <v>0</v>
      </c>
      <c r="AF25" s="222">
        <v>0</v>
      </c>
      <c r="AG25" s="222">
        <v>0</v>
      </c>
      <c r="AH25" s="222">
        <v>0</v>
      </c>
      <c r="AI25" s="219"/>
      <c r="AJ25" s="219"/>
      <c r="AK25" s="219"/>
      <c r="AL25" s="264"/>
      <c r="AM25" s="264"/>
      <c r="AN25" s="264"/>
      <c r="AO25" s="264"/>
      <c r="AP25" s="264"/>
      <c r="AQ25" s="264"/>
      <c r="AR25" s="264"/>
      <c r="AS25" s="264"/>
    </row>
    <row r="26" spans="1:45" s="266" customFormat="1" ht="9.4499999999999993" customHeight="1" x14ac:dyDescent="0.25">
      <c r="A26" s="298"/>
      <c r="B26" s="260"/>
      <c r="C26" s="260"/>
      <c r="D26" s="260"/>
      <c r="E26" s="270"/>
      <c r="F26" s="260"/>
      <c r="G26" s="260"/>
      <c r="H26" s="260"/>
      <c r="I26" s="260"/>
      <c r="J26" s="270"/>
      <c r="K26" s="260"/>
      <c r="L26" s="260"/>
      <c r="M26" s="260"/>
      <c r="N26" s="262"/>
      <c r="O26" s="262"/>
      <c r="P26" s="262"/>
      <c r="Q26" s="262"/>
      <c r="R26" s="263"/>
      <c r="S26" s="301"/>
      <c r="T26" s="264"/>
      <c r="U26" s="264"/>
      <c r="V26" s="264"/>
      <c r="W26" s="264"/>
      <c r="X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19"/>
      <c r="AJ26" s="219"/>
      <c r="AK26" s="219"/>
      <c r="AL26" s="264"/>
      <c r="AM26" s="264"/>
      <c r="AN26" s="264"/>
      <c r="AO26" s="264"/>
      <c r="AP26" s="264"/>
      <c r="AQ26" s="264"/>
      <c r="AR26" s="264"/>
      <c r="AS26" s="264"/>
    </row>
    <row r="27" spans="1:45" s="266" customFormat="1" ht="9.4499999999999993" customHeight="1" x14ac:dyDescent="0.25">
      <c r="A27" s="298"/>
      <c r="B27" s="270"/>
      <c r="C27" s="270"/>
      <c r="D27" s="270"/>
      <c r="E27" s="270"/>
      <c r="F27" s="260"/>
      <c r="G27" s="260"/>
      <c r="H27" s="264"/>
      <c r="I27" s="299"/>
      <c r="J27" s="270"/>
      <c r="K27" s="260"/>
      <c r="L27" s="260"/>
      <c r="M27" s="260"/>
      <c r="N27" s="262"/>
      <c r="O27" s="262"/>
      <c r="P27" s="262"/>
      <c r="Q27" s="262"/>
      <c r="R27" s="263"/>
      <c r="S27" s="264"/>
      <c r="T27" s="264"/>
      <c r="U27" s="264"/>
      <c r="V27" s="264"/>
      <c r="W27" s="264"/>
      <c r="X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19"/>
      <c r="AJ27" s="219"/>
      <c r="AK27" s="219"/>
      <c r="AL27" s="264"/>
      <c r="AM27" s="264"/>
      <c r="AN27" s="264"/>
      <c r="AO27" s="264"/>
      <c r="AP27" s="264"/>
      <c r="AQ27" s="264"/>
      <c r="AR27" s="264"/>
      <c r="AS27" s="264"/>
    </row>
    <row r="28" spans="1:45" s="266" customFormat="1" ht="9.4499999999999993" customHeight="1" x14ac:dyDescent="0.25">
      <c r="A28" s="298"/>
      <c r="B28" s="260"/>
      <c r="C28" s="260"/>
      <c r="D28" s="260"/>
      <c r="E28" s="270"/>
      <c r="F28" s="260"/>
      <c r="G28" s="260"/>
      <c r="H28" s="260"/>
      <c r="I28" s="260"/>
      <c r="J28" s="270"/>
      <c r="K28" s="260"/>
      <c r="L28" s="260"/>
      <c r="M28" s="260"/>
      <c r="N28" s="262"/>
      <c r="O28" s="262"/>
      <c r="P28" s="262"/>
      <c r="Q28" s="262"/>
      <c r="R28" s="263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</row>
    <row r="29" spans="1:45" s="266" customFormat="1" ht="9.4499999999999993" customHeight="1" x14ac:dyDescent="0.25">
      <c r="A29" s="298"/>
      <c r="B29" s="270"/>
      <c r="C29" s="270"/>
      <c r="D29" s="270"/>
      <c r="E29" s="270"/>
      <c r="F29" s="260"/>
      <c r="G29" s="260"/>
      <c r="H29" s="264"/>
      <c r="I29" s="260"/>
      <c r="J29" s="270"/>
      <c r="K29" s="260"/>
      <c r="L29" s="260"/>
      <c r="M29" s="299"/>
      <c r="N29" s="270"/>
      <c r="O29" s="260"/>
      <c r="P29" s="262"/>
      <c r="Q29" s="262"/>
      <c r="R29" s="263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</row>
    <row r="30" spans="1:45" s="266" customFormat="1" ht="9.4499999999999993" customHeight="1" x14ac:dyDescent="0.25">
      <c r="A30" s="298"/>
      <c r="B30" s="260"/>
      <c r="C30" s="260"/>
      <c r="D30" s="260"/>
      <c r="E30" s="270"/>
      <c r="F30" s="260"/>
      <c r="G30" s="260"/>
      <c r="H30" s="260"/>
      <c r="I30" s="260"/>
      <c r="J30" s="270"/>
      <c r="K30" s="260"/>
      <c r="L30" s="260"/>
      <c r="M30" s="260"/>
      <c r="N30" s="262"/>
      <c r="O30" s="260"/>
      <c r="P30" s="262"/>
      <c r="Q30" s="262"/>
      <c r="R30" s="263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</row>
    <row r="31" spans="1:45" s="266" customFormat="1" ht="9.4499999999999993" customHeight="1" x14ac:dyDescent="0.25">
      <c r="A31" s="298"/>
      <c r="B31" s="270"/>
      <c r="C31" s="270"/>
      <c r="D31" s="270"/>
      <c r="E31" s="270"/>
      <c r="F31" s="260"/>
      <c r="G31" s="260"/>
      <c r="H31" s="264"/>
      <c r="I31" s="299"/>
      <c r="J31" s="270"/>
      <c r="K31" s="260"/>
      <c r="L31" s="260"/>
      <c r="M31" s="260"/>
      <c r="N31" s="262"/>
      <c r="O31" s="262"/>
      <c r="P31" s="262"/>
      <c r="Q31" s="262"/>
      <c r="R31" s="263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</row>
    <row r="32" spans="1:45" s="266" customFormat="1" ht="9.4499999999999993" customHeight="1" x14ac:dyDescent="0.25">
      <c r="A32" s="298"/>
      <c r="B32" s="260"/>
      <c r="C32" s="260"/>
      <c r="D32" s="260"/>
      <c r="E32" s="270"/>
      <c r="F32" s="260"/>
      <c r="G32" s="260"/>
      <c r="H32" s="260"/>
      <c r="I32" s="260"/>
      <c r="J32" s="270"/>
      <c r="K32" s="260"/>
      <c r="L32" s="300"/>
      <c r="M32" s="260"/>
      <c r="N32" s="262"/>
      <c r="O32" s="262"/>
      <c r="P32" s="262"/>
      <c r="Q32" s="262"/>
      <c r="R32" s="263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</row>
    <row r="33" spans="1:45" s="266" customFormat="1" ht="9.4499999999999993" customHeight="1" x14ac:dyDescent="0.25">
      <c r="A33" s="298"/>
      <c r="B33" s="270"/>
      <c r="C33" s="270"/>
      <c r="D33" s="270"/>
      <c r="E33" s="270"/>
      <c r="F33" s="260"/>
      <c r="G33" s="260"/>
      <c r="H33" s="264"/>
      <c r="I33" s="260"/>
      <c r="J33" s="270"/>
      <c r="K33" s="299"/>
      <c r="L33" s="270"/>
      <c r="M33" s="260"/>
      <c r="N33" s="262"/>
      <c r="O33" s="262"/>
      <c r="P33" s="262"/>
      <c r="Q33" s="262"/>
      <c r="R33" s="26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</row>
    <row r="34" spans="1:45" s="266" customFormat="1" ht="9.4499999999999993" customHeight="1" x14ac:dyDescent="0.25">
      <c r="A34" s="298"/>
      <c r="B34" s="260"/>
      <c r="C34" s="260"/>
      <c r="D34" s="260"/>
      <c r="E34" s="270"/>
      <c r="F34" s="260"/>
      <c r="G34" s="260"/>
      <c r="H34" s="260"/>
      <c r="I34" s="260"/>
      <c r="J34" s="270"/>
      <c r="K34" s="260"/>
      <c r="L34" s="260"/>
      <c r="M34" s="260"/>
      <c r="N34" s="262"/>
      <c r="O34" s="262"/>
      <c r="P34" s="262"/>
      <c r="Q34" s="262"/>
      <c r="R34" s="263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</row>
    <row r="35" spans="1:45" s="266" customFormat="1" ht="9.4499999999999993" customHeight="1" x14ac:dyDescent="0.25">
      <c r="A35" s="298"/>
      <c r="B35" s="270"/>
      <c r="C35" s="270"/>
      <c r="D35" s="270"/>
      <c r="E35" s="270"/>
      <c r="F35" s="260"/>
      <c r="G35" s="260"/>
      <c r="H35" s="264"/>
      <c r="I35" s="299"/>
      <c r="J35" s="270"/>
      <c r="K35" s="260"/>
      <c r="L35" s="260"/>
      <c r="M35" s="260"/>
      <c r="N35" s="262"/>
      <c r="O35" s="262"/>
      <c r="P35" s="262"/>
      <c r="Q35" s="262"/>
      <c r="R35" s="263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</row>
    <row r="36" spans="1:45" s="266" customFormat="1" ht="9.4499999999999993" customHeight="1" x14ac:dyDescent="0.25">
      <c r="A36" s="297"/>
      <c r="B36" s="260"/>
      <c r="C36" s="260"/>
      <c r="D36" s="260"/>
      <c r="E36" s="270"/>
      <c r="F36" s="260"/>
      <c r="G36" s="260"/>
      <c r="H36" s="260"/>
      <c r="I36" s="260"/>
      <c r="J36" s="270"/>
      <c r="K36" s="260"/>
      <c r="L36" s="260"/>
      <c r="M36" s="260"/>
      <c r="N36" s="260"/>
      <c r="O36" s="260"/>
      <c r="P36" s="260"/>
      <c r="Q36" s="262"/>
      <c r="R36" s="263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</row>
    <row r="37" spans="1:45" s="266" customFormat="1" ht="9.4499999999999993" customHeight="1" x14ac:dyDescent="0.25">
      <c r="A37" s="298"/>
      <c r="B37" s="270"/>
      <c r="C37" s="270"/>
      <c r="D37" s="270"/>
      <c r="E37" s="270"/>
      <c r="F37" s="302"/>
      <c r="G37" s="302"/>
      <c r="H37" s="303"/>
      <c r="I37" s="259"/>
      <c r="J37" s="282"/>
      <c r="K37" s="259"/>
      <c r="L37" s="259"/>
      <c r="M37" s="259"/>
      <c r="N37" s="285"/>
      <c r="O37" s="285"/>
      <c r="P37" s="285"/>
      <c r="Q37" s="262"/>
      <c r="R37" s="263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</row>
    <row r="38" spans="1:45" s="266" customFormat="1" ht="9.4499999999999993" customHeight="1" x14ac:dyDescent="0.25">
      <c r="A38" s="297"/>
      <c r="B38" s="260"/>
      <c r="C38" s="260"/>
      <c r="D38" s="260"/>
      <c r="E38" s="270"/>
      <c r="F38" s="260"/>
      <c r="G38" s="260"/>
      <c r="H38" s="260"/>
      <c r="I38" s="260"/>
      <c r="J38" s="270"/>
      <c r="K38" s="260"/>
      <c r="L38" s="260"/>
      <c r="M38" s="260"/>
      <c r="N38" s="262"/>
      <c r="O38" s="262"/>
      <c r="P38" s="262"/>
      <c r="Q38" s="262"/>
      <c r="R38" s="263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</row>
    <row r="39" spans="1:45" s="266" customFormat="1" ht="9.4499999999999993" customHeight="1" x14ac:dyDescent="0.25">
      <c r="A39" s="298"/>
      <c r="B39" s="270"/>
      <c r="C39" s="270"/>
      <c r="D39" s="270"/>
      <c r="E39" s="270"/>
      <c r="F39" s="260"/>
      <c r="G39" s="260"/>
      <c r="H39" s="264"/>
      <c r="I39" s="299"/>
      <c r="J39" s="270"/>
      <c r="K39" s="260"/>
      <c r="L39" s="260"/>
      <c r="M39" s="260"/>
      <c r="N39" s="262"/>
      <c r="O39" s="262"/>
      <c r="P39" s="262"/>
      <c r="Q39" s="262"/>
      <c r="R39" s="263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</row>
    <row r="40" spans="1:45" s="266" customFormat="1" ht="9.4499999999999993" customHeight="1" x14ac:dyDescent="0.25">
      <c r="A40" s="298"/>
      <c r="B40" s="260"/>
      <c r="C40" s="260"/>
      <c r="D40" s="260"/>
      <c r="E40" s="270"/>
      <c r="F40" s="260"/>
      <c r="G40" s="260"/>
      <c r="H40" s="260"/>
      <c r="I40" s="260"/>
      <c r="J40" s="270"/>
      <c r="K40" s="260"/>
      <c r="L40" s="300"/>
      <c r="M40" s="260"/>
      <c r="N40" s="262"/>
      <c r="O40" s="262"/>
      <c r="P40" s="262"/>
      <c r="Q40" s="262"/>
      <c r="R40" s="263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</row>
    <row r="41" spans="1:45" s="266" customFormat="1" ht="9.4499999999999993" customHeight="1" x14ac:dyDescent="0.25">
      <c r="A41" s="298"/>
      <c r="B41" s="270"/>
      <c r="C41" s="270"/>
      <c r="D41" s="270"/>
      <c r="E41" s="270"/>
      <c r="F41" s="260"/>
      <c r="G41" s="260"/>
      <c r="H41" s="264"/>
      <c r="I41" s="260"/>
      <c r="J41" s="270"/>
      <c r="K41" s="299"/>
      <c r="L41" s="270"/>
      <c r="M41" s="260"/>
      <c r="N41" s="262"/>
      <c r="O41" s="262"/>
      <c r="P41" s="262"/>
      <c r="Q41" s="262"/>
      <c r="R41" s="263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</row>
    <row r="42" spans="1:45" s="266" customFormat="1" ht="9.4499999999999993" customHeight="1" x14ac:dyDescent="0.25">
      <c r="A42" s="298"/>
      <c r="B42" s="260"/>
      <c r="C42" s="260"/>
      <c r="D42" s="260"/>
      <c r="E42" s="270"/>
      <c r="F42" s="260"/>
      <c r="G42" s="260"/>
      <c r="H42" s="260"/>
      <c r="I42" s="260"/>
      <c r="J42" s="270"/>
      <c r="K42" s="260"/>
      <c r="L42" s="260"/>
      <c r="M42" s="260"/>
      <c r="N42" s="262"/>
      <c r="O42" s="262"/>
      <c r="P42" s="262"/>
      <c r="Q42" s="262"/>
      <c r="R42" s="263"/>
      <c r="S42" s="301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</row>
    <row r="43" spans="1:45" s="266" customFormat="1" ht="9.4499999999999993" customHeight="1" x14ac:dyDescent="0.25">
      <c r="A43" s="298"/>
      <c r="B43" s="270"/>
      <c r="C43" s="270"/>
      <c r="D43" s="270"/>
      <c r="E43" s="270"/>
      <c r="F43" s="260"/>
      <c r="G43" s="260"/>
      <c r="H43" s="264"/>
      <c r="I43" s="299"/>
      <c r="J43" s="270"/>
      <c r="K43" s="260"/>
      <c r="L43" s="260"/>
      <c r="M43" s="260"/>
      <c r="N43" s="262"/>
      <c r="O43" s="262"/>
      <c r="P43" s="262"/>
      <c r="Q43" s="262"/>
      <c r="R43" s="263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</row>
    <row r="44" spans="1:45" s="266" customFormat="1" ht="9.4499999999999993" customHeight="1" x14ac:dyDescent="0.25">
      <c r="A44" s="298"/>
      <c r="B44" s="260"/>
      <c r="C44" s="260"/>
      <c r="D44" s="260"/>
      <c r="E44" s="270"/>
      <c r="F44" s="260"/>
      <c r="G44" s="260"/>
      <c r="H44" s="260"/>
      <c r="I44" s="260"/>
      <c r="J44" s="270"/>
      <c r="K44" s="260"/>
      <c r="L44" s="260"/>
      <c r="M44" s="260"/>
      <c r="N44" s="262"/>
      <c r="O44" s="262"/>
      <c r="P44" s="262"/>
      <c r="Q44" s="262"/>
      <c r="R44" s="263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</row>
    <row r="45" spans="1:45" s="266" customFormat="1" ht="9.4499999999999993" customHeight="1" x14ac:dyDescent="0.25">
      <c r="A45" s="298"/>
      <c r="B45" s="270"/>
      <c r="C45" s="270"/>
      <c r="D45" s="270"/>
      <c r="E45" s="270"/>
      <c r="F45" s="260"/>
      <c r="G45" s="260"/>
      <c r="H45" s="264"/>
      <c r="I45" s="260"/>
      <c r="J45" s="270"/>
      <c r="K45" s="260"/>
      <c r="L45" s="260"/>
      <c r="M45" s="299"/>
      <c r="N45" s="270"/>
      <c r="O45" s="260"/>
      <c r="P45" s="262"/>
      <c r="Q45" s="262"/>
      <c r="R45" s="263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</row>
    <row r="46" spans="1:45" s="266" customFormat="1" ht="9.4499999999999993" customHeight="1" x14ac:dyDescent="0.25">
      <c r="A46" s="298"/>
      <c r="B46" s="260"/>
      <c r="C46" s="260"/>
      <c r="D46" s="260"/>
      <c r="E46" s="270"/>
      <c r="F46" s="260"/>
      <c r="G46" s="260"/>
      <c r="H46" s="260"/>
      <c r="I46" s="260"/>
      <c r="J46" s="270"/>
      <c r="K46" s="260"/>
      <c r="L46" s="260"/>
      <c r="M46" s="260"/>
      <c r="N46" s="262"/>
      <c r="O46" s="260"/>
      <c r="P46" s="262"/>
      <c r="Q46" s="262"/>
      <c r="R46" s="263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</row>
    <row r="47" spans="1:45" s="266" customFormat="1" ht="9.4499999999999993" customHeight="1" x14ac:dyDescent="0.25">
      <c r="A47" s="298"/>
      <c r="B47" s="270"/>
      <c r="C47" s="270"/>
      <c r="D47" s="270"/>
      <c r="E47" s="270"/>
      <c r="F47" s="260"/>
      <c r="G47" s="260"/>
      <c r="H47" s="264"/>
      <c r="I47" s="299"/>
      <c r="J47" s="270"/>
      <c r="K47" s="260"/>
      <c r="L47" s="260"/>
      <c r="M47" s="260"/>
      <c r="N47" s="262"/>
      <c r="O47" s="262"/>
      <c r="P47" s="262"/>
      <c r="Q47" s="262"/>
      <c r="R47" s="263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</row>
    <row r="48" spans="1:45" s="266" customFormat="1" ht="9.4499999999999993" customHeight="1" x14ac:dyDescent="0.25">
      <c r="A48" s="298"/>
      <c r="B48" s="260"/>
      <c r="C48" s="260"/>
      <c r="D48" s="260"/>
      <c r="E48" s="270"/>
      <c r="F48" s="260"/>
      <c r="G48" s="260"/>
      <c r="H48" s="260"/>
      <c r="I48" s="260"/>
      <c r="J48" s="270"/>
      <c r="K48" s="260"/>
      <c r="L48" s="300"/>
      <c r="M48" s="260"/>
      <c r="N48" s="262"/>
      <c r="O48" s="262"/>
      <c r="P48" s="262"/>
      <c r="Q48" s="262"/>
      <c r="R48" s="263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</row>
    <row r="49" spans="1:45" s="266" customFormat="1" ht="9.4499999999999993" customHeight="1" x14ac:dyDescent="0.25">
      <c r="A49" s="298"/>
      <c r="B49" s="270"/>
      <c r="C49" s="270"/>
      <c r="D49" s="270"/>
      <c r="E49" s="270"/>
      <c r="F49" s="260"/>
      <c r="G49" s="260"/>
      <c r="H49" s="264"/>
      <c r="I49" s="260"/>
      <c r="J49" s="270"/>
      <c r="K49" s="299"/>
      <c r="L49" s="270"/>
      <c r="M49" s="260"/>
      <c r="N49" s="262"/>
      <c r="O49" s="262"/>
      <c r="P49" s="262"/>
      <c r="Q49" s="262"/>
      <c r="R49" s="263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</row>
    <row r="50" spans="1:45" s="266" customFormat="1" ht="9.4499999999999993" customHeight="1" x14ac:dyDescent="0.25">
      <c r="A50" s="298"/>
      <c r="B50" s="260"/>
      <c r="C50" s="260"/>
      <c r="D50" s="260"/>
      <c r="E50" s="270"/>
      <c r="F50" s="260"/>
      <c r="G50" s="260"/>
      <c r="H50" s="260"/>
      <c r="I50" s="260"/>
      <c r="J50" s="270"/>
      <c r="K50" s="260"/>
      <c r="L50" s="260"/>
      <c r="M50" s="260"/>
      <c r="N50" s="262"/>
      <c r="O50" s="262"/>
      <c r="P50" s="262"/>
      <c r="Q50" s="262"/>
      <c r="R50" s="263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</row>
    <row r="51" spans="1:45" s="266" customFormat="1" ht="9.4499999999999993" customHeight="1" x14ac:dyDescent="0.25">
      <c r="A51" s="298"/>
      <c r="B51" s="270"/>
      <c r="C51" s="270"/>
      <c r="D51" s="270"/>
      <c r="E51" s="270"/>
      <c r="F51" s="260"/>
      <c r="G51" s="260"/>
      <c r="H51" s="264"/>
      <c r="I51" s="299"/>
      <c r="J51" s="270"/>
      <c r="K51" s="260"/>
      <c r="L51" s="260"/>
      <c r="M51" s="260"/>
      <c r="N51" s="262"/>
      <c r="O51" s="262"/>
      <c r="P51" s="262"/>
      <c r="Q51" s="262"/>
      <c r="R51" s="263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</row>
    <row r="52" spans="1:45" s="266" customFormat="1" ht="9.4499999999999993" customHeight="1" x14ac:dyDescent="0.25">
      <c r="A52" s="297"/>
      <c r="B52" s="260"/>
      <c r="C52" s="260"/>
      <c r="D52" s="260"/>
      <c r="E52" s="270"/>
      <c r="F52" s="304"/>
      <c r="G52" s="304"/>
      <c r="H52" s="304"/>
      <c r="I52" s="304"/>
      <c r="J52" s="270"/>
      <c r="K52" s="260"/>
      <c r="L52" s="260"/>
      <c r="M52" s="260"/>
      <c r="N52" s="260"/>
      <c r="O52" s="260"/>
      <c r="P52" s="260"/>
      <c r="Q52" s="262"/>
      <c r="R52" s="263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</row>
    <row r="53" spans="1:45" s="311" customFormat="1" ht="6.75" customHeight="1" x14ac:dyDescent="0.25">
      <c r="A53" s="305"/>
      <c r="B53" s="305"/>
      <c r="C53" s="305"/>
      <c r="D53" s="305"/>
      <c r="E53" s="305"/>
      <c r="F53" s="306"/>
      <c r="G53" s="306"/>
      <c r="H53" s="306"/>
      <c r="I53" s="306"/>
      <c r="J53" s="307"/>
      <c r="K53" s="308"/>
      <c r="L53" s="309"/>
      <c r="M53" s="308"/>
      <c r="N53" s="309"/>
      <c r="O53" s="308"/>
      <c r="P53" s="309"/>
      <c r="Q53" s="308"/>
      <c r="R53" s="309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264"/>
      <c r="AJ53" s="264"/>
      <c r="AK53" s="264"/>
      <c r="AL53" s="310"/>
      <c r="AM53" s="310"/>
      <c r="AN53" s="310"/>
      <c r="AO53" s="310"/>
      <c r="AP53" s="310"/>
      <c r="AQ53" s="310"/>
      <c r="AR53" s="310"/>
      <c r="AS53" s="310"/>
    </row>
    <row r="54" spans="1:45" s="324" customFormat="1" ht="10.5" customHeight="1" x14ac:dyDescent="0.25">
      <c r="A54" s="312" t="s">
        <v>26</v>
      </c>
      <c r="B54" s="313"/>
      <c r="C54" s="313"/>
      <c r="D54" s="314"/>
      <c r="E54" s="315" t="s">
        <v>0</v>
      </c>
      <c r="F54" s="316" t="s">
        <v>28</v>
      </c>
      <c r="G54" s="315"/>
      <c r="H54" s="317"/>
      <c r="I54" s="318"/>
      <c r="J54" s="315" t="s">
        <v>0</v>
      </c>
      <c r="K54" s="316" t="s">
        <v>35</v>
      </c>
      <c r="L54" s="319"/>
      <c r="M54" s="316" t="s">
        <v>36</v>
      </c>
      <c r="N54" s="320"/>
      <c r="O54" s="321" t="s">
        <v>37</v>
      </c>
      <c r="P54" s="321"/>
      <c r="Q54" s="322"/>
      <c r="R54" s="323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6"/>
      <c r="AJ54" s="326"/>
      <c r="AK54" s="326"/>
      <c r="AL54" s="325"/>
      <c r="AM54" s="325"/>
      <c r="AN54" s="325"/>
      <c r="AO54" s="325"/>
      <c r="AP54" s="325"/>
      <c r="AQ54" s="325"/>
      <c r="AR54" s="325"/>
      <c r="AS54" s="325"/>
    </row>
    <row r="55" spans="1:45" s="324" customFormat="1" ht="9" customHeight="1" x14ac:dyDescent="0.25">
      <c r="A55" s="327" t="s">
        <v>27</v>
      </c>
      <c r="B55" s="328"/>
      <c r="C55" s="329"/>
      <c r="D55" s="330"/>
      <c r="E55" s="331">
        <v>1</v>
      </c>
      <c r="F55" s="325" t="str">
        <f>IF(E55&gt;$R$62,,UPPER(VLOOKUP(E55,'[7]1MD ELO'!$A$7:$Q$134,2)))</f>
        <v/>
      </c>
      <c r="G55" s="331"/>
      <c r="H55" s="325"/>
      <c r="I55" s="332"/>
      <c r="J55" s="333" t="s">
        <v>1</v>
      </c>
      <c r="K55" s="334"/>
      <c r="L55" s="335"/>
      <c r="M55" s="334"/>
      <c r="N55" s="336"/>
      <c r="O55" s="337" t="s">
        <v>29</v>
      </c>
      <c r="P55" s="338"/>
      <c r="Q55" s="338"/>
      <c r="R55" s="336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6"/>
      <c r="AJ55" s="326"/>
      <c r="AK55" s="326"/>
      <c r="AL55" s="325"/>
      <c r="AM55" s="325"/>
      <c r="AN55" s="325"/>
      <c r="AO55" s="325"/>
      <c r="AP55" s="325"/>
      <c r="AQ55" s="325"/>
      <c r="AR55" s="325"/>
      <c r="AS55" s="325"/>
    </row>
    <row r="56" spans="1:45" s="324" customFormat="1" ht="9" customHeight="1" x14ac:dyDescent="0.25">
      <c r="A56" s="339" t="s">
        <v>34</v>
      </c>
      <c r="B56" s="340"/>
      <c r="C56" s="341"/>
      <c r="D56" s="342"/>
      <c r="E56" s="331">
        <v>2</v>
      </c>
      <c r="F56" s="325" t="str">
        <f>IF(E56&gt;$R$62,,UPPER(VLOOKUP(E56,'[7]1MD ELO'!$A$7:$Q$134,2)))</f>
        <v/>
      </c>
      <c r="G56" s="331"/>
      <c r="H56" s="325"/>
      <c r="I56" s="332"/>
      <c r="J56" s="333" t="s">
        <v>2</v>
      </c>
      <c r="K56" s="334"/>
      <c r="L56" s="335"/>
      <c r="M56" s="334"/>
      <c r="N56" s="336"/>
      <c r="O56" s="343"/>
      <c r="P56" s="344"/>
      <c r="Q56" s="340"/>
      <c r="R56" s="34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6"/>
      <c r="AJ56" s="326"/>
      <c r="AK56" s="326"/>
      <c r="AL56" s="325"/>
      <c r="AM56" s="325"/>
      <c r="AN56" s="325"/>
      <c r="AO56" s="325"/>
      <c r="AP56" s="325"/>
      <c r="AQ56" s="325"/>
      <c r="AR56" s="325"/>
      <c r="AS56" s="325"/>
    </row>
    <row r="57" spans="1:45" s="324" customFormat="1" ht="9" customHeight="1" x14ac:dyDescent="0.25">
      <c r="A57" s="346"/>
      <c r="B57" s="347"/>
      <c r="C57" s="348"/>
      <c r="D57" s="349"/>
      <c r="E57" s="331"/>
      <c r="F57" s="325"/>
      <c r="G57" s="331"/>
      <c r="H57" s="325"/>
      <c r="I57" s="332"/>
      <c r="J57" s="333" t="s">
        <v>3</v>
      </c>
      <c r="K57" s="334"/>
      <c r="L57" s="335"/>
      <c r="M57" s="334"/>
      <c r="N57" s="336"/>
      <c r="O57" s="337" t="s">
        <v>30</v>
      </c>
      <c r="P57" s="338"/>
      <c r="Q57" s="338"/>
      <c r="R57" s="336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6"/>
      <c r="AJ57" s="326"/>
      <c r="AK57" s="326"/>
      <c r="AL57" s="325"/>
      <c r="AM57" s="325"/>
      <c r="AN57" s="325"/>
      <c r="AO57" s="325"/>
      <c r="AP57" s="325"/>
      <c r="AQ57" s="325"/>
      <c r="AR57" s="325"/>
      <c r="AS57" s="325"/>
    </row>
    <row r="58" spans="1:45" s="324" customFormat="1" ht="9" customHeight="1" x14ac:dyDescent="0.25">
      <c r="A58" s="350"/>
      <c r="B58" s="236"/>
      <c r="C58" s="236"/>
      <c r="D58" s="351"/>
      <c r="E58" s="331"/>
      <c r="F58" s="325"/>
      <c r="G58" s="331"/>
      <c r="H58" s="325"/>
      <c r="I58" s="332"/>
      <c r="J58" s="333" t="s">
        <v>4</v>
      </c>
      <c r="K58" s="334"/>
      <c r="L58" s="335"/>
      <c r="M58" s="334"/>
      <c r="N58" s="336"/>
      <c r="O58" s="334"/>
      <c r="P58" s="335"/>
      <c r="Q58" s="334"/>
      <c r="R58" s="336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6"/>
      <c r="AJ58" s="326"/>
      <c r="AK58" s="326"/>
      <c r="AL58" s="325"/>
      <c r="AM58" s="325"/>
      <c r="AN58" s="325"/>
      <c r="AO58" s="325"/>
      <c r="AP58" s="325"/>
      <c r="AQ58" s="325"/>
      <c r="AR58" s="325"/>
      <c r="AS58" s="325"/>
    </row>
    <row r="59" spans="1:45" s="324" customFormat="1" ht="9" customHeight="1" x14ac:dyDescent="0.25">
      <c r="A59" s="352"/>
      <c r="B59" s="353"/>
      <c r="C59" s="353"/>
      <c r="D59" s="354"/>
      <c r="E59" s="331"/>
      <c r="F59" s="325"/>
      <c r="G59" s="331"/>
      <c r="H59" s="325"/>
      <c r="I59" s="332"/>
      <c r="J59" s="333" t="s">
        <v>5</v>
      </c>
      <c r="K59" s="334"/>
      <c r="L59" s="335"/>
      <c r="M59" s="334"/>
      <c r="N59" s="336"/>
      <c r="O59" s="340"/>
      <c r="P59" s="344"/>
      <c r="Q59" s="340"/>
      <c r="R59" s="34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6"/>
      <c r="AJ59" s="326"/>
      <c r="AK59" s="326"/>
      <c r="AL59" s="325"/>
      <c r="AM59" s="325"/>
      <c r="AN59" s="325"/>
      <c r="AO59" s="325"/>
      <c r="AP59" s="325"/>
      <c r="AQ59" s="325"/>
      <c r="AR59" s="325"/>
      <c r="AS59" s="325"/>
    </row>
    <row r="60" spans="1:45" s="324" customFormat="1" ht="9" customHeight="1" x14ac:dyDescent="0.25">
      <c r="A60" s="355"/>
      <c r="B60" s="356"/>
      <c r="C60" s="236"/>
      <c r="D60" s="351"/>
      <c r="E60" s="331"/>
      <c r="F60" s="325"/>
      <c r="G60" s="331"/>
      <c r="H60" s="325"/>
      <c r="I60" s="332"/>
      <c r="J60" s="333" t="s">
        <v>6</v>
      </c>
      <c r="K60" s="334"/>
      <c r="L60" s="335"/>
      <c r="M60" s="334"/>
      <c r="N60" s="336"/>
      <c r="O60" s="337" t="s">
        <v>25</v>
      </c>
      <c r="P60" s="338"/>
      <c r="Q60" s="338"/>
      <c r="R60" s="336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6"/>
      <c r="AJ60" s="326"/>
      <c r="AK60" s="326"/>
      <c r="AL60" s="325"/>
      <c r="AM60" s="325"/>
      <c r="AN60" s="325"/>
      <c r="AO60" s="325"/>
      <c r="AP60" s="325"/>
      <c r="AQ60" s="325"/>
      <c r="AR60" s="325"/>
      <c r="AS60" s="325"/>
    </row>
    <row r="61" spans="1:45" s="324" customFormat="1" ht="9" customHeight="1" x14ac:dyDescent="0.25">
      <c r="A61" s="355"/>
      <c r="B61" s="356"/>
      <c r="C61" s="357"/>
      <c r="D61" s="358"/>
      <c r="E61" s="331"/>
      <c r="F61" s="325"/>
      <c r="G61" s="331"/>
      <c r="H61" s="325"/>
      <c r="I61" s="332"/>
      <c r="J61" s="333" t="s">
        <v>7</v>
      </c>
      <c r="K61" s="334"/>
      <c r="L61" s="335"/>
      <c r="M61" s="334"/>
      <c r="N61" s="336"/>
      <c r="O61" s="334"/>
      <c r="P61" s="335"/>
      <c r="Q61" s="334"/>
      <c r="R61" s="336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6"/>
      <c r="AJ61" s="326"/>
      <c r="AK61" s="326"/>
      <c r="AL61" s="325"/>
      <c r="AM61" s="325"/>
      <c r="AN61" s="325"/>
      <c r="AO61" s="325"/>
      <c r="AP61" s="325"/>
      <c r="AQ61" s="325"/>
      <c r="AR61" s="325"/>
      <c r="AS61" s="325"/>
    </row>
    <row r="62" spans="1:45" s="324" customFormat="1" ht="9" customHeight="1" x14ac:dyDescent="0.25">
      <c r="A62" s="359"/>
      <c r="B62" s="360"/>
      <c r="C62" s="361"/>
      <c r="D62" s="362"/>
      <c r="E62" s="363"/>
      <c r="F62" s="343"/>
      <c r="G62" s="363"/>
      <c r="H62" s="343"/>
      <c r="I62" s="364"/>
      <c r="J62" s="365" t="s">
        <v>8</v>
      </c>
      <c r="K62" s="340"/>
      <c r="L62" s="344"/>
      <c r="M62" s="340"/>
      <c r="N62" s="345"/>
      <c r="O62" s="340">
        <f>R4</f>
        <v>0</v>
      </c>
      <c r="P62" s="344"/>
      <c r="Q62" s="340"/>
      <c r="R62" s="366">
        <f>MIN(4,'[7]1MD ELO'!Q5)</f>
        <v>4</v>
      </c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6"/>
      <c r="AJ62" s="326"/>
      <c r="AK62" s="326"/>
      <c r="AL62" s="325"/>
      <c r="AM62" s="325"/>
      <c r="AN62" s="325"/>
      <c r="AO62" s="325"/>
      <c r="AP62" s="325"/>
      <c r="AQ62" s="325"/>
      <c r="AR62" s="325"/>
      <c r="AS62" s="325"/>
    </row>
    <row r="63" spans="1:45" x14ac:dyDescent="0.25"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L63" s="369"/>
      <c r="AM63" s="369"/>
      <c r="AN63" s="369"/>
      <c r="AO63" s="369"/>
      <c r="AP63" s="369"/>
      <c r="AQ63" s="369"/>
      <c r="AR63" s="369"/>
      <c r="AS63" s="369"/>
    </row>
    <row r="64" spans="1:45" x14ac:dyDescent="0.25"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L64" s="369"/>
      <c r="AM64" s="369"/>
      <c r="AN64" s="369"/>
      <c r="AO64" s="369"/>
      <c r="AP64" s="369"/>
      <c r="AQ64" s="369"/>
      <c r="AR64" s="369"/>
      <c r="AS64" s="369"/>
    </row>
    <row r="65" spans="20:45" x14ac:dyDescent="0.25"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L65" s="369"/>
      <c r="AM65" s="369"/>
      <c r="AN65" s="369"/>
      <c r="AO65" s="369"/>
      <c r="AP65" s="369"/>
      <c r="AQ65" s="369"/>
      <c r="AR65" s="369"/>
      <c r="AS65" s="369"/>
    </row>
    <row r="66" spans="20:45" x14ac:dyDescent="0.25"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L66" s="369"/>
      <c r="AM66" s="369"/>
      <c r="AN66" s="369"/>
      <c r="AO66" s="369"/>
      <c r="AP66" s="369"/>
      <c r="AQ66" s="369"/>
      <c r="AR66" s="369"/>
      <c r="AS66" s="369"/>
    </row>
    <row r="67" spans="20:45" x14ac:dyDescent="0.25"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L67" s="369"/>
      <c r="AM67" s="369"/>
      <c r="AN67" s="369"/>
      <c r="AO67" s="369"/>
      <c r="AP67" s="369"/>
      <c r="AQ67" s="369"/>
      <c r="AR67" s="369"/>
      <c r="AS67" s="369"/>
    </row>
    <row r="68" spans="20:45" x14ac:dyDescent="0.25"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L68" s="369"/>
      <c r="AM68" s="369"/>
      <c r="AN68" s="369"/>
      <c r="AO68" s="369"/>
      <c r="AP68" s="369"/>
      <c r="AQ68" s="369"/>
      <c r="AR68" s="369"/>
      <c r="AS68" s="369"/>
    </row>
    <row r="69" spans="20:45" x14ac:dyDescent="0.25"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L69" s="369"/>
      <c r="AM69" s="369"/>
      <c r="AN69" s="369"/>
      <c r="AO69" s="369"/>
      <c r="AP69" s="369"/>
      <c r="AQ69" s="369"/>
      <c r="AR69" s="369"/>
      <c r="AS69" s="369"/>
    </row>
    <row r="70" spans="20:45" x14ac:dyDescent="0.25"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L70" s="369"/>
      <c r="AM70" s="369"/>
      <c r="AN70" s="369"/>
      <c r="AO70" s="369"/>
      <c r="AP70" s="369"/>
      <c r="AQ70" s="369"/>
      <c r="AR70" s="369"/>
      <c r="AS70" s="369"/>
    </row>
    <row r="71" spans="20:45" x14ac:dyDescent="0.25"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L71" s="369"/>
      <c r="AM71" s="369"/>
      <c r="AN71" s="369"/>
      <c r="AO71" s="369"/>
      <c r="AP71" s="369"/>
      <c r="AQ71" s="369"/>
      <c r="AR71" s="369"/>
      <c r="AS71" s="369"/>
    </row>
    <row r="72" spans="20:45" x14ac:dyDescent="0.25"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L72" s="369"/>
      <c r="AM72" s="369"/>
      <c r="AN72" s="369"/>
      <c r="AO72" s="369"/>
      <c r="AP72" s="369"/>
      <c r="AQ72" s="369"/>
      <c r="AR72" s="369"/>
      <c r="AS72" s="369"/>
    </row>
    <row r="73" spans="20:45" x14ac:dyDescent="0.25"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L73" s="369"/>
      <c r="AM73" s="369"/>
      <c r="AN73" s="369"/>
      <c r="AO73" s="369"/>
      <c r="AP73" s="369"/>
      <c r="AQ73" s="369"/>
      <c r="AR73" s="369"/>
      <c r="AS73" s="369"/>
    </row>
    <row r="74" spans="20:45" x14ac:dyDescent="0.25"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L74" s="369"/>
      <c r="AM74" s="369"/>
      <c r="AN74" s="369"/>
      <c r="AO74" s="369"/>
      <c r="AP74" s="369"/>
      <c r="AQ74" s="369"/>
      <c r="AR74" s="369"/>
      <c r="AS74" s="369"/>
    </row>
    <row r="75" spans="20:45" x14ac:dyDescent="0.25"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L75" s="369"/>
      <c r="AM75" s="369"/>
      <c r="AN75" s="369"/>
      <c r="AO75" s="369"/>
      <c r="AP75" s="369"/>
      <c r="AQ75" s="369"/>
      <c r="AR75" s="369"/>
      <c r="AS75" s="369"/>
    </row>
    <row r="76" spans="20:45" x14ac:dyDescent="0.25"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L76" s="369"/>
      <c r="AM76" s="369"/>
      <c r="AN76" s="369"/>
      <c r="AO76" s="369"/>
      <c r="AP76" s="369"/>
      <c r="AQ76" s="369"/>
      <c r="AR76" s="369"/>
      <c r="AS76" s="369"/>
    </row>
    <row r="77" spans="20:45" x14ac:dyDescent="0.25"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L77" s="369"/>
      <c r="AM77" s="369"/>
      <c r="AN77" s="369"/>
      <c r="AO77" s="369"/>
      <c r="AP77" s="369"/>
      <c r="AQ77" s="369"/>
      <c r="AR77" s="369"/>
      <c r="AS77" s="369"/>
    </row>
    <row r="78" spans="20:45" x14ac:dyDescent="0.25"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L78" s="369"/>
      <c r="AM78" s="369"/>
      <c r="AN78" s="369"/>
      <c r="AO78" s="369"/>
      <c r="AP78" s="369"/>
      <c r="AQ78" s="369"/>
      <c r="AR78" s="369"/>
      <c r="AS78" s="369"/>
    </row>
    <row r="79" spans="20:45" x14ac:dyDescent="0.25"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L79" s="369"/>
      <c r="AM79" s="369"/>
      <c r="AN79" s="369"/>
      <c r="AO79" s="369"/>
      <c r="AP79" s="369"/>
      <c r="AQ79" s="369"/>
      <c r="AR79" s="369"/>
      <c r="AS79" s="369"/>
    </row>
    <row r="80" spans="20:45" x14ac:dyDescent="0.25"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L80" s="369"/>
      <c r="AM80" s="369"/>
      <c r="AN80" s="369"/>
      <c r="AO80" s="369"/>
      <c r="AP80" s="369"/>
      <c r="AQ80" s="369"/>
      <c r="AR80" s="369"/>
      <c r="AS80" s="369"/>
    </row>
    <row r="81" spans="20:45" x14ac:dyDescent="0.25"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L81" s="369"/>
      <c r="AM81" s="369"/>
      <c r="AN81" s="369"/>
      <c r="AO81" s="369"/>
      <c r="AP81" s="369"/>
      <c r="AQ81" s="369"/>
      <c r="AR81" s="369"/>
      <c r="AS81" s="369"/>
    </row>
    <row r="82" spans="20:45" x14ac:dyDescent="0.25"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L82" s="369"/>
      <c r="AM82" s="369"/>
      <c r="AN82" s="369"/>
      <c r="AO82" s="369"/>
      <c r="AP82" s="369"/>
      <c r="AQ82" s="369"/>
      <c r="AR82" s="369"/>
      <c r="AS82" s="369"/>
    </row>
    <row r="83" spans="20:45" x14ac:dyDescent="0.25"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L83" s="369"/>
      <c r="AM83" s="369"/>
      <c r="AN83" s="369"/>
      <c r="AO83" s="369"/>
      <c r="AP83" s="369"/>
      <c r="AQ83" s="369"/>
      <c r="AR83" s="369"/>
      <c r="AS83" s="369"/>
    </row>
    <row r="84" spans="20:45" x14ac:dyDescent="0.25"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L84" s="369"/>
      <c r="AM84" s="369"/>
      <c r="AN84" s="369"/>
      <c r="AO84" s="369"/>
      <c r="AP84" s="369"/>
      <c r="AQ84" s="369"/>
      <c r="AR84" s="369"/>
      <c r="AS84" s="369"/>
    </row>
    <row r="85" spans="20:45" x14ac:dyDescent="0.25"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L85" s="369"/>
      <c r="AM85" s="369"/>
      <c r="AN85" s="369"/>
      <c r="AO85" s="369"/>
      <c r="AP85" s="369"/>
      <c r="AQ85" s="369"/>
      <c r="AR85" s="369"/>
      <c r="AS85" s="369"/>
    </row>
    <row r="86" spans="20:45" x14ac:dyDescent="0.25"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L86" s="369"/>
      <c r="AM86" s="369"/>
      <c r="AN86" s="369"/>
      <c r="AO86" s="369"/>
      <c r="AP86" s="369"/>
      <c r="AQ86" s="369"/>
      <c r="AR86" s="369"/>
      <c r="AS86" s="369"/>
    </row>
    <row r="87" spans="20:45" x14ac:dyDescent="0.25"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L87" s="369"/>
      <c r="AM87" s="369"/>
      <c r="AN87" s="369"/>
      <c r="AO87" s="369"/>
      <c r="AP87" s="369"/>
      <c r="AQ87" s="369"/>
      <c r="AR87" s="369"/>
      <c r="AS87" s="369"/>
    </row>
    <row r="88" spans="20:45" x14ac:dyDescent="0.25"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L88" s="369"/>
      <c r="AM88" s="369"/>
      <c r="AN88" s="369"/>
      <c r="AO88" s="369"/>
      <c r="AP88" s="369"/>
      <c r="AQ88" s="369"/>
      <c r="AR88" s="369"/>
      <c r="AS88" s="369"/>
    </row>
    <row r="89" spans="20:45" x14ac:dyDescent="0.25"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L89" s="369"/>
      <c r="AM89" s="369"/>
      <c r="AN89" s="369"/>
      <c r="AO89" s="369"/>
      <c r="AP89" s="369"/>
      <c r="AQ89" s="369"/>
      <c r="AR89" s="369"/>
      <c r="AS89" s="369"/>
    </row>
    <row r="90" spans="20:45" x14ac:dyDescent="0.25"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L90" s="369"/>
      <c r="AM90" s="369"/>
      <c r="AN90" s="369"/>
      <c r="AO90" s="369"/>
      <c r="AP90" s="369"/>
      <c r="AQ90" s="369"/>
      <c r="AR90" s="369"/>
      <c r="AS90" s="369"/>
    </row>
    <row r="91" spans="20:45" x14ac:dyDescent="0.25"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L91" s="369"/>
      <c r="AM91" s="369"/>
      <c r="AN91" s="369"/>
      <c r="AO91" s="369"/>
      <c r="AP91" s="369"/>
      <c r="AQ91" s="369"/>
      <c r="AR91" s="369"/>
      <c r="AS91" s="369"/>
    </row>
    <row r="92" spans="20:45" x14ac:dyDescent="0.25"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L92" s="369"/>
      <c r="AM92" s="369"/>
      <c r="AN92" s="369"/>
      <c r="AO92" s="369"/>
      <c r="AP92" s="369"/>
      <c r="AQ92" s="369"/>
      <c r="AR92" s="369"/>
      <c r="AS92" s="369"/>
    </row>
    <row r="93" spans="20:45" x14ac:dyDescent="0.25"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L93" s="369"/>
      <c r="AM93" s="369"/>
      <c r="AN93" s="369"/>
      <c r="AO93" s="369"/>
      <c r="AP93" s="369"/>
      <c r="AQ93" s="369"/>
      <c r="AR93" s="369"/>
      <c r="AS93" s="369"/>
    </row>
    <row r="94" spans="20:45" x14ac:dyDescent="0.25"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L94" s="369"/>
      <c r="AM94" s="369"/>
      <c r="AN94" s="369"/>
      <c r="AO94" s="369"/>
      <c r="AP94" s="369"/>
      <c r="AQ94" s="369"/>
      <c r="AR94" s="369"/>
      <c r="AS94" s="369"/>
    </row>
    <row r="95" spans="20:45" x14ac:dyDescent="0.25"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L95" s="369"/>
      <c r="AM95" s="369"/>
      <c r="AN95" s="369"/>
      <c r="AO95" s="369"/>
      <c r="AP95" s="369"/>
      <c r="AQ95" s="369"/>
      <c r="AR95" s="369"/>
      <c r="AS95" s="369"/>
    </row>
    <row r="96" spans="20:45" x14ac:dyDescent="0.25"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L96" s="369"/>
      <c r="AM96" s="369"/>
      <c r="AN96" s="369"/>
      <c r="AO96" s="369"/>
      <c r="AP96" s="369"/>
      <c r="AQ96" s="369"/>
      <c r="AR96" s="369"/>
      <c r="AS96" s="369"/>
    </row>
    <row r="97" spans="20:45" x14ac:dyDescent="0.25"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L97" s="369"/>
      <c r="AM97" s="369"/>
      <c r="AN97" s="369"/>
      <c r="AO97" s="369"/>
      <c r="AP97" s="369"/>
      <c r="AQ97" s="369"/>
      <c r="AR97" s="369"/>
      <c r="AS97" s="369"/>
    </row>
    <row r="98" spans="20:45" x14ac:dyDescent="0.25"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L98" s="369"/>
      <c r="AM98" s="369"/>
      <c r="AN98" s="369"/>
      <c r="AO98" s="369"/>
      <c r="AP98" s="369"/>
      <c r="AQ98" s="369"/>
      <c r="AR98" s="369"/>
      <c r="AS98" s="369"/>
    </row>
    <row r="99" spans="20:45" x14ac:dyDescent="0.25"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L99" s="369"/>
      <c r="AM99" s="369"/>
      <c r="AN99" s="369"/>
      <c r="AO99" s="369"/>
      <c r="AP99" s="369"/>
      <c r="AQ99" s="369"/>
      <c r="AR99" s="369"/>
      <c r="AS99" s="369"/>
    </row>
    <row r="100" spans="20:45" x14ac:dyDescent="0.25"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L100" s="369"/>
      <c r="AM100" s="369"/>
      <c r="AN100" s="369"/>
      <c r="AO100" s="369"/>
      <c r="AP100" s="369"/>
      <c r="AQ100" s="369"/>
      <c r="AR100" s="369"/>
      <c r="AS100" s="369"/>
    </row>
    <row r="101" spans="20:45" x14ac:dyDescent="0.25"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L101" s="369"/>
      <c r="AM101" s="369"/>
      <c r="AN101" s="369"/>
      <c r="AO101" s="369"/>
      <c r="AP101" s="369"/>
      <c r="AQ101" s="369"/>
      <c r="AR101" s="369"/>
      <c r="AS101" s="369"/>
    </row>
    <row r="102" spans="20:45" x14ac:dyDescent="0.25"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L102" s="369"/>
      <c r="AM102" s="369"/>
      <c r="AN102" s="369"/>
      <c r="AO102" s="369"/>
      <c r="AP102" s="369"/>
      <c r="AQ102" s="369"/>
      <c r="AR102" s="369"/>
      <c r="AS102" s="369"/>
    </row>
    <row r="103" spans="20:45" x14ac:dyDescent="0.25"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L103" s="369"/>
      <c r="AM103" s="369"/>
      <c r="AN103" s="369"/>
      <c r="AO103" s="369"/>
      <c r="AP103" s="369"/>
      <c r="AQ103" s="369"/>
      <c r="AR103" s="369"/>
      <c r="AS103" s="369"/>
    </row>
    <row r="104" spans="20:45" x14ac:dyDescent="0.25"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L104" s="369"/>
      <c r="AM104" s="369"/>
      <c r="AN104" s="369"/>
      <c r="AO104" s="369"/>
      <c r="AP104" s="369"/>
      <c r="AQ104" s="369"/>
      <c r="AR104" s="369"/>
      <c r="AS104" s="369"/>
    </row>
    <row r="105" spans="20:45" x14ac:dyDescent="0.25"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L105" s="369"/>
      <c r="AM105" s="369"/>
      <c r="AN105" s="369"/>
      <c r="AO105" s="369"/>
      <c r="AP105" s="369"/>
      <c r="AQ105" s="369"/>
      <c r="AR105" s="369"/>
      <c r="AS105" s="369"/>
    </row>
    <row r="106" spans="20:45" x14ac:dyDescent="0.25"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L106" s="369"/>
      <c r="AM106" s="369"/>
      <c r="AN106" s="369"/>
      <c r="AO106" s="369"/>
      <c r="AP106" s="369"/>
      <c r="AQ106" s="369"/>
      <c r="AR106" s="369"/>
      <c r="AS106" s="369"/>
    </row>
    <row r="107" spans="20:45" x14ac:dyDescent="0.25"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L107" s="369"/>
      <c r="AM107" s="369"/>
      <c r="AN107" s="369"/>
      <c r="AO107" s="369"/>
      <c r="AP107" s="369"/>
      <c r="AQ107" s="369"/>
      <c r="AR107" s="369"/>
      <c r="AS107" s="369"/>
    </row>
    <row r="108" spans="20:45" x14ac:dyDescent="0.25"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L108" s="369"/>
      <c r="AM108" s="369"/>
      <c r="AN108" s="369"/>
      <c r="AO108" s="369"/>
      <c r="AP108" s="369"/>
      <c r="AQ108" s="369"/>
      <c r="AR108" s="369"/>
      <c r="AS108" s="369"/>
    </row>
    <row r="109" spans="20:45" x14ac:dyDescent="0.25"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L109" s="369"/>
      <c r="AM109" s="369"/>
      <c r="AN109" s="369"/>
      <c r="AO109" s="369"/>
      <c r="AP109" s="369"/>
      <c r="AQ109" s="369"/>
      <c r="AR109" s="369"/>
      <c r="AS109" s="369"/>
    </row>
    <row r="110" spans="20:45" x14ac:dyDescent="0.25"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L110" s="369"/>
      <c r="AM110" s="369"/>
      <c r="AN110" s="369"/>
      <c r="AO110" s="369"/>
      <c r="AP110" s="369"/>
      <c r="AQ110" s="369"/>
      <c r="AR110" s="369"/>
      <c r="AS110" s="369"/>
    </row>
    <row r="111" spans="20:45" x14ac:dyDescent="0.25"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L111" s="369"/>
      <c r="AM111" s="369"/>
      <c r="AN111" s="369"/>
      <c r="AO111" s="369"/>
      <c r="AP111" s="369"/>
      <c r="AQ111" s="369"/>
      <c r="AR111" s="369"/>
      <c r="AS111" s="369"/>
    </row>
    <row r="112" spans="20:45" x14ac:dyDescent="0.25"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L112" s="369"/>
      <c r="AM112" s="369"/>
      <c r="AN112" s="369"/>
      <c r="AO112" s="369"/>
      <c r="AP112" s="369"/>
      <c r="AQ112" s="369"/>
      <c r="AR112" s="369"/>
      <c r="AS112" s="369"/>
    </row>
    <row r="113" spans="20:45" x14ac:dyDescent="0.25"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L113" s="369"/>
      <c r="AM113" s="369"/>
      <c r="AN113" s="369"/>
      <c r="AO113" s="369"/>
      <c r="AP113" s="369"/>
      <c r="AQ113" s="369"/>
      <c r="AR113" s="369"/>
      <c r="AS113" s="369"/>
    </row>
    <row r="114" spans="20:45" x14ac:dyDescent="0.25"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L114" s="369"/>
      <c r="AM114" s="369"/>
      <c r="AN114" s="369"/>
      <c r="AO114" s="369"/>
      <c r="AP114" s="369"/>
      <c r="AQ114" s="369"/>
      <c r="AR114" s="369"/>
      <c r="AS114" s="369"/>
    </row>
    <row r="115" spans="20:45" x14ac:dyDescent="0.25"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L115" s="369"/>
      <c r="AM115" s="369"/>
      <c r="AN115" s="369"/>
      <c r="AO115" s="369"/>
      <c r="AP115" s="369"/>
      <c r="AQ115" s="369"/>
      <c r="AR115" s="369"/>
      <c r="AS115" s="369"/>
    </row>
    <row r="116" spans="20:45" x14ac:dyDescent="0.25"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L116" s="369"/>
      <c r="AM116" s="369"/>
      <c r="AN116" s="369"/>
      <c r="AO116" s="369"/>
      <c r="AP116" s="369"/>
      <c r="AQ116" s="369"/>
      <c r="AR116" s="369"/>
      <c r="AS116" s="369"/>
    </row>
    <row r="117" spans="20:45" x14ac:dyDescent="0.25"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L117" s="369"/>
      <c r="AM117" s="369"/>
      <c r="AN117" s="369"/>
      <c r="AO117" s="369"/>
      <c r="AP117" s="369"/>
      <c r="AQ117" s="369"/>
      <c r="AR117" s="369"/>
      <c r="AS117" s="369"/>
    </row>
    <row r="118" spans="20:45" x14ac:dyDescent="0.25"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L118" s="369"/>
      <c r="AM118" s="369"/>
      <c r="AN118" s="369"/>
      <c r="AO118" s="369"/>
      <c r="AP118" s="369"/>
      <c r="AQ118" s="369"/>
      <c r="AR118" s="369"/>
      <c r="AS118" s="369"/>
    </row>
    <row r="119" spans="20:45" x14ac:dyDescent="0.25"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L119" s="369"/>
      <c r="AM119" s="369"/>
      <c r="AN119" s="369"/>
      <c r="AO119" s="369"/>
      <c r="AP119" s="369"/>
      <c r="AQ119" s="369"/>
      <c r="AR119" s="369"/>
      <c r="AS119" s="369"/>
    </row>
    <row r="120" spans="20:45" x14ac:dyDescent="0.25"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L120" s="369"/>
      <c r="AM120" s="369"/>
      <c r="AN120" s="369"/>
      <c r="AO120" s="369"/>
      <c r="AP120" s="369"/>
      <c r="AQ120" s="369"/>
      <c r="AR120" s="369"/>
      <c r="AS120" s="369"/>
    </row>
    <row r="121" spans="20:45" x14ac:dyDescent="0.25"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L121" s="369"/>
      <c r="AM121" s="369"/>
      <c r="AN121" s="369"/>
      <c r="AO121" s="369"/>
      <c r="AP121" s="369"/>
      <c r="AQ121" s="369"/>
      <c r="AR121" s="369"/>
      <c r="AS121" s="369"/>
    </row>
    <row r="122" spans="20:45" x14ac:dyDescent="0.25"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L122" s="369"/>
      <c r="AM122" s="369"/>
      <c r="AN122" s="369"/>
      <c r="AO122" s="369"/>
      <c r="AP122" s="369"/>
      <c r="AQ122" s="369"/>
      <c r="AR122" s="369"/>
      <c r="AS122" s="369"/>
    </row>
    <row r="123" spans="20:45" x14ac:dyDescent="0.25"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L123" s="369"/>
      <c r="AM123" s="369"/>
      <c r="AN123" s="369"/>
      <c r="AO123" s="369"/>
      <c r="AP123" s="369"/>
      <c r="AQ123" s="369"/>
      <c r="AR123" s="369"/>
      <c r="AS123" s="369"/>
    </row>
    <row r="124" spans="20:45" x14ac:dyDescent="0.25"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L124" s="369"/>
      <c r="AM124" s="369"/>
      <c r="AN124" s="369"/>
      <c r="AO124" s="369"/>
      <c r="AP124" s="369"/>
      <c r="AQ124" s="369"/>
      <c r="AR124" s="369"/>
      <c r="AS124" s="369"/>
    </row>
    <row r="125" spans="20:45" x14ac:dyDescent="0.25"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L125" s="369"/>
      <c r="AM125" s="369"/>
      <c r="AN125" s="369"/>
      <c r="AO125" s="369"/>
      <c r="AP125" s="369"/>
      <c r="AQ125" s="369"/>
      <c r="AR125" s="369"/>
      <c r="AS125" s="369"/>
    </row>
    <row r="126" spans="20:45" x14ac:dyDescent="0.25"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L126" s="369"/>
      <c r="AM126" s="369"/>
      <c r="AN126" s="369"/>
      <c r="AO126" s="369"/>
      <c r="AP126" s="369"/>
      <c r="AQ126" s="369"/>
      <c r="AR126" s="369"/>
      <c r="AS126" s="369"/>
    </row>
    <row r="127" spans="20:45" x14ac:dyDescent="0.25"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L127" s="369"/>
      <c r="AM127" s="369"/>
      <c r="AN127" s="369"/>
      <c r="AO127" s="369"/>
      <c r="AP127" s="369"/>
      <c r="AQ127" s="369"/>
      <c r="AR127" s="369"/>
      <c r="AS127" s="369"/>
    </row>
    <row r="128" spans="20:45" x14ac:dyDescent="0.25">
      <c r="T128" s="369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L128" s="369"/>
      <c r="AM128" s="369"/>
      <c r="AN128" s="369"/>
      <c r="AO128" s="369"/>
      <c r="AP128" s="369"/>
      <c r="AQ128" s="369"/>
      <c r="AR128" s="369"/>
      <c r="AS128" s="369"/>
    </row>
    <row r="129" spans="20:45" x14ac:dyDescent="0.25"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L129" s="369"/>
      <c r="AM129" s="369"/>
      <c r="AN129" s="369"/>
      <c r="AO129" s="369"/>
      <c r="AP129" s="369"/>
      <c r="AQ129" s="369"/>
      <c r="AR129" s="369"/>
      <c r="AS129" s="369"/>
    </row>
    <row r="130" spans="20:45" x14ac:dyDescent="0.25"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L130" s="369"/>
      <c r="AM130" s="369"/>
      <c r="AN130" s="369"/>
      <c r="AO130" s="369"/>
      <c r="AP130" s="369"/>
      <c r="AQ130" s="369"/>
      <c r="AR130" s="369"/>
      <c r="AS130" s="369"/>
    </row>
    <row r="131" spans="20:45" x14ac:dyDescent="0.25"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L131" s="369"/>
      <c r="AM131" s="369"/>
      <c r="AN131" s="369"/>
      <c r="AO131" s="369"/>
      <c r="AP131" s="369"/>
      <c r="AQ131" s="369"/>
      <c r="AR131" s="369"/>
      <c r="AS131" s="369"/>
    </row>
    <row r="132" spans="20:45" x14ac:dyDescent="0.25">
      <c r="T132" s="369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L132" s="369"/>
      <c r="AM132" s="369"/>
      <c r="AN132" s="369"/>
      <c r="AO132" s="369"/>
      <c r="AP132" s="369"/>
      <c r="AQ132" s="369"/>
      <c r="AR132" s="369"/>
      <c r="AS132" s="369"/>
    </row>
    <row r="133" spans="20:45" x14ac:dyDescent="0.25"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L133" s="369"/>
      <c r="AM133" s="369"/>
      <c r="AN133" s="369"/>
      <c r="AO133" s="369"/>
      <c r="AP133" s="369"/>
      <c r="AQ133" s="369"/>
      <c r="AR133" s="369"/>
      <c r="AS133" s="369"/>
    </row>
    <row r="134" spans="20:45" x14ac:dyDescent="0.25"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L134" s="369"/>
      <c r="AM134" s="369"/>
      <c r="AN134" s="369"/>
      <c r="AO134" s="369"/>
      <c r="AP134" s="369"/>
      <c r="AQ134" s="369"/>
      <c r="AR134" s="369"/>
      <c r="AS134" s="369"/>
    </row>
    <row r="135" spans="20:45" x14ac:dyDescent="0.25"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L135" s="369"/>
      <c r="AM135" s="369"/>
      <c r="AN135" s="369"/>
      <c r="AO135" s="369"/>
      <c r="AP135" s="369"/>
      <c r="AQ135" s="369"/>
      <c r="AR135" s="369"/>
      <c r="AS135" s="369"/>
    </row>
    <row r="136" spans="20:45" x14ac:dyDescent="0.25"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L136" s="369"/>
      <c r="AM136" s="369"/>
      <c r="AN136" s="369"/>
      <c r="AO136" s="369"/>
      <c r="AP136" s="369"/>
      <c r="AQ136" s="369"/>
      <c r="AR136" s="369"/>
      <c r="AS136" s="369"/>
    </row>
    <row r="137" spans="20:45" x14ac:dyDescent="0.25"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L137" s="369"/>
      <c r="AM137" s="369"/>
      <c r="AN137" s="369"/>
      <c r="AO137" s="369"/>
      <c r="AP137" s="369"/>
      <c r="AQ137" s="369"/>
      <c r="AR137" s="369"/>
      <c r="AS137" s="369"/>
    </row>
    <row r="138" spans="20:45" x14ac:dyDescent="0.25"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L138" s="369"/>
      <c r="AM138" s="369"/>
      <c r="AN138" s="369"/>
      <c r="AO138" s="369"/>
      <c r="AP138" s="369"/>
      <c r="AQ138" s="369"/>
      <c r="AR138" s="369"/>
      <c r="AS138" s="369"/>
    </row>
    <row r="139" spans="20:45" x14ac:dyDescent="0.25"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L139" s="369"/>
      <c r="AM139" s="369"/>
      <c r="AN139" s="369"/>
      <c r="AO139" s="369"/>
      <c r="AP139" s="369"/>
      <c r="AQ139" s="369"/>
      <c r="AR139" s="369"/>
      <c r="AS139" s="369"/>
    </row>
    <row r="140" spans="20:45" x14ac:dyDescent="0.25"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L140" s="369"/>
      <c r="AM140" s="369"/>
      <c r="AN140" s="369"/>
      <c r="AO140" s="369"/>
      <c r="AP140" s="369"/>
      <c r="AQ140" s="369"/>
      <c r="AR140" s="369"/>
      <c r="AS140" s="369"/>
    </row>
  </sheetData>
  <mergeCells count="1">
    <mergeCell ref="A4:C4"/>
  </mergeCells>
  <conditionalFormatting sqref="B22 B24 B26 B28 B30 B32 B34 B36 B38 B40 B42 B44 B46 B48 B50 B52">
    <cfRule type="cellIs" dxfId="117" priority="13" stopIfTrue="1" operator="equal">
      <formula>"QA"</formula>
    </cfRule>
    <cfRule type="cellIs" dxfId="116" priority="14" stopIfTrue="1" operator="equal">
      <formula>"DA"</formula>
    </cfRule>
  </conditionalFormatting>
  <conditionalFormatting sqref="E7 E21">
    <cfRule type="expression" dxfId="115" priority="16" stopIfTrue="1">
      <formula>$E7&lt;5</formula>
    </cfRule>
  </conditionalFormatting>
  <conditionalFormatting sqref="E22 E24 E26 E28 E30 E32 E34 E36 E38 E40 E42 E44 E46 E48 E50 E52">
    <cfRule type="expression" dxfId="114" priority="8" stopIfTrue="1">
      <formula>AND($E22&lt;9,$C22&gt;0)</formula>
    </cfRule>
  </conditionalFormatting>
  <conditionalFormatting sqref="F7 F9 F11 F13 F15 F17 F19">
    <cfRule type="cellIs" dxfId="113" priority="17" stopIfTrue="1" operator="equal">
      <formula>"Bye"</formula>
    </cfRule>
  </conditionalFormatting>
  <conditionalFormatting sqref="F21:F22 F24 F26 F28 F30 F32 F34 F36 F38 F40 F42 F44 F46 F48 F50">
    <cfRule type="cellIs" dxfId="112" priority="9" stopIfTrue="1" operator="equal">
      <formula>"Bye"</formula>
    </cfRule>
  </conditionalFormatting>
  <conditionalFormatting sqref="F22 F24 F26 F28 F30 F32 F34 F36 F38 F40 F42 F44 F46 F48 F50">
    <cfRule type="expression" dxfId="111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10" priority="4" stopIfTrue="1">
      <formula>AND($E7&lt;9,$C7&gt;0)</formula>
    </cfRule>
  </conditionalFormatting>
  <conditionalFormatting sqref="I8 K10 I12 M14 I16 K18 I20 I23 K25 I27 M29 I31 K33 I35 I39 K41 I43 M45 I47 K49 I51">
    <cfRule type="expression" dxfId="109" priority="5" stopIfTrue="1">
      <formula>AND($O$1="CU",I8="Umpire")</formula>
    </cfRule>
    <cfRule type="expression" dxfId="108" priority="6" stopIfTrue="1">
      <formula>AND($O$1="CU",I8&lt;&gt;"Umpire",J8&lt;&gt;"")</formula>
    </cfRule>
    <cfRule type="expression" dxfId="107" priority="7" stopIfTrue="1">
      <formula>AND($O$1="CU",I8&lt;&gt;"Umpire")</formula>
    </cfRule>
  </conditionalFormatting>
  <conditionalFormatting sqref="J8 L10 J12 N14 J16 L18 J20 R62">
    <cfRule type="expression" dxfId="106" priority="15" stopIfTrue="1">
      <formula>$O$1="CU"</formula>
    </cfRule>
  </conditionalFormatting>
  <conditionalFormatting sqref="K8 M10 K12 O14 K16 M18 K20 K23 M25 K27 O29 K31 M33 K35 K39 M41 K43 O45 K47 M49 K51">
    <cfRule type="expression" dxfId="105" priority="11" stopIfTrue="1">
      <formula>J8="as"</formula>
    </cfRule>
    <cfRule type="expression" dxfId="104" priority="12" stopIfTrue="1">
      <formula>J8="bs"</formula>
    </cfRule>
  </conditionalFormatting>
  <conditionalFormatting sqref="O16">
    <cfRule type="expression" dxfId="103" priority="1" stopIfTrue="1">
      <formula>AND($O$1="CU",O16="Umpire")</formula>
    </cfRule>
    <cfRule type="expression" dxfId="102" priority="2" stopIfTrue="1">
      <formula>AND($O$1="CU",O16&lt;&gt;"Umpire",P16&lt;&gt;"")</formula>
    </cfRule>
    <cfRule type="expression" dxfId="101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F12359A9-48D3-4CBF-B3EF-CD799F794DAB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C9CAB-60DB-43FF-9455-496B295FB84B}">
  <sheetPr>
    <tabColor indexed="11"/>
  </sheetPr>
  <dimension ref="A1:AS140"/>
  <sheetViews>
    <sheetView workbookViewId="0">
      <selection activeCell="O14" sqref="O14"/>
    </sheetView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33203125" style="287" customWidth="1"/>
    <col min="5" max="5" width="4.33203125" style="287" customWidth="1"/>
    <col min="6" max="6" width="17" style="287" customWidth="1"/>
    <col min="7" max="7" width="2.6640625" style="287" customWidth="1"/>
    <col min="8" max="8" width="24.77734375" style="287" bestFit="1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27" width="0" style="287" hidden="1" customWidth="1"/>
    <col min="28" max="28" width="10.33203125" style="287" hidden="1" customWidth="1"/>
    <col min="29" max="34" width="0" style="287" hidden="1" customWidth="1"/>
    <col min="35" max="37" width="9.109375" style="369" customWidth="1"/>
    <col min="38" max="16384" width="8.77734375" style="287"/>
  </cols>
  <sheetData>
    <row r="1" spans="1:45" s="209" customFormat="1" ht="21.75" customHeight="1" x14ac:dyDescent="0.25">
      <c r="A1" s="202" t="str">
        <f>[8]Altalanos!$A$6</f>
        <v>OB</v>
      </c>
      <c r="B1" s="202"/>
      <c r="C1" s="203"/>
      <c r="D1" s="203"/>
      <c r="E1" s="203"/>
      <c r="F1" s="203"/>
      <c r="G1" s="203"/>
      <c r="H1" s="202"/>
      <c r="I1" s="204"/>
      <c r="J1" s="205"/>
      <c r="K1" s="206" t="s">
        <v>33</v>
      </c>
      <c r="L1" s="207"/>
      <c r="M1" s="208"/>
      <c r="N1" s="205"/>
      <c r="O1" s="205" t="s">
        <v>9</v>
      </c>
      <c r="P1" s="205"/>
      <c r="Q1" s="203"/>
      <c r="R1" s="205"/>
      <c r="T1" s="210"/>
      <c r="U1" s="210"/>
      <c r="V1" s="210"/>
      <c r="W1" s="210"/>
      <c r="X1" s="210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  <c r="AI1" s="212"/>
      <c r="AJ1" s="212"/>
      <c r="AK1" s="212"/>
    </row>
    <row r="2" spans="1:45" s="218" customFormat="1" x14ac:dyDescent="0.25">
      <c r="A2" s="213" t="s">
        <v>32</v>
      </c>
      <c r="B2" s="214"/>
      <c r="C2" s="214"/>
      <c r="D2" s="214"/>
      <c r="E2" s="214">
        <f>[8]Altalanos!$A$8</f>
        <v>0</v>
      </c>
      <c r="F2" s="214"/>
      <c r="G2" s="215"/>
      <c r="H2" s="216"/>
      <c r="I2" s="216"/>
      <c r="J2" s="217"/>
      <c r="K2" s="207"/>
      <c r="L2" s="207"/>
      <c r="M2" s="207"/>
      <c r="N2" s="217"/>
      <c r="O2" s="216"/>
      <c r="P2" s="217"/>
      <c r="Q2" s="216"/>
      <c r="R2" s="217"/>
      <c r="T2" s="219"/>
      <c r="U2" s="219"/>
      <c r="V2" s="219"/>
      <c r="W2" s="219"/>
      <c r="X2" s="219"/>
      <c r="Y2" s="220"/>
      <c r="Z2" s="221"/>
      <c r="AA2" s="221" t="s">
        <v>43</v>
      </c>
      <c r="AB2" s="222">
        <v>300</v>
      </c>
      <c r="AC2" s="222">
        <v>250</v>
      </c>
      <c r="AD2" s="222">
        <v>200</v>
      </c>
      <c r="AE2" s="222">
        <v>150</v>
      </c>
      <c r="AF2" s="222">
        <v>120</v>
      </c>
      <c r="AG2" s="222">
        <v>90</v>
      </c>
      <c r="AH2" s="222">
        <v>40</v>
      </c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</row>
    <row r="3" spans="1:45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T3" s="227"/>
      <c r="U3" s="227"/>
      <c r="V3" s="227"/>
      <c r="W3" s="227"/>
      <c r="X3" s="227"/>
      <c r="Y3" s="221" t="str">
        <f>IF(K4="OB","A",IF(K4="IX","W",IF(K4="","",K4)))</f>
        <v/>
      </c>
      <c r="Z3" s="221"/>
      <c r="AA3" s="221" t="s">
        <v>44</v>
      </c>
      <c r="AB3" s="222">
        <v>280</v>
      </c>
      <c r="AC3" s="222">
        <v>230</v>
      </c>
      <c r="AD3" s="222">
        <v>180</v>
      </c>
      <c r="AE3" s="222">
        <v>140</v>
      </c>
      <c r="AF3" s="222">
        <v>80</v>
      </c>
      <c r="AG3" s="222">
        <v>0</v>
      </c>
      <c r="AH3" s="222">
        <v>0</v>
      </c>
      <c r="AI3" s="219"/>
      <c r="AJ3" s="219"/>
      <c r="AK3" s="219"/>
      <c r="AL3" s="227"/>
      <c r="AM3" s="227"/>
      <c r="AN3" s="227"/>
      <c r="AO3" s="227"/>
      <c r="AP3" s="227"/>
      <c r="AQ3" s="227"/>
      <c r="AR3" s="227"/>
      <c r="AS3" s="227"/>
    </row>
    <row r="4" spans="1:45" s="234" customFormat="1" ht="11.25" customHeight="1" thickBot="1" x14ac:dyDescent="0.3">
      <c r="A4" s="551">
        <f>[8]Altalanos!$A$10</f>
        <v>0</v>
      </c>
      <c r="B4" s="551"/>
      <c r="C4" s="551"/>
      <c r="D4" s="228"/>
      <c r="E4" s="229"/>
      <c r="F4" s="229"/>
      <c r="G4" s="229">
        <f>[8]Altalanos!$C$10</f>
        <v>0</v>
      </c>
      <c r="H4" s="230"/>
      <c r="I4" s="229"/>
      <c r="J4" s="231"/>
      <c r="K4" s="136"/>
      <c r="L4" s="231"/>
      <c r="M4" s="232"/>
      <c r="N4" s="231"/>
      <c r="O4" s="229"/>
      <c r="P4" s="231"/>
      <c r="Q4" s="229"/>
      <c r="R4" s="233">
        <f>[8]Altalanos!$E$10</f>
        <v>0</v>
      </c>
      <c r="T4" s="235"/>
      <c r="U4" s="235"/>
      <c r="V4" s="235"/>
      <c r="W4" s="235"/>
      <c r="X4" s="235"/>
      <c r="Y4" s="221"/>
      <c r="Z4" s="221"/>
      <c r="AA4" s="221" t="s">
        <v>67</v>
      </c>
      <c r="AB4" s="222">
        <v>250</v>
      </c>
      <c r="AC4" s="222">
        <v>200</v>
      </c>
      <c r="AD4" s="222">
        <v>150</v>
      </c>
      <c r="AE4" s="222">
        <v>120</v>
      </c>
      <c r="AF4" s="222">
        <v>90</v>
      </c>
      <c r="AG4" s="222">
        <v>60</v>
      </c>
      <c r="AH4" s="222">
        <v>25</v>
      </c>
      <c r="AI4" s="219"/>
      <c r="AJ4" s="219"/>
      <c r="AK4" s="219"/>
      <c r="AL4" s="235"/>
      <c r="AM4" s="235"/>
      <c r="AN4" s="235"/>
      <c r="AO4" s="235"/>
      <c r="AP4" s="235"/>
      <c r="AQ4" s="235"/>
      <c r="AR4" s="235"/>
      <c r="AS4" s="235"/>
    </row>
    <row r="5" spans="1:45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97</v>
      </c>
      <c r="N5" s="240"/>
      <c r="O5" s="237" t="s">
        <v>98</v>
      </c>
      <c r="P5" s="240"/>
      <c r="Q5" s="237"/>
      <c r="R5" s="241"/>
      <c r="T5" s="227"/>
      <c r="U5" s="227"/>
      <c r="V5" s="227"/>
      <c r="W5" s="227"/>
      <c r="X5" s="227"/>
      <c r="Y5" s="221">
        <f>IF(OR([8]Altalanos!$A$8="F1",[8]Altalanos!$A$8="F2",[8]Altalanos!$A$8="N1",[8]Altalanos!$A$8="N2"),1,2)</f>
        <v>2</v>
      </c>
      <c r="Z5" s="221"/>
      <c r="AA5" s="221" t="s">
        <v>68</v>
      </c>
      <c r="AB5" s="222">
        <v>200</v>
      </c>
      <c r="AC5" s="222">
        <v>150</v>
      </c>
      <c r="AD5" s="222">
        <v>120</v>
      </c>
      <c r="AE5" s="222">
        <v>90</v>
      </c>
      <c r="AF5" s="222">
        <v>60</v>
      </c>
      <c r="AG5" s="222">
        <v>40</v>
      </c>
      <c r="AH5" s="222">
        <v>15</v>
      </c>
      <c r="AI5" s="219"/>
      <c r="AJ5" s="219"/>
      <c r="AK5" s="219"/>
      <c r="AL5" s="227"/>
      <c r="AM5" s="227"/>
      <c r="AN5" s="227"/>
      <c r="AO5" s="227"/>
      <c r="AP5" s="227"/>
      <c r="AQ5" s="227"/>
      <c r="AR5" s="227"/>
      <c r="AS5" s="227"/>
    </row>
    <row r="6" spans="1:45" s="248" customFormat="1" ht="10.95" customHeight="1" thickBot="1" x14ac:dyDescent="0.3">
      <c r="A6" s="242"/>
      <c r="B6" s="243"/>
      <c r="C6" s="243"/>
      <c r="D6" s="243"/>
      <c r="E6" s="243"/>
      <c r="F6" s="242" t="str">
        <f>IF(Y3="","",CONCATENATE(VLOOKUP(Y3,AB1:AH1,4)," pont"))</f>
        <v/>
      </c>
      <c r="G6" s="244"/>
      <c r="H6" s="245"/>
      <c r="I6" s="244"/>
      <c r="J6" s="246"/>
      <c r="K6" s="243" t="str">
        <f>IF(Y3="","",CONCATENATE(VLOOKUP(Y3,AB1:AH1,3)," pont"))</f>
        <v/>
      </c>
      <c r="L6" s="246"/>
      <c r="M6" s="243" t="str">
        <f>IF(Y3="","",CONCATENATE(VLOOKUP(Y3,AB1:AH1,2)," pont"))</f>
        <v/>
      </c>
      <c r="N6" s="246"/>
      <c r="O6" s="243" t="str">
        <f>IF(Y3="","",CONCATENATE(VLOOKUP(Y3,AB1:AH1,1)," pont"))</f>
        <v/>
      </c>
      <c r="P6" s="246"/>
      <c r="Q6" s="243"/>
      <c r="R6" s="247"/>
      <c r="T6" s="249"/>
      <c r="U6" s="249"/>
      <c r="V6" s="249"/>
      <c r="W6" s="249"/>
      <c r="X6" s="249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252"/>
      <c r="AJ6" s="252"/>
      <c r="AK6" s="252"/>
      <c r="AL6" s="249"/>
      <c r="AM6" s="249"/>
      <c r="AN6" s="249"/>
      <c r="AO6" s="249"/>
      <c r="AP6" s="249"/>
      <c r="AQ6" s="249"/>
      <c r="AR6" s="249"/>
      <c r="AS6" s="249"/>
    </row>
    <row r="7" spans="1:45" s="266" customFormat="1" ht="13.05" customHeight="1" x14ac:dyDescent="0.25">
      <c r="A7" s="253">
        <v>1</v>
      </c>
      <c r="B7" s="254" t="str">
        <f>IF($E7="","",VLOOKUP($E7,'[8]1MD ELO'!$A$7:$O$22,14))</f>
        <v/>
      </c>
      <c r="C7" s="255" t="str">
        <f>IF($E7="","",VLOOKUP($E7,'[8]1MD ELO'!$A$7:$O$22,15))</f>
        <v/>
      </c>
      <c r="D7" s="255" t="str">
        <f>IF($E7="","",VLOOKUP($E7,'[8]1MD ELO'!$A$7:$O$22,5))</f>
        <v/>
      </c>
      <c r="E7" s="256"/>
      <c r="F7" s="257"/>
      <c r="G7" s="257"/>
      <c r="H7" s="257"/>
      <c r="I7" s="257" t="str">
        <f>IF($E7="","",VLOOKUP($E7,'[8]1MD ELO'!$A$7:$O$22,4))</f>
        <v/>
      </c>
      <c r="J7" s="258"/>
      <c r="K7" s="259"/>
      <c r="L7" s="259"/>
      <c r="M7" s="259"/>
      <c r="N7" s="259"/>
      <c r="O7" s="260"/>
      <c r="P7" s="261"/>
      <c r="Q7" s="262"/>
      <c r="R7" s="263"/>
      <c r="S7" s="264"/>
      <c r="T7" s="264"/>
      <c r="U7" s="265" t="str">
        <f>[8]Birók!P21</f>
        <v>Bíró</v>
      </c>
      <c r="V7" s="264"/>
      <c r="W7" s="264"/>
      <c r="X7" s="264"/>
      <c r="Y7" s="221"/>
      <c r="Z7" s="221"/>
      <c r="AA7" s="221" t="s">
        <v>70</v>
      </c>
      <c r="AB7" s="222">
        <v>120</v>
      </c>
      <c r="AC7" s="222">
        <v>90</v>
      </c>
      <c r="AD7" s="222">
        <v>60</v>
      </c>
      <c r="AE7" s="222">
        <v>40</v>
      </c>
      <c r="AF7" s="222">
        <v>25</v>
      </c>
      <c r="AG7" s="222">
        <v>10</v>
      </c>
      <c r="AH7" s="222">
        <v>5</v>
      </c>
      <c r="AI7" s="219"/>
      <c r="AJ7" s="219"/>
      <c r="AK7" s="219"/>
      <c r="AL7" s="264"/>
      <c r="AM7" s="264"/>
      <c r="AN7" s="264"/>
      <c r="AO7" s="264"/>
      <c r="AP7" s="264"/>
      <c r="AQ7" s="264"/>
      <c r="AR7" s="264"/>
      <c r="AS7" s="264"/>
    </row>
    <row r="8" spans="1:45" s="266" customFormat="1" ht="13.05" customHeight="1" x14ac:dyDescent="0.25">
      <c r="A8" s="267"/>
      <c r="B8" s="268"/>
      <c r="C8" s="269"/>
      <c r="D8" s="269"/>
      <c r="E8" s="270"/>
      <c r="F8" s="271"/>
      <c r="G8" s="271"/>
      <c r="H8" s="272"/>
      <c r="I8" s="273" t="s">
        <v>99</v>
      </c>
      <c r="J8" s="274"/>
      <c r="K8" s="275" t="str">
        <f>UPPER(IF(OR(J8="a",J8="as"),F7,IF(OR(J8="b",J8="bs"),F9,)))</f>
        <v/>
      </c>
      <c r="L8" s="275"/>
      <c r="M8" s="259"/>
      <c r="N8" s="259"/>
      <c r="O8" s="260"/>
      <c r="P8" s="261"/>
      <c r="Q8" s="262"/>
      <c r="R8" s="263"/>
      <c r="S8" s="264"/>
      <c r="T8" s="264"/>
      <c r="U8" s="276" t="str">
        <f>[8]Birók!P22</f>
        <v xml:space="preserve"> </v>
      </c>
      <c r="V8" s="264"/>
      <c r="W8" s="264"/>
      <c r="X8" s="264"/>
      <c r="Y8" s="221"/>
      <c r="Z8" s="221"/>
      <c r="AA8" s="221" t="s">
        <v>71</v>
      </c>
      <c r="AB8" s="222">
        <v>90</v>
      </c>
      <c r="AC8" s="222">
        <v>60</v>
      </c>
      <c r="AD8" s="222">
        <v>40</v>
      </c>
      <c r="AE8" s="222">
        <v>25</v>
      </c>
      <c r="AF8" s="222">
        <v>10</v>
      </c>
      <c r="AG8" s="222">
        <v>5</v>
      </c>
      <c r="AH8" s="222">
        <v>2</v>
      </c>
      <c r="AI8" s="219"/>
      <c r="AJ8" s="219"/>
      <c r="AK8" s="219"/>
      <c r="AL8" s="264"/>
      <c r="AM8" s="264"/>
      <c r="AN8" s="264"/>
      <c r="AO8" s="264"/>
      <c r="AP8" s="264"/>
      <c r="AQ8" s="264"/>
      <c r="AR8" s="264"/>
      <c r="AS8" s="264"/>
    </row>
    <row r="9" spans="1:45" s="266" customFormat="1" ht="13.05" customHeight="1" x14ac:dyDescent="0.25">
      <c r="A9" s="267">
        <v>2</v>
      </c>
      <c r="B9" s="254" t="str">
        <f>IF($E9="","",VLOOKUP($E9,'[8]1MD ELO'!$A$7:$O$22,14))</f>
        <v/>
      </c>
      <c r="C9" s="255" t="str">
        <f>IF($E9="","",VLOOKUP($E9,'[8]1MD ELO'!$A$7:$O$22,15))</f>
        <v/>
      </c>
      <c r="D9" s="255" t="str">
        <f>IF($E9="","",VLOOKUP($E9,'[8]1MD ELO'!$A$7:$O$22,5))</f>
        <v/>
      </c>
      <c r="E9" s="277"/>
      <c r="F9" s="278"/>
      <c r="G9" s="278"/>
      <c r="H9" s="278"/>
      <c r="I9" s="278" t="str">
        <f>IF($E9="","",VLOOKUP($E9,'[8]1MD ELO'!$A$7:$O$22,4))</f>
        <v/>
      </c>
      <c r="J9" s="279"/>
      <c r="K9" s="259"/>
      <c r="L9" s="280"/>
      <c r="M9" s="259"/>
      <c r="N9" s="259"/>
      <c r="O9" s="260"/>
      <c r="P9" s="261"/>
      <c r="Q9" s="262"/>
      <c r="R9" s="263"/>
      <c r="S9" s="264"/>
      <c r="T9" s="264"/>
      <c r="U9" s="276" t="str">
        <f>[8]Birók!P23</f>
        <v xml:space="preserve"> </v>
      </c>
      <c r="V9" s="264"/>
      <c r="W9" s="264"/>
      <c r="X9" s="264"/>
      <c r="Y9" s="221"/>
      <c r="Z9" s="221"/>
      <c r="AA9" s="221" t="s">
        <v>72</v>
      </c>
      <c r="AB9" s="222">
        <v>60</v>
      </c>
      <c r="AC9" s="222">
        <v>40</v>
      </c>
      <c r="AD9" s="222">
        <v>25</v>
      </c>
      <c r="AE9" s="222">
        <v>10</v>
      </c>
      <c r="AF9" s="222">
        <v>5</v>
      </c>
      <c r="AG9" s="222">
        <v>2</v>
      </c>
      <c r="AH9" s="222">
        <v>1</v>
      </c>
      <c r="AI9" s="219"/>
      <c r="AJ9" s="219"/>
      <c r="AK9" s="219"/>
      <c r="AL9" s="264"/>
      <c r="AM9" s="264"/>
      <c r="AN9" s="264"/>
      <c r="AO9" s="264"/>
      <c r="AP9" s="264"/>
      <c r="AQ9" s="264"/>
      <c r="AR9" s="264"/>
      <c r="AS9" s="264"/>
    </row>
    <row r="10" spans="1:45" s="266" customFormat="1" ht="13.05" customHeight="1" x14ac:dyDescent="0.25">
      <c r="A10" s="267"/>
      <c r="B10" s="268"/>
      <c r="C10" s="269"/>
      <c r="D10" s="269"/>
      <c r="E10" s="281"/>
      <c r="F10" s="271"/>
      <c r="G10" s="271"/>
      <c r="H10" s="272"/>
      <c r="I10" s="271"/>
      <c r="J10" s="282"/>
      <c r="K10" s="273" t="s">
        <v>99</v>
      </c>
      <c r="L10" s="283"/>
      <c r="M10" s="275"/>
      <c r="N10" s="284"/>
      <c r="O10" s="285"/>
      <c r="P10" s="285"/>
      <c r="Q10" s="262"/>
      <c r="R10" s="263"/>
      <c r="S10" s="264"/>
      <c r="T10" s="264"/>
      <c r="U10" s="276" t="str">
        <f>[8]Birók!P24</f>
        <v xml:space="preserve"> </v>
      </c>
      <c r="V10" s="264"/>
      <c r="W10" s="264"/>
      <c r="X10" s="264"/>
      <c r="Y10" s="221"/>
      <c r="Z10" s="221"/>
      <c r="AA10" s="221" t="s">
        <v>73</v>
      </c>
      <c r="AB10" s="222">
        <v>40</v>
      </c>
      <c r="AC10" s="222">
        <v>25</v>
      </c>
      <c r="AD10" s="222">
        <v>15</v>
      </c>
      <c r="AE10" s="222">
        <v>7</v>
      </c>
      <c r="AF10" s="222">
        <v>4</v>
      </c>
      <c r="AG10" s="222">
        <v>1</v>
      </c>
      <c r="AH10" s="222">
        <v>0</v>
      </c>
      <c r="AI10" s="219"/>
      <c r="AJ10" s="219"/>
      <c r="AK10" s="219"/>
      <c r="AL10" s="264"/>
      <c r="AM10" s="264"/>
      <c r="AN10" s="264"/>
      <c r="AO10" s="264"/>
      <c r="AP10" s="264"/>
      <c r="AQ10" s="264"/>
      <c r="AR10" s="264"/>
      <c r="AS10" s="264"/>
    </row>
    <row r="11" spans="1:45" s="266" customFormat="1" ht="13.05" customHeight="1" x14ac:dyDescent="0.25">
      <c r="A11" s="267">
        <v>3</v>
      </c>
      <c r="B11" s="254" t="str">
        <f>IF($E11="","",VLOOKUP($E11,'[8]1MD ELO'!$A$7:$O$22,14))</f>
        <v/>
      </c>
      <c r="C11" s="255" t="str">
        <f>IF($E11="","",VLOOKUP($E11,'[8]1MD ELO'!$A$7:$O$22,15))</f>
        <v/>
      </c>
      <c r="D11" s="255" t="str">
        <f>IF($E11="","",VLOOKUP($E11,'[8]1MD ELO'!$A$7:$O$22,5))</f>
        <v/>
      </c>
      <c r="E11" s="277"/>
      <c r="F11" s="278"/>
      <c r="G11" s="278"/>
      <c r="H11" s="278"/>
      <c r="I11" s="278" t="str">
        <f>IF($E11="","",VLOOKUP($E11,'[8]1MD ELO'!$A$7:$O$22,4))</f>
        <v/>
      </c>
      <c r="J11" s="258"/>
      <c r="K11" s="259"/>
      <c r="L11" s="286"/>
      <c r="M11" s="259"/>
      <c r="N11" s="288"/>
      <c r="O11" s="285"/>
      <c r="P11" s="285"/>
      <c r="Q11" s="262"/>
      <c r="R11" s="263"/>
      <c r="S11" s="264"/>
      <c r="T11" s="264"/>
      <c r="U11" s="276" t="str">
        <f>[8]Birók!P25</f>
        <v xml:space="preserve"> </v>
      </c>
      <c r="V11" s="264"/>
      <c r="W11" s="264"/>
      <c r="X11" s="264"/>
      <c r="Y11" s="221"/>
      <c r="Z11" s="221"/>
      <c r="AA11" s="221" t="s">
        <v>74</v>
      </c>
      <c r="AB11" s="222">
        <v>25</v>
      </c>
      <c r="AC11" s="222">
        <v>15</v>
      </c>
      <c r="AD11" s="222">
        <v>10</v>
      </c>
      <c r="AE11" s="222">
        <v>6</v>
      </c>
      <c r="AF11" s="222">
        <v>3</v>
      </c>
      <c r="AG11" s="222">
        <v>1</v>
      </c>
      <c r="AH11" s="222">
        <v>0</v>
      </c>
      <c r="AI11" s="219"/>
      <c r="AJ11" s="219"/>
      <c r="AK11" s="219"/>
      <c r="AL11" s="264"/>
      <c r="AM11" s="264"/>
      <c r="AN11" s="264"/>
      <c r="AO11" s="264"/>
      <c r="AP11" s="264"/>
      <c r="AQ11" s="264"/>
      <c r="AR11" s="264"/>
      <c r="AS11" s="264"/>
    </row>
    <row r="12" spans="1:45" s="266" customFormat="1" ht="13.05" customHeight="1" x14ac:dyDescent="0.25">
      <c r="A12" s="267"/>
      <c r="B12" s="268"/>
      <c r="C12" s="269"/>
      <c r="D12" s="269"/>
      <c r="E12" s="281"/>
      <c r="F12" s="271"/>
      <c r="G12" s="271"/>
      <c r="H12" s="272"/>
      <c r="I12" s="273" t="s">
        <v>99</v>
      </c>
      <c r="J12" s="274"/>
      <c r="K12" s="275" t="str">
        <f>UPPER(IF(OR(J12="a",J12="as"),F11,IF(OR(J12="b",J12="bs"),F13,)))</f>
        <v/>
      </c>
      <c r="L12" s="289"/>
      <c r="M12" s="259"/>
      <c r="N12" s="288"/>
      <c r="O12" s="285"/>
      <c r="P12" s="285"/>
      <c r="Q12" s="262"/>
      <c r="R12" s="263"/>
      <c r="S12" s="264"/>
      <c r="T12" s="264"/>
      <c r="U12" s="276" t="str">
        <f>[8]Birók!P26</f>
        <v xml:space="preserve"> </v>
      </c>
      <c r="V12" s="264"/>
      <c r="W12" s="264"/>
      <c r="X12" s="264"/>
      <c r="Y12" s="221"/>
      <c r="Z12" s="221"/>
      <c r="AA12" s="221" t="s">
        <v>79</v>
      </c>
      <c r="AB12" s="222">
        <v>15</v>
      </c>
      <c r="AC12" s="222">
        <v>10</v>
      </c>
      <c r="AD12" s="222">
        <v>6</v>
      </c>
      <c r="AE12" s="222">
        <v>3</v>
      </c>
      <c r="AF12" s="222">
        <v>1</v>
      </c>
      <c r="AG12" s="222">
        <v>0</v>
      </c>
      <c r="AH12" s="222">
        <v>0</v>
      </c>
      <c r="AI12" s="219"/>
      <c r="AJ12" s="219"/>
      <c r="AK12" s="219"/>
      <c r="AL12" s="264"/>
      <c r="AM12" s="264"/>
      <c r="AN12" s="264"/>
      <c r="AO12" s="264"/>
      <c r="AP12" s="264"/>
      <c r="AQ12" s="264"/>
      <c r="AR12" s="264"/>
      <c r="AS12" s="264"/>
    </row>
    <row r="13" spans="1:45" s="266" customFormat="1" ht="13.05" customHeight="1" x14ac:dyDescent="0.25">
      <c r="A13" s="267">
        <v>4</v>
      </c>
      <c r="B13" s="254" t="str">
        <f>IF($E13="","",VLOOKUP($E13,'[8]1MD ELO'!$A$7:$O$22,14))</f>
        <v/>
      </c>
      <c r="C13" s="255" t="str">
        <f>IF($E13="","",VLOOKUP($E13,'[8]1MD ELO'!$A$7:$O$22,15))</f>
        <v/>
      </c>
      <c r="D13" s="255" t="str">
        <f>IF($E13="","",VLOOKUP($E13,'[8]1MD ELO'!$A$7:$O$22,5))</f>
        <v/>
      </c>
      <c r="E13" s="277"/>
      <c r="F13" s="278"/>
      <c r="G13" s="278"/>
      <c r="H13" s="278"/>
      <c r="I13" s="278" t="str">
        <f>IF($E13="","",VLOOKUP($E13,'[8]1MD ELO'!$A$7:$O$22,4))</f>
        <v/>
      </c>
      <c r="J13" s="290"/>
      <c r="K13" s="259"/>
      <c r="L13" s="259"/>
      <c r="M13" s="259"/>
      <c r="N13" s="288"/>
      <c r="O13" s="285"/>
      <c r="P13" s="285"/>
      <c r="Q13" s="262"/>
      <c r="R13" s="263"/>
      <c r="S13" s="264"/>
      <c r="T13" s="264"/>
      <c r="U13" s="276" t="str">
        <f>[8]Birók!P27</f>
        <v xml:space="preserve"> </v>
      </c>
      <c r="V13" s="264"/>
      <c r="W13" s="264"/>
      <c r="X13" s="264"/>
      <c r="Y13" s="221"/>
      <c r="Z13" s="221"/>
      <c r="AA13" s="221" t="s">
        <v>75</v>
      </c>
      <c r="AB13" s="222">
        <v>10</v>
      </c>
      <c r="AC13" s="222">
        <v>6</v>
      </c>
      <c r="AD13" s="222">
        <v>3</v>
      </c>
      <c r="AE13" s="222">
        <v>1</v>
      </c>
      <c r="AF13" s="222">
        <v>0</v>
      </c>
      <c r="AG13" s="222">
        <v>0</v>
      </c>
      <c r="AH13" s="222">
        <v>0</v>
      </c>
      <c r="AI13" s="219"/>
      <c r="AJ13" s="219"/>
      <c r="AK13" s="219"/>
      <c r="AL13" s="264"/>
      <c r="AM13" s="264"/>
      <c r="AN13" s="264"/>
      <c r="AO13" s="264"/>
      <c r="AP13" s="264"/>
      <c r="AQ13" s="264"/>
      <c r="AR13" s="264"/>
      <c r="AS13" s="264"/>
    </row>
    <row r="14" spans="1:45" s="266" customFormat="1" ht="13.05" customHeight="1" x14ac:dyDescent="0.25">
      <c r="A14" s="267"/>
      <c r="B14" s="268"/>
      <c r="C14" s="269"/>
      <c r="D14" s="269"/>
      <c r="E14" s="281"/>
      <c r="F14" s="271"/>
      <c r="G14" s="271"/>
      <c r="H14" s="272"/>
      <c r="I14" s="271"/>
      <c r="J14" s="282"/>
      <c r="K14" s="259"/>
      <c r="L14" s="259"/>
      <c r="M14" s="273" t="s">
        <v>99</v>
      </c>
      <c r="N14" s="283"/>
      <c r="O14" s="275" t="s">
        <v>137</v>
      </c>
      <c r="P14" s="284"/>
      <c r="Q14" s="262"/>
      <c r="R14" s="263"/>
      <c r="S14" s="264"/>
      <c r="T14" s="264"/>
      <c r="U14" s="276" t="str">
        <f>[8]Birók!P28</f>
        <v xml:space="preserve"> </v>
      </c>
      <c r="V14" s="264"/>
      <c r="W14" s="264"/>
      <c r="X14" s="264"/>
      <c r="Y14" s="221"/>
      <c r="Z14" s="221"/>
      <c r="AA14" s="221" t="s">
        <v>76</v>
      </c>
      <c r="AB14" s="222">
        <v>3</v>
      </c>
      <c r="AC14" s="222">
        <v>2</v>
      </c>
      <c r="AD14" s="222">
        <v>1</v>
      </c>
      <c r="AE14" s="222">
        <v>0</v>
      </c>
      <c r="AF14" s="222">
        <v>0</v>
      </c>
      <c r="AG14" s="222">
        <v>0</v>
      </c>
      <c r="AH14" s="222">
        <v>0</v>
      </c>
      <c r="AI14" s="219"/>
      <c r="AJ14" s="219"/>
      <c r="AK14" s="219"/>
      <c r="AL14" s="264"/>
      <c r="AM14" s="264"/>
      <c r="AN14" s="264"/>
      <c r="AO14" s="264"/>
      <c r="AP14" s="264"/>
      <c r="AQ14" s="264"/>
      <c r="AR14" s="264"/>
      <c r="AS14" s="264"/>
    </row>
    <row r="15" spans="1:45" s="266" customFormat="1" ht="13.05" customHeight="1" x14ac:dyDescent="0.25">
      <c r="A15" s="291">
        <v>5</v>
      </c>
      <c r="B15" s="254" t="str">
        <f>IF($E15="","",VLOOKUP($E15,'[8]1MD ELO'!$A$7:$O$22,14))</f>
        <v/>
      </c>
      <c r="C15" s="255" t="str">
        <f>IF($E15="","",VLOOKUP($E15,'[8]1MD ELO'!$A$7:$O$22,15))</f>
        <v/>
      </c>
      <c r="D15" s="255" t="str">
        <f>IF($E15="","",VLOOKUP($E15,'[8]1MD ELO'!$A$7:$O$22,5))</f>
        <v/>
      </c>
      <c r="E15" s="277"/>
      <c r="F15" s="278"/>
      <c r="G15" s="278"/>
      <c r="H15" s="278"/>
      <c r="I15" s="278" t="str">
        <f>IF($E15="","",VLOOKUP($E15,'[8]1MD ELO'!$A$7:$O$22,4))</f>
        <v/>
      </c>
      <c r="J15" s="292"/>
      <c r="K15" s="259"/>
      <c r="L15" s="259"/>
      <c r="M15" s="259"/>
      <c r="N15" s="288"/>
      <c r="O15" s="259" t="s">
        <v>138</v>
      </c>
      <c r="P15" s="285"/>
      <c r="Q15" s="262"/>
      <c r="R15" s="263"/>
      <c r="S15" s="264"/>
      <c r="T15" s="264"/>
      <c r="U15" s="276" t="str">
        <f>[8]Birók!P29</f>
        <v xml:space="preserve"> </v>
      </c>
      <c r="V15" s="264"/>
      <c r="W15" s="264"/>
      <c r="X15" s="264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19"/>
      <c r="AJ15" s="219"/>
      <c r="AK15" s="219"/>
      <c r="AL15" s="264"/>
      <c r="AM15" s="264"/>
      <c r="AN15" s="264"/>
      <c r="AO15" s="264"/>
      <c r="AP15" s="264"/>
      <c r="AQ15" s="264"/>
      <c r="AR15" s="264"/>
      <c r="AS15" s="264"/>
    </row>
    <row r="16" spans="1:45" s="266" customFormat="1" ht="13.05" customHeight="1" thickBot="1" x14ac:dyDescent="0.3">
      <c r="A16" s="267"/>
      <c r="B16" s="268"/>
      <c r="C16" s="269"/>
      <c r="D16" s="269"/>
      <c r="E16" s="281"/>
      <c r="F16" s="271"/>
      <c r="G16" s="271"/>
      <c r="H16" s="272"/>
      <c r="I16" s="273" t="s">
        <v>99</v>
      </c>
      <c r="J16" s="274"/>
      <c r="K16" s="275" t="str">
        <f>UPPER(IF(OR(J16="a",J16="as"),F15,IF(OR(J16="b",J16="bs"),F17,)))</f>
        <v/>
      </c>
      <c r="L16" s="275"/>
      <c r="M16" s="259"/>
      <c r="N16" s="288"/>
      <c r="O16" s="273"/>
      <c r="P16" s="285"/>
      <c r="Q16" s="262"/>
      <c r="R16" s="263"/>
      <c r="S16" s="264"/>
      <c r="T16" s="264"/>
      <c r="U16" s="293" t="str">
        <f>[8]Birók!P30</f>
        <v>Egyik sem</v>
      </c>
      <c r="V16" s="264"/>
      <c r="W16" s="264"/>
      <c r="X16" s="264"/>
      <c r="Y16" s="221"/>
      <c r="Z16" s="221"/>
      <c r="AA16" s="221" t="s">
        <v>43</v>
      </c>
      <c r="AB16" s="222">
        <v>150</v>
      </c>
      <c r="AC16" s="222">
        <v>120</v>
      </c>
      <c r="AD16" s="222">
        <v>90</v>
      </c>
      <c r="AE16" s="222">
        <v>60</v>
      </c>
      <c r="AF16" s="222">
        <v>40</v>
      </c>
      <c r="AG16" s="222">
        <v>25</v>
      </c>
      <c r="AH16" s="222">
        <v>15</v>
      </c>
      <c r="AI16" s="219"/>
      <c r="AJ16" s="219"/>
      <c r="AK16" s="219"/>
      <c r="AL16" s="264"/>
      <c r="AM16" s="264"/>
      <c r="AN16" s="264"/>
      <c r="AO16" s="264"/>
      <c r="AP16" s="264"/>
      <c r="AQ16" s="264"/>
      <c r="AR16" s="264"/>
      <c r="AS16" s="264"/>
    </row>
    <row r="17" spans="1:45" s="266" customFormat="1" ht="13.05" customHeight="1" x14ac:dyDescent="0.25">
      <c r="A17" s="267">
        <v>6</v>
      </c>
      <c r="B17" s="254" t="str">
        <f>IF($E17="","",VLOOKUP($E17,'[8]1MD ELO'!$A$7:$O$22,14))</f>
        <v/>
      </c>
      <c r="C17" s="255" t="str">
        <f>IF($E17="","",VLOOKUP($E17,'[8]1MD ELO'!$A$7:$O$22,15))</f>
        <v/>
      </c>
      <c r="D17" s="255" t="str">
        <f>IF($E17="","",VLOOKUP($E17,'[8]1MD ELO'!$A$7:$O$22,5))</f>
        <v/>
      </c>
      <c r="E17" s="277"/>
      <c r="F17" s="278"/>
      <c r="G17" s="278"/>
      <c r="H17" s="278"/>
      <c r="I17" s="278" t="str">
        <f>IF($E17="","",VLOOKUP($E17,'[8]1MD ELO'!$A$7:$O$22,4))</f>
        <v/>
      </c>
      <c r="J17" s="279"/>
      <c r="K17" s="259"/>
      <c r="L17" s="280"/>
      <c r="M17" s="259"/>
      <c r="N17" s="288"/>
      <c r="O17" s="285"/>
      <c r="P17" s="285"/>
      <c r="Q17" s="262"/>
      <c r="R17" s="263"/>
      <c r="S17" s="264"/>
      <c r="T17" s="264"/>
      <c r="U17" s="264"/>
      <c r="V17" s="264"/>
      <c r="W17" s="264"/>
      <c r="X17" s="264"/>
      <c r="Y17" s="221"/>
      <c r="Z17" s="221"/>
      <c r="AA17" s="221" t="s">
        <v>67</v>
      </c>
      <c r="AB17" s="222">
        <v>120</v>
      </c>
      <c r="AC17" s="222">
        <v>90</v>
      </c>
      <c r="AD17" s="222">
        <v>60</v>
      </c>
      <c r="AE17" s="222">
        <v>40</v>
      </c>
      <c r="AF17" s="222">
        <v>25</v>
      </c>
      <c r="AG17" s="222">
        <v>15</v>
      </c>
      <c r="AH17" s="222">
        <v>8</v>
      </c>
      <c r="AI17" s="219"/>
      <c r="AJ17" s="219"/>
      <c r="AK17" s="219"/>
      <c r="AL17" s="264"/>
      <c r="AM17" s="264"/>
      <c r="AN17" s="264"/>
      <c r="AO17" s="264"/>
      <c r="AP17" s="264"/>
      <c r="AQ17" s="264"/>
      <c r="AR17" s="264"/>
      <c r="AS17" s="264"/>
    </row>
    <row r="18" spans="1:45" s="266" customFormat="1" ht="13.05" customHeight="1" x14ac:dyDescent="0.25">
      <c r="A18" s="267"/>
      <c r="B18" s="268"/>
      <c r="C18" s="269"/>
      <c r="D18" s="269"/>
      <c r="E18" s="281"/>
      <c r="F18" s="271"/>
      <c r="G18" s="271"/>
      <c r="H18" s="272"/>
      <c r="I18" s="271"/>
      <c r="J18" s="282"/>
      <c r="K18" s="273" t="s">
        <v>99</v>
      </c>
      <c r="L18" s="283"/>
      <c r="M18" s="275"/>
      <c r="N18" s="294"/>
      <c r="O18" s="285"/>
      <c r="P18" s="285"/>
      <c r="Q18" s="262"/>
      <c r="R18" s="263"/>
      <c r="S18" s="264"/>
      <c r="T18" s="264"/>
      <c r="U18" s="264"/>
      <c r="V18" s="264"/>
      <c r="W18" s="264"/>
      <c r="X18" s="264"/>
      <c r="Y18" s="221"/>
      <c r="Z18" s="221"/>
      <c r="AA18" s="221" t="s">
        <v>68</v>
      </c>
      <c r="AB18" s="222">
        <v>90</v>
      </c>
      <c r="AC18" s="222">
        <v>60</v>
      </c>
      <c r="AD18" s="222">
        <v>40</v>
      </c>
      <c r="AE18" s="222">
        <v>25</v>
      </c>
      <c r="AF18" s="222">
        <v>15</v>
      </c>
      <c r="AG18" s="222">
        <v>8</v>
      </c>
      <c r="AH18" s="222">
        <v>4</v>
      </c>
      <c r="AI18" s="219"/>
      <c r="AJ18" s="219"/>
      <c r="AK18" s="219"/>
      <c r="AL18" s="264"/>
      <c r="AM18" s="264"/>
      <c r="AN18" s="264"/>
      <c r="AO18" s="264"/>
      <c r="AP18" s="264"/>
      <c r="AQ18" s="264"/>
      <c r="AR18" s="264"/>
      <c r="AS18" s="264"/>
    </row>
    <row r="19" spans="1:45" s="266" customFormat="1" ht="13.05" customHeight="1" x14ac:dyDescent="0.25">
      <c r="A19" s="267">
        <v>7</v>
      </c>
      <c r="B19" s="254" t="str">
        <f>IF($E19="","",VLOOKUP($E19,'[8]1MD ELO'!$A$7:$O$22,14))</f>
        <v/>
      </c>
      <c r="C19" s="255" t="str">
        <f>IF($E19="","",VLOOKUP($E19,'[8]1MD ELO'!$A$7:$O$22,15))</f>
        <v/>
      </c>
      <c r="D19" s="255" t="str">
        <f>IF($E19="","",VLOOKUP($E19,'[8]1MD ELO'!$A$7:$O$22,5))</f>
        <v/>
      </c>
      <c r="E19" s="277"/>
      <c r="F19" s="278"/>
      <c r="G19" s="278"/>
      <c r="H19" s="278"/>
      <c r="I19" s="278" t="str">
        <f>IF($E19="","",VLOOKUP($E19,'[8]1MD ELO'!$A$7:$O$22,4))</f>
        <v/>
      </c>
      <c r="J19" s="258"/>
      <c r="K19" s="259"/>
      <c r="L19" s="286"/>
      <c r="M19" s="259"/>
      <c r="N19" s="285"/>
      <c r="O19" s="285"/>
      <c r="P19" s="285"/>
      <c r="Q19" s="262"/>
      <c r="R19" s="263"/>
      <c r="S19" s="264"/>
      <c r="T19" s="264"/>
      <c r="U19" s="264"/>
      <c r="V19" s="264"/>
      <c r="W19" s="264"/>
      <c r="X19" s="264"/>
      <c r="Y19" s="221"/>
      <c r="Z19" s="221"/>
      <c r="AA19" s="221" t="s">
        <v>69</v>
      </c>
      <c r="AB19" s="222">
        <v>60</v>
      </c>
      <c r="AC19" s="222">
        <v>40</v>
      </c>
      <c r="AD19" s="222">
        <v>25</v>
      </c>
      <c r="AE19" s="222">
        <v>15</v>
      </c>
      <c r="AF19" s="222">
        <v>8</v>
      </c>
      <c r="AG19" s="222">
        <v>4</v>
      </c>
      <c r="AH19" s="222">
        <v>2</v>
      </c>
      <c r="AI19" s="219"/>
      <c r="AJ19" s="219"/>
      <c r="AK19" s="219"/>
      <c r="AL19" s="264"/>
      <c r="AM19" s="264"/>
      <c r="AN19" s="264"/>
      <c r="AO19" s="264"/>
      <c r="AP19" s="264"/>
      <c r="AQ19" s="264"/>
      <c r="AR19" s="264"/>
      <c r="AS19" s="264"/>
    </row>
    <row r="20" spans="1:45" s="266" customFormat="1" ht="13.05" customHeight="1" x14ac:dyDescent="0.25">
      <c r="A20" s="267"/>
      <c r="B20" s="268"/>
      <c r="C20" s="269"/>
      <c r="D20" s="269"/>
      <c r="E20" s="270"/>
      <c r="F20" s="271"/>
      <c r="G20" s="271"/>
      <c r="H20" s="272"/>
      <c r="I20" s="273" t="s">
        <v>99</v>
      </c>
      <c r="J20" s="274"/>
      <c r="K20" s="275" t="str">
        <f>UPPER(IF(OR(J20="a",J20="as"),F19,IF(OR(J20="b",J20="bs"),F21,)))</f>
        <v/>
      </c>
      <c r="L20" s="289"/>
      <c r="M20" s="259"/>
      <c r="N20" s="285"/>
      <c r="O20" s="285"/>
      <c r="P20" s="285"/>
      <c r="Q20" s="262"/>
      <c r="R20" s="263"/>
      <c r="S20" s="264"/>
      <c r="T20" s="264"/>
      <c r="U20" s="264"/>
      <c r="V20" s="264"/>
      <c r="W20" s="264"/>
      <c r="X20" s="264"/>
      <c r="Y20" s="221"/>
      <c r="Z20" s="221"/>
      <c r="AA20" s="221" t="s">
        <v>70</v>
      </c>
      <c r="AB20" s="222">
        <v>40</v>
      </c>
      <c r="AC20" s="222">
        <v>25</v>
      </c>
      <c r="AD20" s="222">
        <v>15</v>
      </c>
      <c r="AE20" s="222">
        <v>8</v>
      </c>
      <c r="AF20" s="222">
        <v>4</v>
      </c>
      <c r="AG20" s="222">
        <v>2</v>
      </c>
      <c r="AH20" s="222">
        <v>1</v>
      </c>
      <c r="AI20" s="219"/>
      <c r="AJ20" s="219"/>
      <c r="AK20" s="219"/>
      <c r="AL20" s="264"/>
      <c r="AM20" s="264"/>
      <c r="AN20" s="264"/>
      <c r="AO20" s="264"/>
      <c r="AP20" s="264"/>
      <c r="AQ20" s="264"/>
      <c r="AR20" s="264"/>
      <c r="AS20" s="264"/>
    </row>
    <row r="21" spans="1:45" s="266" customFormat="1" ht="13.05" customHeight="1" x14ac:dyDescent="0.25">
      <c r="A21" s="295">
        <v>8</v>
      </c>
      <c r="B21" s="254" t="str">
        <f>IF($E21="","",VLOOKUP($E21,'[8]1MD ELO'!$A$7:$O$22,14))</f>
        <v/>
      </c>
      <c r="C21" s="255" t="str">
        <f>IF($E21="","",VLOOKUP($E21,'[8]1MD ELO'!$A$7:$O$22,15))</f>
        <v/>
      </c>
      <c r="D21" s="255" t="str">
        <f>IF($E21="","",VLOOKUP($E21,'[8]1MD ELO'!$A$7:$O$22,5))</f>
        <v/>
      </c>
      <c r="E21" s="256"/>
      <c r="F21" s="296"/>
      <c r="G21" s="296"/>
      <c r="H21" s="296"/>
      <c r="I21" s="296" t="str">
        <f>IF($E21="","",VLOOKUP($E21,'[8]1MD ELO'!$A$7:$O$22,4))</f>
        <v/>
      </c>
      <c r="J21" s="290"/>
      <c r="K21" s="259"/>
      <c r="L21" s="259"/>
      <c r="M21" s="259"/>
      <c r="N21" s="285"/>
      <c r="O21" s="285"/>
      <c r="P21" s="285"/>
      <c r="Q21" s="262"/>
      <c r="R21" s="263"/>
      <c r="S21" s="264"/>
      <c r="T21" s="264"/>
      <c r="U21" s="264"/>
      <c r="V21" s="264"/>
      <c r="W21" s="264"/>
      <c r="X21" s="264"/>
      <c r="Y21" s="221"/>
      <c r="Z21" s="221"/>
      <c r="AA21" s="221" t="s">
        <v>71</v>
      </c>
      <c r="AB21" s="222">
        <v>25</v>
      </c>
      <c r="AC21" s="222">
        <v>15</v>
      </c>
      <c r="AD21" s="222">
        <v>10</v>
      </c>
      <c r="AE21" s="222">
        <v>6</v>
      </c>
      <c r="AF21" s="222">
        <v>3</v>
      </c>
      <c r="AG21" s="222">
        <v>1</v>
      </c>
      <c r="AH21" s="222">
        <v>0</v>
      </c>
      <c r="AI21" s="219"/>
      <c r="AJ21" s="219"/>
      <c r="AK21" s="219"/>
      <c r="AL21" s="264"/>
      <c r="AM21" s="264"/>
      <c r="AN21" s="264"/>
      <c r="AO21" s="264"/>
      <c r="AP21" s="264"/>
      <c r="AQ21" s="264"/>
      <c r="AR21" s="264"/>
      <c r="AS21" s="264"/>
    </row>
    <row r="22" spans="1:45" s="266" customFormat="1" ht="9.4499999999999993" customHeight="1" x14ac:dyDescent="0.25">
      <c r="A22" s="297"/>
      <c r="B22" s="260"/>
      <c r="C22" s="260"/>
      <c r="D22" s="260"/>
      <c r="E22" s="270"/>
      <c r="F22" s="260"/>
      <c r="G22" s="260"/>
      <c r="H22" s="260"/>
      <c r="I22" s="260"/>
      <c r="J22" s="270"/>
      <c r="K22" s="260"/>
      <c r="L22" s="260"/>
      <c r="M22" s="260"/>
      <c r="N22" s="262"/>
      <c r="O22" s="262"/>
      <c r="P22" s="262"/>
      <c r="Q22" s="262"/>
      <c r="R22" s="263"/>
      <c r="S22" s="264"/>
      <c r="T22" s="264"/>
      <c r="U22" s="264"/>
      <c r="V22" s="264"/>
      <c r="W22" s="264"/>
      <c r="X22" s="264"/>
      <c r="Y22" s="221"/>
      <c r="Z22" s="221"/>
      <c r="AA22" s="221" t="s">
        <v>72</v>
      </c>
      <c r="AB22" s="222">
        <v>15</v>
      </c>
      <c r="AC22" s="222">
        <v>10</v>
      </c>
      <c r="AD22" s="222">
        <v>6</v>
      </c>
      <c r="AE22" s="222">
        <v>3</v>
      </c>
      <c r="AF22" s="222">
        <v>1</v>
      </c>
      <c r="AG22" s="222">
        <v>0</v>
      </c>
      <c r="AH22" s="222">
        <v>0</v>
      </c>
      <c r="AI22" s="219"/>
      <c r="AJ22" s="219"/>
      <c r="AK22" s="219"/>
      <c r="AL22" s="264"/>
      <c r="AM22" s="264"/>
      <c r="AN22" s="264"/>
      <c r="AO22" s="264"/>
      <c r="AP22" s="264"/>
      <c r="AQ22" s="264"/>
      <c r="AR22" s="264"/>
      <c r="AS22" s="264"/>
    </row>
    <row r="23" spans="1:45" s="266" customFormat="1" ht="9.4499999999999993" customHeight="1" x14ac:dyDescent="0.25">
      <c r="A23" s="298"/>
      <c r="B23" s="270"/>
      <c r="C23" s="270"/>
      <c r="D23" s="270"/>
      <c r="E23" s="270"/>
      <c r="F23" s="260"/>
      <c r="G23" s="260"/>
      <c r="H23" s="264"/>
      <c r="I23" s="299"/>
      <c r="J23" s="270"/>
      <c r="K23" s="260"/>
      <c r="L23" s="260"/>
      <c r="M23" s="260"/>
      <c r="N23" s="262"/>
      <c r="O23" s="262"/>
      <c r="P23" s="262"/>
      <c r="Q23" s="262"/>
      <c r="R23" s="263"/>
      <c r="S23" s="264"/>
      <c r="T23" s="264"/>
      <c r="U23" s="264"/>
      <c r="V23" s="264"/>
      <c r="W23" s="264"/>
      <c r="X23" s="264"/>
      <c r="Y23" s="221"/>
      <c r="Z23" s="221"/>
      <c r="AA23" s="221" t="s">
        <v>73</v>
      </c>
      <c r="AB23" s="222">
        <v>10</v>
      </c>
      <c r="AC23" s="222">
        <v>6</v>
      </c>
      <c r="AD23" s="222">
        <v>3</v>
      </c>
      <c r="AE23" s="222">
        <v>1</v>
      </c>
      <c r="AF23" s="222">
        <v>0</v>
      </c>
      <c r="AG23" s="222">
        <v>0</v>
      </c>
      <c r="AH23" s="222">
        <v>0</v>
      </c>
      <c r="AI23" s="219"/>
      <c r="AJ23" s="219"/>
      <c r="AK23" s="219"/>
      <c r="AL23" s="264"/>
      <c r="AM23" s="264"/>
      <c r="AN23" s="264"/>
      <c r="AO23" s="264"/>
      <c r="AP23" s="264"/>
      <c r="AQ23" s="264"/>
      <c r="AR23" s="264"/>
      <c r="AS23" s="264"/>
    </row>
    <row r="24" spans="1:45" s="266" customFormat="1" ht="9.4499999999999993" customHeight="1" x14ac:dyDescent="0.25">
      <c r="A24" s="298"/>
      <c r="B24" s="260"/>
      <c r="C24" s="260"/>
      <c r="D24" s="260"/>
      <c r="E24" s="270"/>
      <c r="F24" s="260"/>
      <c r="G24" s="260"/>
      <c r="H24" s="260"/>
      <c r="I24" s="260"/>
      <c r="J24" s="270"/>
      <c r="K24" s="260"/>
      <c r="L24" s="300"/>
      <c r="M24" s="260"/>
      <c r="N24" s="262"/>
      <c r="O24" s="262"/>
      <c r="P24" s="262"/>
      <c r="Q24" s="262"/>
      <c r="R24" s="263"/>
      <c r="S24" s="264"/>
      <c r="T24" s="264"/>
      <c r="U24" s="264"/>
      <c r="V24" s="264"/>
      <c r="W24" s="264"/>
      <c r="X24" s="264"/>
      <c r="Y24" s="221"/>
      <c r="Z24" s="221"/>
      <c r="AA24" s="221" t="s">
        <v>74</v>
      </c>
      <c r="AB24" s="222">
        <v>6</v>
      </c>
      <c r="AC24" s="222">
        <v>3</v>
      </c>
      <c r="AD24" s="222">
        <v>1</v>
      </c>
      <c r="AE24" s="222">
        <v>0</v>
      </c>
      <c r="AF24" s="222">
        <v>0</v>
      </c>
      <c r="AG24" s="222">
        <v>0</v>
      </c>
      <c r="AH24" s="222">
        <v>0</v>
      </c>
      <c r="AI24" s="219"/>
      <c r="AJ24" s="219"/>
      <c r="AK24" s="219"/>
      <c r="AL24" s="264"/>
      <c r="AM24" s="264"/>
      <c r="AN24" s="264"/>
      <c r="AO24" s="264"/>
      <c r="AP24" s="264"/>
      <c r="AQ24" s="264"/>
      <c r="AR24" s="264"/>
      <c r="AS24" s="264"/>
    </row>
    <row r="25" spans="1:45" s="266" customFormat="1" ht="9.4499999999999993" customHeight="1" x14ac:dyDescent="0.25">
      <c r="A25" s="298"/>
      <c r="B25" s="270"/>
      <c r="C25" s="270"/>
      <c r="D25" s="270"/>
      <c r="E25" s="270"/>
      <c r="F25" s="260"/>
      <c r="G25" s="260"/>
      <c r="H25" s="264"/>
      <c r="I25" s="260"/>
      <c r="J25" s="270"/>
      <c r="K25" s="299"/>
      <c r="L25" s="270"/>
      <c r="M25" s="260"/>
      <c r="N25" s="262"/>
      <c r="O25" s="262"/>
      <c r="P25" s="262"/>
      <c r="Q25" s="262"/>
      <c r="R25" s="263"/>
      <c r="S25" s="264"/>
      <c r="T25" s="264"/>
      <c r="U25" s="264"/>
      <c r="V25" s="264"/>
      <c r="W25" s="264"/>
      <c r="X25" s="264"/>
      <c r="Y25" s="221"/>
      <c r="Z25" s="221"/>
      <c r="AA25" s="221" t="s">
        <v>79</v>
      </c>
      <c r="AB25" s="222">
        <v>3</v>
      </c>
      <c r="AC25" s="222">
        <v>2</v>
      </c>
      <c r="AD25" s="222">
        <v>1</v>
      </c>
      <c r="AE25" s="222">
        <v>0</v>
      </c>
      <c r="AF25" s="222">
        <v>0</v>
      </c>
      <c r="AG25" s="222">
        <v>0</v>
      </c>
      <c r="AH25" s="222">
        <v>0</v>
      </c>
      <c r="AI25" s="219"/>
      <c r="AJ25" s="219"/>
      <c r="AK25" s="219"/>
      <c r="AL25" s="264"/>
      <c r="AM25" s="264"/>
      <c r="AN25" s="264"/>
      <c r="AO25" s="264"/>
      <c r="AP25" s="264"/>
      <c r="AQ25" s="264"/>
      <c r="AR25" s="264"/>
      <c r="AS25" s="264"/>
    </row>
    <row r="26" spans="1:45" s="266" customFormat="1" ht="9.4499999999999993" customHeight="1" x14ac:dyDescent="0.25">
      <c r="A26" s="298"/>
      <c r="B26" s="260"/>
      <c r="C26" s="260"/>
      <c r="D26" s="260"/>
      <c r="E26" s="270"/>
      <c r="F26" s="260"/>
      <c r="G26" s="260"/>
      <c r="H26" s="260"/>
      <c r="I26" s="260"/>
      <c r="J26" s="270"/>
      <c r="K26" s="260"/>
      <c r="L26" s="260"/>
      <c r="M26" s="260"/>
      <c r="N26" s="262"/>
      <c r="O26" s="262"/>
      <c r="P26" s="262"/>
      <c r="Q26" s="262"/>
      <c r="R26" s="263"/>
      <c r="S26" s="301"/>
      <c r="T26" s="264"/>
      <c r="U26" s="264"/>
      <c r="V26" s="264"/>
      <c r="W26" s="264"/>
      <c r="X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19"/>
      <c r="AJ26" s="219"/>
      <c r="AK26" s="219"/>
      <c r="AL26" s="264"/>
      <c r="AM26" s="264"/>
      <c r="AN26" s="264"/>
      <c r="AO26" s="264"/>
      <c r="AP26" s="264"/>
      <c r="AQ26" s="264"/>
      <c r="AR26" s="264"/>
      <c r="AS26" s="264"/>
    </row>
    <row r="27" spans="1:45" s="266" customFormat="1" ht="9.4499999999999993" customHeight="1" x14ac:dyDescent="0.25">
      <c r="A27" s="298"/>
      <c r="B27" s="270"/>
      <c r="C27" s="270"/>
      <c r="D27" s="270"/>
      <c r="E27" s="270"/>
      <c r="F27" s="260"/>
      <c r="G27" s="260"/>
      <c r="H27" s="264"/>
      <c r="I27" s="299"/>
      <c r="J27" s="270"/>
      <c r="K27" s="260"/>
      <c r="L27" s="260"/>
      <c r="M27" s="260"/>
      <c r="N27" s="262"/>
      <c r="O27" s="262"/>
      <c r="P27" s="262"/>
      <c r="Q27" s="262"/>
      <c r="R27" s="263"/>
      <c r="S27" s="264"/>
      <c r="T27" s="264"/>
      <c r="U27" s="264"/>
      <c r="V27" s="264"/>
      <c r="W27" s="264"/>
      <c r="X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19"/>
      <c r="AJ27" s="219"/>
      <c r="AK27" s="219"/>
      <c r="AL27" s="264"/>
      <c r="AM27" s="264"/>
      <c r="AN27" s="264"/>
      <c r="AO27" s="264"/>
      <c r="AP27" s="264"/>
      <c r="AQ27" s="264"/>
      <c r="AR27" s="264"/>
      <c r="AS27" s="264"/>
    </row>
    <row r="28" spans="1:45" s="266" customFormat="1" ht="9.4499999999999993" customHeight="1" x14ac:dyDescent="0.25">
      <c r="A28" s="298"/>
      <c r="B28" s="260"/>
      <c r="C28" s="260"/>
      <c r="D28" s="260"/>
      <c r="E28" s="270"/>
      <c r="F28" s="260"/>
      <c r="G28" s="260"/>
      <c r="H28" s="260"/>
      <c r="I28" s="260"/>
      <c r="J28" s="270"/>
      <c r="K28" s="260"/>
      <c r="L28" s="260"/>
      <c r="M28" s="260"/>
      <c r="N28" s="262"/>
      <c r="O28" s="262"/>
      <c r="P28" s="262"/>
      <c r="Q28" s="262"/>
      <c r="R28" s="263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</row>
    <row r="29" spans="1:45" s="266" customFormat="1" ht="9.4499999999999993" customHeight="1" x14ac:dyDescent="0.25">
      <c r="A29" s="298"/>
      <c r="B29" s="270"/>
      <c r="C29" s="270"/>
      <c r="D29" s="270"/>
      <c r="E29" s="270"/>
      <c r="F29" s="260"/>
      <c r="G29" s="260"/>
      <c r="H29" s="264"/>
      <c r="I29" s="260"/>
      <c r="J29" s="270"/>
      <c r="K29" s="260"/>
      <c r="L29" s="260"/>
      <c r="M29" s="299"/>
      <c r="N29" s="270"/>
      <c r="O29" s="260"/>
      <c r="P29" s="262"/>
      <c r="Q29" s="262"/>
      <c r="R29" s="263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</row>
    <row r="30" spans="1:45" s="266" customFormat="1" ht="9.4499999999999993" customHeight="1" x14ac:dyDescent="0.25">
      <c r="A30" s="298"/>
      <c r="B30" s="260"/>
      <c r="C30" s="260"/>
      <c r="D30" s="260"/>
      <c r="E30" s="270"/>
      <c r="F30" s="260"/>
      <c r="G30" s="260"/>
      <c r="H30" s="260"/>
      <c r="I30" s="260"/>
      <c r="J30" s="270"/>
      <c r="K30" s="260"/>
      <c r="L30" s="260"/>
      <c r="M30" s="260"/>
      <c r="N30" s="262"/>
      <c r="O30" s="260"/>
      <c r="P30" s="262"/>
      <c r="Q30" s="262"/>
      <c r="R30" s="263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</row>
    <row r="31" spans="1:45" s="266" customFormat="1" ht="9.4499999999999993" customHeight="1" x14ac:dyDescent="0.25">
      <c r="A31" s="298"/>
      <c r="B31" s="270"/>
      <c r="C31" s="270"/>
      <c r="D31" s="270"/>
      <c r="E31" s="270"/>
      <c r="F31" s="260"/>
      <c r="G31" s="260"/>
      <c r="H31" s="264"/>
      <c r="I31" s="299"/>
      <c r="J31" s="270"/>
      <c r="K31" s="260"/>
      <c r="L31" s="260"/>
      <c r="M31" s="260"/>
      <c r="N31" s="262"/>
      <c r="O31" s="262"/>
      <c r="P31" s="262"/>
      <c r="Q31" s="262"/>
      <c r="R31" s="263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</row>
    <row r="32" spans="1:45" s="266" customFormat="1" ht="9.4499999999999993" customHeight="1" x14ac:dyDescent="0.25">
      <c r="A32" s="298"/>
      <c r="B32" s="260"/>
      <c r="C32" s="260"/>
      <c r="D32" s="260"/>
      <c r="E32" s="270"/>
      <c r="F32" s="260"/>
      <c r="G32" s="260"/>
      <c r="H32" s="260"/>
      <c r="I32" s="260"/>
      <c r="J32" s="270"/>
      <c r="K32" s="260"/>
      <c r="L32" s="300"/>
      <c r="M32" s="260"/>
      <c r="N32" s="262"/>
      <c r="O32" s="262"/>
      <c r="P32" s="262"/>
      <c r="Q32" s="262"/>
      <c r="R32" s="263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</row>
    <row r="33" spans="1:45" s="266" customFormat="1" ht="9.4499999999999993" customHeight="1" x14ac:dyDescent="0.25">
      <c r="A33" s="298"/>
      <c r="B33" s="270"/>
      <c r="C33" s="270"/>
      <c r="D33" s="270"/>
      <c r="E33" s="270"/>
      <c r="F33" s="260"/>
      <c r="G33" s="260"/>
      <c r="H33" s="264"/>
      <c r="I33" s="260"/>
      <c r="J33" s="270"/>
      <c r="K33" s="299"/>
      <c r="L33" s="270"/>
      <c r="M33" s="260"/>
      <c r="N33" s="262"/>
      <c r="O33" s="262"/>
      <c r="P33" s="262"/>
      <c r="Q33" s="262"/>
      <c r="R33" s="26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</row>
    <row r="34" spans="1:45" s="266" customFormat="1" ht="9.4499999999999993" customHeight="1" x14ac:dyDescent="0.25">
      <c r="A34" s="298"/>
      <c r="B34" s="260"/>
      <c r="C34" s="260"/>
      <c r="D34" s="260"/>
      <c r="E34" s="270"/>
      <c r="F34" s="260"/>
      <c r="G34" s="260"/>
      <c r="H34" s="260"/>
      <c r="I34" s="260"/>
      <c r="J34" s="270"/>
      <c r="K34" s="260"/>
      <c r="L34" s="260"/>
      <c r="M34" s="260"/>
      <c r="N34" s="262"/>
      <c r="O34" s="262"/>
      <c r="P34" s="262"/>
      <c r="Q34" s="262"/>
      <c r="R34" s="263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</row>
    <row r="35" spans="1:45" s="266" customFormat="1" ht="9.4499999999999993" customHeight="1" x14ac:dyDescent="0.25">
      <c r="A35" s="298"/>
      <c r="B35" s="270"/>
      <c r="C35" s="270"/>
      <c r="D35" s="270"/>
      <c r="E35" s="270"/>
      <c r="F35" s="260"/>
      <c r="G35" s="260"/>
      <c r="H35" s="264"/>
      <c r="I35" s="299"/>
      <c r="J35" s="270"/>
      <c r="K35" s="260"/>
      <c r="L35" s="260"/>
      <c r="M35" s="260"/>
      <c r="N35" s="262"/>
      <c r="O35" s="262"/>
      <c r="P35" s="262"/>
      <c r="Q35" s="262"/>
      <c r="R35" s="263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</row>
    <row r="36" spans="1:45" s="266" customFormat="1" ht="9.4499999999999993" customHeight="1" x14ac:dyDescent="0.25">
      <c r="A36" s="297"/>
      <c r="B36" s="260"/>
      <c r="C36" s="260"/>
      <c r="D36" s="260"/>
      <c r="E36" s="270"/>
      <c r="F36" s="260"/>
      <c r="G36" s="260"/>
      <c r="H36" s="260"/>
      <c r="I36" s="260"/>
      <c r="J36" s="270"/>
      <c r="K36" s="260"/>
      <c r="L36" s="260"/>
      <c r="M36" s="260"/>
      <c r="N36" s="260"/>
      <c r="O36" s="260"/>
      <c r="P36" s="260"/>
      <c r="Q36" s="262"/>
      <c r="R36" s="263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</row>
    <row r="37" spans="1:45" s="266" customFormat="1" ht="9.4499999999999993" customHeight="1" x14ac:dyDescent="0.25">
      <c r="A37" s="298"/>
      <c r="B37" s="270"/>
      <c r="C37" s="270"/>
      <c r="D37" s="270"/>
      <c r="E37" s="270"/>
      <c r="F37" s="302"/>
      <c r="G37" s="302"/>
      <c r="H37" s="303"/>
      <c r="I37" s="259"/>
      <c r="J37" s="282"/>
      <c r="K37" s="259"/>
      <c r="L37" s="259"/>
      <c r="M37" s="259"/>
      <c r="N37" s="285"/>
      <c r="O37" s="285"/>
      <c r="P37" s="285"/>
      <c r="Q37" s="262"/>
      <c r="R37" s="263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</row>
    <row r="38" spans="1:45" s="266" customFormat="1" ht="9.4499999999999993" customHeight="1" x14ac:dyDescent="0.25">
      <c r="A38" s="297"/>
      <c r="B38" s="260"/>
      <c r="C38" s="260"/>
      <c r="D38" s="260"/>
      <c r="E38" s="270"/>
      <c r="F38" s="260"/>
      <c r="G38" s="260"/>
      <c r="H38" s="260"/>
      <c r="I38" s="260"/>
      <c r="J38" s="270"/>
      <c r="K38" s="260"/>
      <c r="L38" s="260"/>
      <c r="M38" s="260"/>
      <c r="N38" s="262"/>
      <c r="O38" s="262"/>
      <c r="P38" s="262"/>
      <c r="Q38" s="262"/>
      <c r="R38" s="263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</row>
    <row r="39" spans="1:45" s="266" customFormat="1" ht="9.4499999999999993" customHeight="1" x14ac:dyDescent="0.25">
      <c r="A39" s="298"/>
      <c r="B39" s="270"/>
      <c r="C39" s="270"/>
      <c r="D39" s="270"/>
      <c r="E39" s="270"/>
      <c r="F39" s="260"/>
      <c r="G39" s="260"/>
      <c r="H39" s="264"/>
      <c r="I39" s="299"/>
      <c r="J39" s="270"/>
      <c r="K39" s="260"/>
      <c r="L39" s="260"/>
      <c r="M39" s="260"/>
      <c r="N39" s="262"/>
      <c r="O39" s="262"/>
      <c r="P39" s="262"/>
      <c r="Q39" s="262"/>
      <c r="R39" s="263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</row>
    <row r="40" spans="1:45" s="266" customFormat="1" ht="9.4499999999999993" customHeight="1" x14ac:dyDescent="0.25">
      <c r="A40" s="298"/>
      <c r="B40" s="260"/>
      <c r="C40" s="260"/>
      <c r="D40" s="260"/>
      <c r="E40" s="270"/>
      <c r="F40" s="260"/>
      <c r="G40" s="260"/>
      <c r="H40" s="260"/>
      <c r="I40" s="260"/>
      <c r="J40" s="270"/>
      <c r="K40" s="260"/>
      <c r="L40" s="300"/>
      <c r="M40" s="260"/>
      <c r="N40" s="262"/>
      <c r="O40" s="262"/>
      <c r="P40" s="262"/>
      <c r="Q40" s="262"/>
      <c r="R40" s="263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</row>
    <row r="41" spans="1:45" s="266" customFormat="1" ht="9.4499999999999993" customHeight="1" x14ac:dyDescent="0.25">
      <c r="A41" s="298"/>
      <c r="B41" s="270"/>
      <c r="C41" s="270"/>
      <c r="D41" s="270"/>
      <c r="E41" s="270"/>
      <c r="F41" s="260"/>
      <c r="G41" s="260"/>
      <c r="H41" s="264"/>
      <c r="I41" s="260"/>
      <c r="J41" s="270"/>
      <c r="K41" s="299"/>
      <c r="L41" s="270"/>
      <c r="M41" s="260"/>
      <c r="N41" s="262"/>
      <c r="O41" s="262"/>
      <c r="P41" s="262"/>
      <c r="Q41" s="262"/>
      <c r="R41" s="263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</row>
    <row r="42" spans="1:45" s="266" customFormat="1" ht="9.4499999999999993" customHeight="1" x14ac:dyDescent="0.25">
      <c r="A42" s="298"/>
      <c r="B42" s="260"/>
      <c r="C42" s="260"/>
      <c r="D42" s="260"/>
      <c r="E42" s="270"/>
      <c r="F42" s="260"/>
      <c r="G42" s="260"/>
      <c r="H42" s="260"/>
      <c r="I42" s="260"/>
      <c r="J42" s="270"/>
      <c r="K42" s="260"/>
      <c r="L42" s="260"/>
      <c r="M42" s="260"/>
      <c r="N42" s="262"/>
      <c r="O42" s="262"/>
      <c r="P42" s="262"/>
      <c r="Q42" s="262"/>
      <c r="R42" s="263"/>
      <c r="S42" s="301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</row>
    <row r="43" spans="1:45" s="266" customFormat="1" ht="9.4499999999999993" customHeight="1" x14ac:dyDescent="0.25">
      <c r="A43" s="298"/>
      <c r="B43" s="270"/>
      <c r="C43" s="270"/>
      <c r="D43" s="270"/>
      <c r="E43" s="270"/>
      <c r="F43" s="260"/>
      <c r="G43" s="260"/>
      <c r="H43" s="264"/>
      <c r="I43" s="299"/>
      <c r="J43" s="270"/>
      <c r="K43" s="260"/>
      <c r="L43" s="260"/>
      <c r="M43" s="260"/>
      <c r="N43" s="262"/>
      <c r="O43" s="262"/>
      <c r="P43" s="262"/>
      <c r="Q43" s="262"/>
      <c r="R43" s="263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</row>
    <row r="44" spans="1:45" s="266" customFormat="1" ht="9.4499999999999993" customHeight="1" x14ac:dyDescent="0.25">
      <c r="A44" s="298"/>
      <c r="B44" s="260"/>
      <c r="C44" s="260"/>
      <c r="D44" s="260"/>
      <c r="E44" s="270"/>
      <c r="F44" s="260"/>
      <c r="G44" s="260"/>
      <c r="H44" s="260"/>
      <c r="I44" s="260"/>
      <c r="J44" s="270"/>
      <c r="K44" s="260"/>
      <c r="L44" s="260"/>
      <c r="M44" s="260"/>
      <c r="N44" s="262"/>
      <c r="O44" s="262"/>
      <c r="P44" s="262"/>
      <c r="Q44" s="262"/>
      <c r="R44" s="263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</row>
    <row r="45" spans="1:45" s="266" customFormat="1" ht="9.4499999999999993" customHeight="1" x14ac:dyDescent="0.25">
      <c r="A45" s="298"/>
      <c r="B45" s="270"/>
      <c r="C45" s="270"/>
      <c r="D45" s="270"/>
      <c r="E45" s="270"/>
      <c r="F45" s="260"/>
      <c r="G45" s="260"/>
      <c r="H45" s="264"/>
      <c r="I45" s="260"/>
      <c r="J45" s="270"/>
      <c r="K45" s="260"/>
      <c r="L45" s="260"/>
      <c r="M45" s="299"/>
      <c r="N45" s="270"/>
      <c r="O45" s="260"/>
      <c r="P45" s="262"/>
      <c r="Q45" s="262"/>
      <c r="R45" s="263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</row>
    <row r="46" spans="1:45" s="266" customFormat="1" ht="9.4499999999999993" customHeight="1" x14ac:dyDescent="0.25">
      <c r="A46" s="298"/>
      <c r="B46" s="260"/>
      <c r="C46" s="260"/>
      <c r="D46" s="260"/>
      <c r="E46" s="270"/>
      <c r="F46" s="260"/>
      <c r="G46" s="260"/>
      <c r="H46" s="260"/>
      <c r="I46" s="260"/>
      <c r="J46" s="270"/>
      <c r="K46" s="260"/>
      <c r="L46" s="260"/>
      <c r="M46" s="260"/>
      <c r="N46" s="262"/>
      <c r="O46" s="260"/>
      <c r="P46" s="262"/>
      <c r="Q46" s="262"/>
      <c r="R46" s="263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</row>
    <row r="47" spans="1:45" s="266" customFormat="1" ht="9.4499999999999993" customHeight="1" x14ac:dyDescent="0.25">
      <c r="A47" s="298"/>
      <c r="B47" s="270"/>
      <c r="C47" s="270"/>
      <c r="D47" s="270"/>
      <c r="E47" s="270"/>
      <c r="F47" s="260"/>
      <c r="G47" s="260"/>
      <c r="H47" s="264"/>
      <c r="I47" s="299"/>
      <c r="J47" s="270"/>
      <c r="K47" s="260"/>
      <c r="L47" s="260"/>
      <c r="M47" s="260"/>
      <c r="N47" s="262"/>
      <c r="O47" s="262"/>
      <c r="P47" s="262"/>
      <c r="Q47" s="262"/>
      <c r="R47" s="263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</row>
    <row r="48" spans="1:45" s="266" customFormat="1" ht="9.4499999999999993" customHeight="1" x14ac:dyDescent="0.25">
      <c r="A48" s="298"/>
      <c r="B48" s="260"/>
      <c r="C48" s="260"/>
      <c r="D48" s="260"/>
      <c r="E48" s="270"/>
      <c r="F48" s="260"/>
      <c r="G48" s="260"/>
      <c r="H48" s="260"/>
      <c r="I48" s="260"/>
      <c r="J48" s="270"/>
      <c r="K48" s="260"/>
      <c r="L48" s="300"/>
      <c r="M48" s="260"/>
      <c r="N48" s="262"/>
      <c r="O48" s="262"/>
      <c r="P48" s="262"/>
      <c r="Q48" s="262"/>
      <c r="R48" s="263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</row>
    <row r="49" spans="1:45" s="266" customFormat="1" ht="9.4499999999999993" customHeight="1" x14ac:dyDescent="0.25">
      <c r="A49" s="298"/>
      <c r="B49" s="270"/>
      <c r="C49" s="270"/>
      <c r="D49" s="270"/>
      <c r="E49" s="270"/>
      <c r="F49" s="260"/>
      <c r="G49" s="260"/>
      <c r="H49" s="264"/>
      <c r="I49" s="260"/>
      <c r="J49" s="270"/>
      <c r="K49" s="299"/>
      <c r="L49" s="270"/>
      <c r="M49" s="260"/>
      <c r="N49" s="262"/>
      <c r="O49" s="262"/>
      <c r="P49" s="262"/>
      <c r="Q49" s="262"/>
      <c r="R49" s="263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</row>
    <row r="50" spans="1:45" s="266" customFormat="1" ht="9.4499999999999993" customHeight="1" x14ac:dyDescent="0.25">
      <c r="A50" s="298"/>
      <c r="B50" s="260"/>
      <c r="C50" s="260"/>
      <c r="D50" s="260"/>
      <c r="E50" s="270"/>
      <c r="F50" s="260"/>
      <c r="G50" s="260"/>
      <c r="H50" s="260"/>
      <c r="I50" s="260"/>
      <c r="J50" s="270"/>
      <c r="K50" s="260"/>
      <c r="L50" s="260"/>
      <c r="M50" s="260"/>
      <c r="N50" s="262"/>
      <c r="O50" s="262"/>
      <c r="P50" s="262"/>
      <c r="Q50" s="262"/>
      <c r="R50" s="263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</row>
    <row r="51" spans="1:45" s="266" customFormat="1" ht="9.4499999999999993" customHeight="1" x14ac:dyDescent="0.25">
      <c r="A51" s="298"/>
      <c r="B51" s="270"/>
      <c r="C51" s="270"/>
      <c r="D51" s="270"/>
      <c r="E51" s="270"/>
      <c r="F51" s="260"/>
      <c r="G51" s="260"/>
      <c r="H51" s="264"/>
      <c r="I51" s="299"/>
      <c r="J51" s="270"/>
      <c r="K51" s="260"/>
      <c r="L51" s="260"/>
      <c r="M51" s="260"/>
      <c r="N51" s="262"/>
      <c r="O51" s="262"/>
      <c r="P51" s="262"/>
      <c r="Q51" s="262"/>
      <c r="R51" s="263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</row>
    <row r="52" spans="1:45" s="266" customFormat="1" ht="9.4499999999999993" customHeight="1" x14ac:dyDescent="0.25">
      <c r="A52" s="297"/>
      <c r="B52" s="260"/>
      <c r="C52" s="260"/>
      <c r="D52" s="260"/>
      <c r="E52" s="270"/>
      <c r="F52" s="304"/>
      <c r="G52" s="304"/>
      <c r="H52" s="304"/>
      <c r="I52" s="304"/>
      <c r="J52" s="270"/>
      <c r="K52" s="260"/>
      <c r="L52" s="260"/>
      <c r="M52" s="260"/>
      <c r="N52" s="260"/>
      <c r="O52" s="260"/>
      <c r="P52" s="260"/>
      <c r="Q52" s="262"/>
      <c r="R52" s="263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</row>
    <row r="53" spans="1:45" s="311" customFormat="1" ht="6.75" customHeight="1" x14ac:dyDescent="0.25">
      <c r="A53" s="305"/>
      <c r="B53" s="305"/>
      <c r="C53" s="305"/>
      <c r="D53" s="305"/>
      <c r="E53" s="305"/>
      <c r="F53" s="306"/>
      <c r="G53" s="306"/>
      <c r="H53" s="306"/>
      <c r="I53" s="306"/>
      <c r="J53" s="307"/>
      <c r="K53" s="308"/>
      <c r="L53" s="309"/>
      <c r="M53" s="308"/>
      <c r="N53" s="309"/>
      <c r="O53" s="308"/>
      <c r="P53" s="309"/>
      <c r="Q53" s="308"/>
      <c r="R53" s="309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264"/>
      <c r="AJ53" s="264"/>
      <c r="AK53" s="264"/>
      <c r="AL53" s="310"/>
      <c r="AM53" s="310"/>
      <c r="AN53" s="310"/>
      <c r="AO53" s="310"/>
      <c r="AP53" s="310"/>
      <c r="AQ53" s="310"/>
      <c r="AR53" s="310"/>
      <c r="AS53" s="310"/>
    </row>
    <row r="54" spans="1:45" s="324" customFormat="1" ht="10.5" customHeight="1" x14ac:dyDescent="0.25">
      <c r="A54" s="312" t="s">
        <v>26</v>
      </c>
      <c r="B54" s="313"/>
      <c r="C54" s="313"/>
      <c r="D54" s="314"/>
      <c r="E54" s="315" t="s">
        <v>0</v>
      </c>
      <c r="F54" s="316" t="s">
        <v>28</v>
      </c>
      <c r="G54" s="315"/>
      <c r="H54" s="317"/>
      <c r="I54" s="318"/>
      <c r="J54" s="315" t="s">
        <v>0</v>
      </c>
      <c r="K54" s="316" t="s">
        <v>35</v>
      </c>
      <c r="L54" s="319"/>
      <c r="M54" s="316" t="s">
        <v>36</v>
      </c>
      <c r="N54" s="320"/>
      <c r="O54" s="321" t="s">
        <v>37</v>
      </c>
      <c r="P54" s="321"/>
      <c r="Q54" s="322"/>
      <c r="R54" s="323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6"/>
      <c r="AJ54" s="326"/>
      <c r="AK54" s="326"/>
      <c r="AL54" s="325"/>
      <c r="AM54" s="325"/>
      <c r="AN54" s="325"/>
      <c r="AO54" s="325"/>
      <c r="AP54" s="325"/>
      <c r="AQ54" s="325"/>
      <c r="AR54" s="325"/>
      <c r="AS54" s="325"/>
    </row>
    <row r="55" spans="1:45" s="324" customFormat="1" ht="9" customHeight="1" x14ac:dyDescent="0.25">
      <c r="A55" s="327" t="s">
        <v>27</v>
      </c>
      <c r="B55" s="328"/>
      <c r="C55" s="329"/>
      <c r="D55" s="330"/>
      <c r="E55" s="331">
        <v>1</v>
      </c>
      <c r="F55" s="325" t="str">
        <f>IF(E55&gt;$R$62,,UPPER(VLOOKUP(E55,'[8]1MD ELO'!$A$7:$Q$134,2)))</f>
        <v/>
      </c>
      <c r="G55" s="331"/>
      <c r="H55" s="325"/>
      <c r="I55" s="332"/>
      <c r="J55" s="333" t="s">
        <v>1</v>
      </c>
      <c r="K55" s="334"/>
      <c r="L55" s="335"/>
      <c r="M55" s="334"/>
      <c r="N55" s="336"/>
      <c r="O55" s="337" t="s">
        <v>29</v>
      </c>
      <c r="P55" s="338"/>
      <c r="Q55" s="338"/>
      <c r="R55" s="336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6"/>
      <c r="AJ55" s="326"/>
      <c r="AK55" s="326"/>
      <c r="AL55" s="325"/>
      <c r="AM55" s="325"/>
      <c r="AN55" s="325"/>
      <c r="AO55" s="325"/>
      <c r="AP55" s="325"/>
      <c r="AQ55" s="325"/>
      <c r="AR55" s="325"/>
      <c r="AS55" s="325"/>
    </row>
    <row r="56" spans="1:45" s="324" customFormat="1" ht="9" customHeight="1" x14ac:dyDescent="0.25">
      <c r="A56" s="339" t="s">
        <v>34</v>
      </c>
      <c r="B56" s="340"/>
      <c r="C56" s="341"/>
      <c r="D56" s="342"/>
      <c r="E56" s="331">
        <v>2</v>
      </c>
      <c r="F56" s="325" t="str">
        <f>IF(E56&gt;$R$62,,UPPER(VLOOKUP(E56,'[8]1MD ELO'!$A$7:$Q$134,2)))</f>
        <v/>
      </c>
      <c r="G56" s="331"/>
      <c r="H56" s="325"/>
      <c r="I56" s="332"/>
      <c r="J56" s="333" t="s">
        <v>2</v>
      </c>
      <c r="K56" s="334"/>
      <c r="L56" s="335"/>
      <c r="M56" s="334"/>
      <c r="N56" s="336"/>
      <c r="O56" s="343"/>
      <c r="P56" s="344"/>
      <c r="Q56" s="340"/>
      <c r="R56" s="34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6"/>
      <c r="AJ56" s="326"/>
      <c r="AK56" s="326"/>
      <c r="AL56" s="325"/>
      <c r="AM56" s="325"/>
      <c r="AN56" s="325"/>
      <c r="AO56" s="325"/>
      <c r="AP56" s="325"/>
      <c r="AQ56" s="325"/>
      <c r="AR56" s="325"/>
      <c r="AS56" s="325"/>
    </row>
    <row r="57" spans="1:45" s="324" customFormat="1" ht="9" customHeight="1" x14ac:dyDescent="0.25">
      <c r="A57" s="346"/>
      <c r="B57" s="347"/>
      <c r="C57" s="348"/>
      <c r="D57" s="349"/>
      <c r="E57" s="331"/>
      <c r="F57" s="325"/>
      <c r="G57" s="331"/>
      <c r="H57" s="325"/>
      <c r="I57" s="332"/>
      <c r="J57" s="333" t="s">
        <v>3</v>
      </c>
      <c r="K57" s="334"/>
      <c r="L57" s="335"/>
      <c r="M57" s="334"/>
      <c r="N57" s="336"/>
      <c r="O57" s="337" t="s">
        <v>30</v>
      </c>
      <c r="P57" s="338"/>
      <c r="Q57" s="338"/>
      <c r="R57" s="336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6"/>
      <c r="AJ57" s="326"/>
      <c r="AK57" s="326"/>
      <c r="AL57" s="325"/>
      <c r="AM57" s="325"/>
      <c r="AN57" s="325"/>
      <c r="AO57" s="325"/>
      <c r="AP57" s="325"/>
      <c r="AQ57" s="325"/>
      <c r="AR57" s="325"/>
      <c r="AS57" s="325"/>
    </row>
    <row r="58" spans="1:45" s="324" customFormat="1" ht="9" customHeight="1" x14ac:dyDescent="0.25">
      <c r="A58" s="350"/>
      <c r="B58" s="236"/>
      <c r="C58" s="236"/>
      <c r="D58" s="351"/>
      <c r="E58" s="331"/>
      <c r="F58" s="325"/>
      <c r="G58" s="331"/>
      <c r="H58" s="325"/>
      <c r="I58" s="332"/>
      <c r="J58" s="333" t="s">
        <v>4</v>
      </c>
      <c r="K58" s="334"/>
      <c r="L58" s="335"/>
      <c r="M58" s="334"/>
      <c r="N58" s="336"/>
      <c r="O58" s="334"/>
      <c r="P58" s="335"/>
      <c r="Q58" s="334"/>
      <c r="R58" s="336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6"/>
      <c r="AJ58" s="326"/>
      <c r="AK58" s="326"/>
      <c r="AL58" s="325"/>
      <c r="AM58" s="325"/>
      <c r="AN58" s="325"/>
      <c r="AO58" s="325"/>
      <c r="AP58" s="325"/>
      <c r="AQ58" s="325"/>
      <c r="AR58" s="325"/>
      <c r="AS58" s="325"/>
    </row>
    <row r="59" spans="1:45" s="324" customFormat="1" ht="9" customHeight="1" x14ac:dyDescent="0.25">
      <c r="A59" s="352"/>
      <c r="B59" s="353"/>
      <c r="C59" s="353"/>
      <c r="D59" s="354"/>
      <c r="E59" s="331"/>
      <c r="F59" s="325"/>
      <c r="G59" s="331"/>
      <c r="H59" s="325"/>
      <c r="I59" s="332"/>
      <c r="J59" s="333" t="s">
        <v>5</v>
      </c>
      <c r="K59" s="334"/>
      <c r="L59" s="335"/>
      <c r="M59" s="334"/>
      <c r="N59" s="336"/>
      <c r="O59" s="340"/>
      <c r="P59" s="344"/>
      <c r="Q59" s="340"/>
      <c r="R59" s="34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6"/>
      <c r="AJ59" s="326"/>
      <c r="AK59" s="326"/>
      <c r="AL59" s="325"/>
      <c r="AM59" s="325"/>
      <c r="AN59" s="325"/>
      <c r="AO59" s="325"/>
      <c r="AP59" s="325"/>
      <c r="AQ59" s="325"/>
      <c r="AR59" s="325"/>
      <c r="AS59" s="325"/>
    </row>
    <row r="60" spans="1:45" s="324" customFormat="1" ht="9" customHeight="1" x14ac:dyDescent="0.25">
      <c r="A60" s="355"/>
      <c r="B60" s="356"/>
      <c r="C60" s="236"/>
      <c r="D60" s="351"/>
      <c r="E60" s="331"/>
      <c r="F60" s="325"/>
      <c r="G60" s="331"/>
      <c r="H60" s="325"/>
      <c r="I60" s="332"/>
      <c r="J60" s="333" t="s">
        <v>6</v>
      </c>
      <c r="K60" s="334"/>
      <c r="L60" s="335"/>
      <c r="M60" s="334"/>
      <c r="N60" s="336"/>
      <c r="O60" s="337" t="s">
        <v>25</v>
      </c>
      <c r="P60" s="338"/>
      <c r="Q60" s="338"/>
      <c r="R60" s="336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6"/>
      <c r="AJ60" s="326"/>
      <c r="AK60" s="326"/>
      <c r="AL60" s="325"/>
      <c r="AM60" s="325"/>
      <c r="AN60" s="325"/>
      <c r="AO60" s="325"/>
      <c r="AP60" s="325"/>
      <c r="AQ60" s="325"/>
      <c r="AR60" s="325"/>
      <c r="AS60" s="325"/>
    </row>
    <row r="61" spans="1:45" s="324" customFormat="1" ht="9" customHeight="1" x14ac:dyDescent="0.25">
      <c r="A61" s="355"/>
      <c r="B61" s="356"/>
      <c r="C61" s="357"/>
      <c r="D61" s="358"/>
      <c r="E61" s="331"/>
      <c r="F61" s="325"/>
      <c r="G61" s="331"/>
      <c r="H61" s="325"/>
      <c r="I61" s="332"/>
      <c r="J61" s="333" t="s">
        <v>7</v>
      </c>
      <c r="K61" s="334"/>
      <c r="L61" s="335"/>
      <c r="M61" s="334"/>
      <c r="N61" s="336"/>
      <c r="O61" s="334"/>
      <c r="P61" s="335"/>
      <c r="Q61" s="334"/>
      <c r="R61" s="336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6"/>
      <c r="AJ61" s="326"/>
      <c r="AK61" s="326"/>
      <c r="AL61" s="325"/>
      <c r="AM61" s="325"/>
      <c r="AN61" s="325"/>
      <c r="AO61" s="325"/>
      <c r="AP61" s="325"/>
      <c r="AQ61" s="325"/>
      <c r="AR61" s="325"/>
      <c r="AS61" s="325"/>
    </row>
    <row r="62" spans="1:45" s="324" customFormat="1" ht="9" customHeight="1" x14ac:dyDescent="0.25">
      <c r="A62" s="359"/>
      <c r="B62" s="360"/>
      <c r="C62" s="361"/>
      <c r="D62" s="362"/>
      <c r="E62" s="363"/>
      <c r="F62" s="343"/>
      <c r="G62" s="363"/>
      <c r="H62" s="343"/>
      <c r="I62" s="364"/>
      <c r="J62" s="365" t="s">
        <v>8</v>
      </c>
      <c r="K62" s="340"/>
      <c r="L62" s="344"/>
      <c r="M62" s="340"/>
      <c r="N62" s="345"/>
      <c r="O62" s="340">
        <f>R4</f>
        <v>0</v>
      </c>
      <c r="P62" s="344"/>
      <c r="Q62" s="340"/>
      <c r="R62" s="366">
        <f>MIN(4,'[8]1MD ELO'!Q5)</f>
        <v>4</v>
      </c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6"/>
      <c r="AJ62" s="326"/>
      <c r="AK62" s="326"/>
      <c r="AL62" s="325"/>
      <c r="AM62" s="325"/>
      <c r="AN62" s="325"/>
      <c r="AO62" s="325"/>
      <c r="AP62" s="325"/>
      <c r="AQ62" s="325"/>
      <c r="AR62" s="325"/>
      <c r="AS62" s="325"/>
    </row>
    <row r="63" spans="1:45" x14ac:dyDescent="0.25"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L63" s="369"/>
      <c r="AM63" s="369"/>
      <c r="AN63" s="369"/>
      <c r="AO63" s="369"/>
      <c r="AP63" s="369"/>
      <c r="AQ63" s="369"/>
      <c r="AR63" s="369"/>
      <c r="AS63" s="369"/>
    </row>
    <row r="64" spans="1:45" x14ac:dyDescent="0.25"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L64" s="369"/>
      <c r="AM64" s="369"/>
      <c r="AN64" s="369"/>
      <c r="AO64" s="369"/>
      <c r="AP64" s="369"/>
      <c r="AQ64" s="369"/>
      <c r="AR64" s="369"/>
      <c r="AS64" s="369"/>
    </row>
    <row r="65" spans="20:45" x14ac:dyDescent="0.25"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L65" s="369"/>
      <c r="AM65" s="369"/>
      <c r="AN65" s="369"/>
      <c r="AO65" s="369"/>
      <c r="AP65" s="369"/>
      <c r="AQ65" s="369"/>
      <c r="AR65" s="369"/>
      <c r="AS65" s="369"/>
    </row>
    <row r="66" spans="20:45" x14ac:dyDescent="0.25"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L66" s="369"/>
      <c r="AM66" s="369"/>
      <c r="AN66" s="369"/>
      <c r="AO66" s="369"/>
      <c r="AP66" s="369"/>
      <c r="AQ66" s="369"/>
      <c r="AR66" s="369"/>
      <c r="AS66" s="369"/>
    </row>
    <row r="67" spans="20:45" x14ac:dyDescent="0.25"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L67" s="369"/>
      <c r="AM67" s="369"/>
      <c r="AN67" s="369"/>
      <c r="AO67" s="369"/>
      <c r="AP67" s="369"/>
      <c r="AQ67" s="369"/>
      <c r="AR67" s="369"/>
      <c r="AS67" s="369"/>
    </row>
    <row r="68" spans="20:45" x14ac:dyDescent="0.25"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L68" s="369"/>
      <c r="AM68" s="369"/>
      <c r="AN68" s="369"/>
      <c r="AO68" s="369"/>
      <c r="AP68" s="369"/>
      <c r="AQ68" s="369"/>
      <c r="AR68" s="369"/>
      <c r="AS68" s="369"/>
    </row>
    <row r="69" spans="20:45" x14ac:dyDescent="0.25"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L69" s="369"/>
      <c r="AM69" s="369"/>
      <c r="AN69" s="369"/>
      <c r="AO69" s="369"/>
      <c r="AP69" s="369"/>
      <c r="AQ69" s="369"/>
      <c r="AR69" s="369"/>
      <c r="AS69" s="369"/>
    </row>
    <row r="70" spans="20:45" x14ac:dyDescent="0.25"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L70" s="369"/>
      <c r="AM70" s="369"/>
      <c r="AN70" s="369"/>
      <c r="AO70" s="369"/>
      <c r="AP70" s="369"/>
      <c r="AQ70" s="369"/>
      <c r="AR70" s="369"/>
      <c r="AS70" s="369"/>
    </row>
    <row r="71" spans="20:45" x14ac:dyDescent="0.25"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L71" s="369"/>
      <c r="AM71" s="369"/>
      <c r="AN71" s="369"/>
      <c r="AO71" s="369"/>
      <c r="AP71" s="369"/>
      <c r="AQ71" s="369"/>
      <c r="AR71" s="369"/>
      <c r="AS71" s="369"/>
    </row>
    <row r="72" spans="20:45" x14ac:dyDescent="0.25"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L72" s="369"/>
      <c r="AM72" s="369"/>
      <c r="AN72" s="369"/>
      <c r="AO72" s="369"/>
      <c r="AP72" s="369"/>
      <c r="AQ72" s="369"/>
      <c r="AR72" s="369"/>
      <c r="AS72" s="369"/>
    </row>
    <row r="73" spans="20:45" x14ac:dyDescent="0.25"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L73" s="369"/>
      <c r="AM73" s="369"/>
      <c r="AN73" s="369"/>
      <c r="AO73" s="369"/>
      <c r="AP73" s="369"/>
      <c r="AQ73" s="369"/>
      <c r="AR73" s="369"/>
      <c r="AS73" s="369"/>
    </row>
    <row r="74" spans="20:45" x14ac:dyDescent="0.25"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L74" s="369"/>
      <c r="AM74" s="369"/>
      <c r="AN74" s="369"/>
      <c r="AO74" s="369"/>
      <c r="AP74" s="369"/>
      <c r="AQ74" s="369"/>
      <c r="AR74" s="369"/>
      <c r="AS74" s="369"/>
    </row>
    <row r="75" spans="20:45" x14ac:dyDescent="0.25"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L75" s="369"/>
      <c r="AM75" s="369"/>
      <c r="AN75" s="369"/>
      <c r="AO75" s="369"/>
      <c r="AP75" s="369"/>
      <c r="AQ75" s="369"/>
      <c r="AR75" s="369"/>
      <c r="AS75" s="369"/>
    </row>
    <row r="76" spans="20:45" x14ac:dyDescent="0.25"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L76" s="369"/>
      <c r="AM76" s="369"/>
      <c r="AN76" s="369"/>
      <c r="AO76" s="369"/>
      <c r="AP76" s="369"/>
      <c r="AQ76" s="369"/>
      <c r="AR76" s="369"/>
      <c r="AS76" s="369"/>
    </row>
    <row r="77" spans="20:45" x14ac:dyDescent="0.25"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L77" s="369"/>
      <c r="AM77" s="369"/>
      <c r="AN77" s="369"/>
      <c r="AO77" s="369"/>
      <c r="AP77" s="369"/>
      <c r="AQ77" s="369"/>
      <c r="AR77" s="369"/>
      <c r="AS77" s="369"/>
    </row>
    <row r="78" spans="20:45" x14ac:dyDescent="0.25"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L78" s="369"/>
      <c r="AM78" s="369"/>
      <c r="AN78" s="369"/>
      <c r="AO78" s="369"/>
      <c r="AP78" s="369"/>
      <c r="AQ78" s="369"/>
      <c r="AR78" s="369"/>
      <c r="AS78" s="369"/>
    </row>
    <row r="79" spans="20:45" x14ac:dyDescent="0.25"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L79" s="369"/>
      <c r="AM79" s="369"/>
      <c r="AN79" s="369"/>
      <c r="AO79" s="369"/>
      <c r="AP79" s="369"/>
      <c r="AQ79" s="369"/>
      <c r="AR79" s="369"/>
      <c r="AS79" s="369"/>
    </row>
    <row r="80" spans="20:45" x14ac:dyDescent="0.25"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L80" s="369"/>
      <c r="AM80" s="369"/>
      <c r="AN80" s="369"/>
      <c r="AO80" s="369"/>
      <c r="AP80" s="369"/>
      <c r="AQ80" s="369"/>
      <c r="AR80" s="369"/>
      <c r="AS80" s="369"/>
    </row>
    <row r="81" spans="20:45" x14ac:dyDescent="0.25"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L81" s="369"/>
      <c r="AM81" s="369"/>
      <c r="AN81" s="369"/>
      <c r="AO81" s="369"/>
      <c r="AP81" s="369"/>
      <c r="AQ81" s="369"/>
      <c r="AR81" s="369"/>
      <c r="AS81" s="369"/>
    </row>
    <row r="82" spans="20:45" x14ac:dyDescent="0.25"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L82" s="369"/>
      <c r="AM82" s="369"/>
      <c r="AN82" s="369"/>
      <c r="AO82" s="369"/>
      <c r="AP82" s="369"/>
      <c r="AQ82" s="369"/>
      <c r="AR82" s="369"/>
      <c r="AS82" s="369"/>
    </row>
    <row r="83" spans="20:45" x14ac:dyDescent="0.25"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L83" s="369"/>
      <c r="AM83" s="369"/>
      <c r="AN83" s="369"/>
      <c r="AO83" s="369"/>
      <c r="AP83" s="369"/>
      <c r="AQ83" s="369"/>
      <c r="AR83" s="369"/>
      <c r="AS83" s="369"/>
    </row>
    <row r="84" spans="20:45" x14ac:dyDescent="0.25"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L84" s="369"/>
      <c r="AM84" s="369"/>
      <c r="AN84" s="369"/>
      <c r="AO84" s="369"/>
      <c r="AP84" s="369"/>
      <c r="AQ84" s="369"/>
      <c r="AR84" s="369"/>
      <c r="AS84" s="369"/>
    </row>
    <row r="85" spans="20:45" x14ac:dyDescent="0.25"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L85" s="369"/>
      <c r="AM85" s="369"/>
      <c r="AN85" s="369"/>
      <c r="AO85" s="369"/>
      <c r="AP85" s="369"/>
      <c r="AQ85" s="369"/>
      <c r="AR85" s="369"/>
      <c r="AS85" s="369"/>
    </row>
    <row r="86" spans="20:45" x14ac:dyDescent="0.25"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L86" s="369"/>
      <c r="AM86" s="369"/>
      <c r="AN86" s="369"/>
      <c r="AO86" s="369"/>
      <c r="AP86" s="369"/>
      <c r="AQ86" s="369"/>
      <c r="AR86" s="369"/>
      <c r="AS86" s="369"/>
    </row>
    <row r="87" spans="20:45" x14ac:dyDescent="0.25"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L87" s="369"/>
      <c r="AM87" s="369"/>
      <c r="AN87" s="369"/>
      <c r="AO87" s="369"/>
      <c r="AP87" s="369"/>
      <c r="AQ87" s="369"/>
      <c r="AR87" s="369"/>
      <c r="AS87" s="369"/>
    </row>
    <row r="88" spans="20:45" x14ac:dyDescent="0.25"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L88" s="369"/>
      <c r="AM88" s="369"/>
      <c r="AN88" s="369"/>
      <c r="AO88" s="369"/>
      <c r="AP88" s="369"/>
      <c r="AQ88" s="369"/>
      <c r="AR88" s="369"/>
      <c r="AS88" s="369"/>
    </row>
    <row r="89" spans="20:45" x14ac:dyDescent="0.25"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L89" s="369"/>
      <c r="AM89" s="369"/>
      <c r="AN89" s="369"/>
      <c r="AO89" s="369"/>
      <c r="AP89" s="369"/>
      <c r="AQ89" s="369"/>
      <c r="AR89" s="369"/>
      <c r="AS89" s="369"/>
    </row>
    <row r="90" spans="20:45" x14ac:dyDescent="0.25"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L90" s="369"/>
      <c r="AM90" s="369"/>
      <c r="AN90" s="369"/>
      <c r="AO90" s="369"/>
      <c r="AP90" s="369"/>
      <c r="AQ90" s="369"/>
      <c r="AR90" s="369"/>
      <c r="AS90" s="369"/>
    </row>
    <row r="91" spans="20:45" x14ac:dyDescent="0.25"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L91" s="369"/>
      <c r="AM91" s="369"/>
      <c r="AN91" s="369"/>
      <c r="AO91" s="369"/>
      <c r="AP91" s="369"/>
      <c r="AQ91" s="369"/>
      <c r="AR91" s="369"/>
      <c r="AS91" s="369"/>
    </row>
    <row r="92" spans="20:45" x14ac:dyDescent="0.25"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L92" s="369"/>
      <c r="AM92" s="369"/>
      <c r="AN92" s="369"/>
      <c r="AO92" s="369"/>
      <c r="AP92" s="369"/>
      <c r="AQ92" s="369"/>
      <c r="AR92" s="369"/>
      <c r="AS92" s="369"/>
    </row>
    <row r="93" spans="20:45" x14ac:dyDescent="0.25"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L93" s="369"/>
      <c r="AM93" s="369"/>
      <c r="AN93" s="369"/>
      <c r="AO93" s="369"/>
      <c r="AP93" s="369"/>
      <c r="AQ93" s="369"/>
      <c r="AR93" s="369"/>
      <c r="AS93" s="369"/>
    </row>
    <row r="94" spans="20:45" x14ac:dyDescent="0.25"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L94" s="369"/>
      <c r="AM94" s="369"/>
      <c r="AN94" s="369"/>
      <c r="AO94" s="369"/>
      <c r="AP94" s="369"/>
      <c r="AQ94" s="369"/>
      <c r="AR94" s="369"/>
      <c r="AS94" s="369"/>
    </row>
    <row r="95" spans="20:45" x14ac:dyDescent="0.25"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L95" s="369"/>
      <c r="AM95" s="369"/>
      <c r="AN95" s="369"/>
      <c r="AO95" s="369"/>
      <c r="AP95" s="369"/>
      <c r="AQ95" s="369"/>
      <c r="AR95" s="369"/>
      <c r="AS95" s="369"/>
    </row>
    <row r="96" spans="20:45" x14ac:dyDescent="0.25"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L96" s="369"/>
      <c r="AM96" s="369"/>
      <c r="AN96" s="369"/>
      <c r="AO96" s="369"/>
      <c r="AP96" s="369"/>
      <c r="AQ96" s="369"/>
      <c r="AR96" s="369"/>
      <c r="AS96" s="369"/>
    </row>
    <row r="97" spans="20:45" x14ac:dyDescent="0.25"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L97" s="369"/>
      <c r="AM97" s="369"/>
      <c r="AN97" s="369"/>
      <c r="AO97" s="369"/>
      <c r="AP97" s="369"/>
      <c r="AQ97" s="369"/>
      <c r="AR97" s="369"/>
      <c r="AS97" s="369"/>
    </row>
    <row r="98" spans="20:45" x14ac:dyDescent="0.25"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L98" s="369"/>
      <c r="AM98" s="369"/>
      <c r="AN98" s="369"/>
      <c r="AO98" s="369"/>
      <c r="AP98" s="369"/>
      <c r="AQ98" s="369"/>
      <c r="AR98" s="369"/>
      <c r="AS98" s="369"/>
    </row>
    <row r="99" spans="20:45" x14ac:dyDescent="0.25"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L99" s="369"/>
      <c r="AM99" s="369"/>
      <c r="AN99" s="369"/>
      <c r="AO99" s="369"/>
      <c r="AP99" s="369"/>
      <c r="AQ99" s="369"/>
      <c r="AR99" s="369"/>
      <c r="AS99" s="369"/>
    </row>
    <row r="100" spans="20:45" x14ac:dyDescent="0.25"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L100" s="369"/>
      <c r="AM100" s="369"/>
      <c r="AN100" s="369"/>
      <c r="AO100" s="369"/>
      <c r="AP100" s="369"/>
      <c r="AQ100" s="369"/>
      <c r="AR100" s="369"/>
      <c r="AS100" s="369"/>
    </row>
    <row r="101" spans="20:45" x14ac:dyDescent="0.25"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L101" s="369"/>
      <c r="AM101" s="369"/>
      <c r="AN101" s="369"/>
      <c r="AO101" s="369"/>
      <c r="AP101" s="369"/>
      <c r="AQ101" s="369"/>
      <c r="AR101" s="369"/>
      <c r="AS101" s="369"/>
    </row>
    <row r="102" spans="20:45" x14ac:dyDescent="0.25"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L102" s="369"/>
      <c r="AM102" s="369"/>
      <c r="AN102" s="369"/>
      <c r="AO102" s="369"/>
      <c r="AP102" s="369"/>
      <c r="AQ102" s="369"/>
      <c r="AR102" s="369"/>
      <c r="AS102" s="369"/>
    </row>
    <row r="103" spans="20:45" x14ac:dyDescent="0.25"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L103" s="369"/>
      <c r="AM103" s="369"/>
      <c r="AN103" s="369"/>
      <c r="AO103" s="369"/>
      <c r="AP103" s="369"/>
      <c r="AQ103" s="369"/>
      <c r="AR103" s="369"/>
      <c r="AS103" s="369"/>
    </row>
    <row r="104" spans="20:45" x14ac:dyDescent="0.25"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L104" s="369"/>
      <c r="AM104" s="369"/>
      <c r="AN104" s="369"/>
      <c r="AO104" s="369"/>
      <c r="AP104" s="369"/>
      <c r="AQ104" s="369"/>
      <c r="AR104" s="369"/>
      <c r="AS104" s="369"/>
    </row>
    <row r="105" spans="20:45" x14ac:dyDescent="0.25"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L105" s="369"/>
      <c r="AM105" s="369"/>
      <c r="AN105" s="369"/>
      <c r="AO105" s="369"/>
      <c r="AP105" s="369"/>
      <c r="AQ105" s="369"/>
      <c r="AR105" s="369"/>
      <c r="AS105" s="369"/>
    </row>
    <row r="106" spans="20:45" x14ac:dyDescent="0.25"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L106" s="369"/>
      <c r="AM106" s="369"/>
      <c r="AN106" s="369"/>
      <c r="AO106" s="369"/>
      <c r="AP106" s="369"/>
      <c r="AQ106" s="369"/>
      <c r="AR106" s="369"/>
      <c r="AS106" s="369"/>
    </row>
    <row r="107" spans="20:45" x14ac:dyDescent="0.25"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L107" s="369"/>
      <c r="AM107" s="369"/>
      <c r="AN107" s="369"/>
      <c r="AO107" s="369"/>
      <c r="AP107" s="369"/>
      <c r="AQ107" s="369"/>
      <c r="AR107" s="369"/>
      <c r="AS107" s="369"/>
    </row>
    <row r="108" spans="20:45" x14ac:dyDescent="0.25"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L108" s="369"/>
      <c r="AM108" s="369"/>
      <c r="AN108" s="369"/>
      <c r="AO108" s="369"/>
      <c r="AP108" s="369"/>
      <c r="AQ108" s="369"/>
      <c r="AR108" s="369"/>
      <c r="AS108" s="369"/>
    </row>
    <row r="109" spans="20:45" x14ac:dyDescent="0.25"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L109" s="369"/>
      <c r="AM109" s="369"/>
      <c r="AN109" s="369"/>
      <c r="AO109" s="369"/>
      <c r="AP109" s="369"/>
      <c r="AQ109" s="369"/>
      <c r="AR109" s="369"/>
      <c r="AS109" s="369"/>
    </row>
    <row r="110" spans="20:45" x14ac:dyDescent="0.25"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L110" s="369"/>
      <c r="AM110" s="369"/>
      <c r="AN110" s="369"/>
      <c r="AO110" s="369"/>
      <c r="AP110" s="369"/>
      <c r="AQ110" s="369"/>
      <c r="AR110" s="369"/>
      <c r="AS110" s="369"/>
    </row>
    <row r="111" spans="20:45" x14ac:dyDescent="0.25"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L111" s="369"/>
      <c r="AM111" s="369"/>
      <c r="AN111" s="369"/>
      <c r="AO111" s="369"/>
      <c r="AP111" s="369"/>
      <c r="AQ111" s="369"/>
      <c r="AR111" s="369"/>
      <c r="AS111" s="369"/>
    </row>
    <row r="112" spans="20:45" x14ac:dyDescent="0.25"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L112" s="369"/>
      <c r="AM112" s="369"/>
      <c r="AN112" s="369"/>
      <c r="AO112" s="369"/>
      <c r="AP112" s="369"/>
      <c r="AQ112" s="369"/>
      <c r="AR112" s="369"/>
      <c r="AS112" s="369"/>
    </row>
    <row r="113" spans="20:45" x14ac:dyDescent="0.25"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L113" s="369"/>
      <c r="AM113" s="369"/>
      <c r="AN113" s="369"/>
      <c r="AO113" s="369"/>
      <c r="AP113" s="369"/>
      <c r="AQ113" s="369"/>
      <c r="AR113" s="369"/>
      <c r="AS113" s="369"/>
    </row>
    <row r="114" spans="20:45" x14ac:dyDescent="0.25"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L114" s="369"/>
      <c r="AM114" s="369"/>
      <c r="AN114" s="369"/>
      <c r="AO114" s="369"/>
      <c r="AP114" s="369"/>
      <c r="AQ114" s="369"/>
      <c r="AR114" s="369"/>
      <c r="AS114" s="369"/>
    </row>
    <row r="115" spans="20:45" x14ac:dyDescent="0.25"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L115" s="369"/>
      <c r="AM115" s="369"/>
      <c r="AN115" s="369"/>
      <c r="AO115" s="369"/>
      <c r="AP115" s="369"/>
      <c r="AQ115" s="369"/>
      <c r="AR115" s="369"/>
      <c r="AS115" s="369"/>
    </row>
    <row r="116" spans="20:45" x14ac:dyDescent="0.25"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L116" s="369"/>
      <c r="AM116" s="369"/>
      <c r="AN116" s="369"/>
      <c r="AO116" s="369"/>
      <c r="AP116" s="369"/>
      <c r="AQ116" s="369"/>
      <c r="AR116" s="369"/>
      <c r="AS116" s="369"/>
    </row>
    <row r="117" spans="20:45" x14ac:dyDescent="0.25"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L117" s="369"/>
      <c r="AM117" s="369"/>
      <c r="AN117" s="369"/>
      <c r="AO117" s="369"/>
      <c r="AP117" s="369"/>
      <c r="AQ117" s="369"/>
      <c r="AR117" s="369"/>
      <c r="AS117" s="369"/>
    </row>
    <row r="118" spans="20:45" x14ac:dyDescent="0.25"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L118" s="369"/>
      <c r="AM118" s="369"/>
      <c r="AN118" s="369"/>
      <c r="AO118" s="369"/>
      <c r="AP118" s="369"/>
      <c r="AQ118" s="369"/>
      <c r="AR118" s="369"/>
      <c r="AS118" s="369"/>
    </row>
    <row r="119" spans="20:45" x14ac:dyDescent="0.25"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L119" s="369"/>
      <c r="AM119" s="369"/>
      <c r="AN119" s="369"/>
      <c r="AO119" s="369"/>
      <c r="AP119" s="369"/>
      <c r="AQ119" s="369"/>
      <c r="AR119" s="369"/>
      <c r="AS119" s="369"/>
    </row>
    <row r="120" spans="20:45" x14ac:dyDescent="0.25"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L120" s="369"/>
      <c r="AM120" s="369"/>
      <c r="AN120" s="369"/>
      <c r="AO120" s="369"/>
      <c r="AP120" s="369"/>
      <c r="AQ120" s="369"/>
      <c r="AR120" s="369"/>
      <c r="AS120" s="369"/>
    </row>
    <row r="121" spans="20:45" x14ac:dyDescent="0.25"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L121" s="369"/>
      <c r="AM121" s="369"/>
      <c r="AN121" s="369"/>
      <c r="AO121" s="369"/>
      <c r="AP121" s="369"/>
      <c r="AQ121" s="369"/>
      <c r="AR121" s="369"/>
      <c r="AS121" s="369"/>
    </row>
    <row r="122" spans="20:45" x14ac:dyDescent="0.25"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L122" s="369"/>
      <c r="AM122" s="369"/>
      <c r="AN122" s="369"/>
      <c r="AO122" s="369"/>
      <c r="AP122" s="369"/>
      <c r="AQ122" s="369"/>
      <c r="AR122" s="369"/>
      <c r="AS122" s="369"/>
    </row>
    <row r="123" spans="20:45" x14ac:dyDescent="0.25"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L123" s="369"/>
      <c r="AM123" s="369"/>
      <c r="AN123" s="369"/>
      <c r="AO123" s="369"/>
      <c r="AP123" s="369"/>
      <c r="AQ123" s="369"/>
      <c r="AR123" s="369"/>
      <c r="AS123" s="369"/>
    </row>
    <row r="124" spans="20:45" x14ac:dyDescent="0.25"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L124" s="369"/>
      <c r="AM124" s="369"/>
      <c r="AN124" s="369"/>
      <c r="AO124" s="369"/>
      <c r="AP124" s="369"/>
      <c r="AQ124" s="369"/>
      <c r="AR124" s="369"/>
      <c r="AS124" s="369"/>
    </row>
    <row r="125" spans="20:45" x14ac:dyDescent="0.25"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L125" s="369"/>
      <c r="AM125" s="369"/>
      <c r="AN125" s="369"/>
      <c r="AO125" s="369"/>
      <c r="AP125" s="369"/>
      <c r="AQ125" s="369"/>
      <c r="AR125" s="369"/>
      <c r="AS125" s="369"/>
    </row>
    <row r="126" spans="20:45" x14ac:dyDescent="0.25"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L126" s="369"/>
      <c r="AM126" s="369"/>
      <c r="AN126" s="369"/>
      <c r="AO126" s="369"/>
      <c r="AP126" s="369"/>
      <c r="AQ126" s="369"/>
      <c r="AR126" s="369"/>
      <c r="AS126" s="369"/>
    </row>
    <row r="127" spans="20:45" x14ac:dyDescent="0.25"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L127" s="369"/>
      <c r="AM127" s="369"/>
      <c r="AN127" s="369"/>
      <c r="AO127" s="369"/>
      <c r="AP127" s="369"/>
      <c r="AQ127" s="369"/>
      <c r="AR127" s="369"/>
      <c r="AS127" s="369"/>
    </row>
    <row r="128" spans="20:45" x14ac:dyDescent="0.25">
      <c r="T128" s="369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L128" s="369"/>
      <c r="AM128" s="369"/>
      <c r="AN128" s="369"/>
      <c r="AO128" s="369"/>
      <c r="AP128" s="369"/>
      <c r="AQ128" s="369"/>
      <c r="AR128" s="369"/>
      <c r="AS128" s="369"/>
    </row>
    <row r="129" spans="20:45" x14ac:dyDescent="0.25"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L129" s="369"/>
      <c r="AM129" s="369"/>
      <c r="AN129" s="369"/>
      <c r="AO129" s="369"/>
      <c r="AP129" s="369"/>
      <c r="AQ129" s="369"/>
      <c r="AR129" s="369"/>
      <c r="AS129" s="369"/>
    </row>
    <row r="130" spans="20:45" x14ac:dyDescent="0.25"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L130" s="369"/>
      <c r="AM130" s="369"/>
      <c r="AN130" s="369"/>
      <c r="AO130" s="369"/>
      <c r="AP130" s="369"/>
      <c r="AQ130" s="369"/>
      <c r="AR130" s="369"/>
      <c r="AS130" s="369"/>
    </row>
    <row r="131" spans="20:45" x14ac:dyDescent="0.25"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L131" s="369"/>
      <c r="AM131" s="369"/>
      <c r="AN131" s="369"/>
      <c r="AO131" s="369"/>
      <c r="AP131" s="369"/>
      <c r="AQ131" s="369"/>
      <c r="AR131" s="369"/>
      <c r="AS131" s="369"/>
    </row>
    <row r="132" spans="20:45" x14ac:dyDescent="0.25">
      <c r="T132" s="369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L132" s="369"/>
      <c r="AM132" s="369"/>
      <c r="AN132" s="369"/>
      <c r="AO132" s="369"/>
      <c r="AP132" s="369"/>
      <c r="AQ132" s="369"/>
      <c r="AR132" s="369"/>
      <c r="AS132" s="369"/>
    </row>
    <row r="133" spans="20:45" x14ac:dyDescent="0.25"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L133" s="369"/>
      <c r="AM133" s="369"/>
      <c r="AN133" s="369"/>
      <c r="AO133" s="369"/>
      <c r="AP133" s="369"/>
      <c r="AQ133" s="369"/>
      <c r="AR133" s="369"/>
      <c r="AS133" s="369"/>
    </row>
    <row r="134" spans="20:45" x14ac:dyDescent="0.25"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L134" s="369"/>
      <c r="AM134" s="369"/>
      <c r="AN134" s="369"/>
      <c r="AO134" s="369"/>
      <c r="AP134" s="369"/>
      <c r="AQ134" s="369"/>
      <c r="AR134" s="369"/>
      <c r="AS134" s="369"/>
    </row>
    <row r="135" spans="20:45" x14ac:dyDescent="0.25"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L135" s="369"/>
      <c r="AM135" s="369"/>
      <c r="AN135" s="369"/>
      <c r="AO135" s="369"/>
      <c r="AP135" s="369"/>
      <c r="AQ135" s="369"/>
      <c r="AR135" s="369"/>
      <c r="AS135" s="369"/>
    </row>
    <row r="136" spans="20:45" x14ac:dyDescent="0.25"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L136" s="369"/>
      <c r="AM136" s="369"/>
      <c r="AN136" s="369"/>
      <c r="AO136" s="369"/>
      <c r="AP136" s="369"/>
      <c r="AQ136" s="369"/>
      <c r="AR136" s="369"/>
      <c r="AS136" s="369"/>
    </row>
    <row r="137" spans="20:45" x14ac:dyDescent="0.25"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L137" s="369"/>
      <c r="AM137" s="369"/>
      <c r="AN137" s="369"/>
      <c r="AO137" s="369"/>
      <c r="AP137" s="369"/>
      <c r="AQ137" s="369"/>
      <c r="AR137" s="369"/>
      <c r="AS137" s="369"/>
    </row>
    <row r="138" spans="20:45" x14ac:dyDescent="0.25"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L138" s="369"/>
      <c r="AM138" s="369"/>
      <c r="AN138" s="369"/>
      <c r="AO138" s="369"/>
      <c r="AP138" s="369"/>
      <c r="AQ138" s="369"/>
      <c r="AR138" s="369"/>
      <c r="AS138" s="369"/>
    </row>
    <row r="139" spans="20:45" x14ac:dyDescent="0.25"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L139" s="369"/>
      <c r="AM139" s="369"/>
      <c r="AN139" s="369"/>
      <c r="AO139" s="369"/>
      <c r="AP139" s="369"/>
      <c r="AQ139" s="369"/>
      <c r="AR139" s="369"/>
      <c r="AS139" s="369"/>
    </row>
    <row r="140" spans="20:45" x14ac:dyDescent="0.25"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L140" s="369"/>
      <c r="AM140" s="369"/>
      <c r="AN140" s="369"/>
      <c r="AO140" s="369"/>
      <c r="AP140" s="369"/>
      <c r="AQ140" s="369"/>
      <c r="AR140" s="369"/>
      <c r="AS140" s="369"/>
    </row>
  </sheetData>
  <mergeCells count="1">
    <mergeCell ref="A4:C4"/>
  </mergeCells>
  <conditionalFormatting sqref="B22 B24 B26 B28 B30 B32 B34 B36 B38 B40 B42 B44 B46 B48 B50 B52">
    <cfRule type="cellIs" dxfId="100" priority="13" stopIfTrue="1" operator="equal">
      <formula>"QA"</formula>
    </cfRule>
    <cfRule type="cellIs" dxfId="99" priority="14" stopIfTrue="1" operator="equal">
      <formula>"DA"</formula>
    </cfRule>
  </conditionalFormatting>
  <conditionalFormatting sqref="E7 E21">
    <cfRule type="expression" dxfId="98" priority="16" stopIfTrue="1">
      <formula>$E7&lt;5</formula>
    </cfRule>
  </conditionalFormatting>
  <conditionalFormatting sqref="E22 E24 E26 E28 E30 E32 E34 E36 E38 E40 E42 E44 E46 E48 E50 E52">
    <cfRule type="expression" dxfId="97" priority="8" stopIfTrue="1">
      <formula>AND($E22&lt;9,$C22&gt;0)</formula>
    </cfRule>
  </conditionalFormatting>
  <conditionalFormatting sqref="F7 F9 F11 F13 F15 F17 F19">
    <cfRule type="cellIs" dxfId="96" priority="17" stopIfTrue="1" operator="equal">
      <formula>"Bye"</formula>
    </cfRule>
  </conditionalFormatting>
  <conditionalFormatting sqref="F21:F22 F24 F26 F28 F30 F32 F34 F36 F38 F40 F42 F44 F46 F48 F50">
    <cfRule type="cellIs" dxfId="95" priority="9" stopIfTrue="1" operator="equal">
      <formula>"Bye"</formula>
    </cfRule>
  </conditionalFormatting>
  <conditionalFormatting sqref="F22 F24 F26 F28 F30 F32 F34 F36 F38 F40 F42 F44 F46 F48 F50">
    <cfRule type="expression" dxfId="94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93" priority="4" stopIfTrue="1">
      <formula>AND($E7&lt;9,$C7&gt;0)</formula>
    </cfRule>
  </conditionalFormatting>
  <conditionalFormatting sqref="I8 K10 I12 M14 I16 K18 I20 I23 K25 I27 M29 I31 K33 I35 I39 K41 I43 M45 I47 K49 I51">
    <cfRule type="expression" dxfId="92" priority="5" stopIfTrue="1">
      <formula>AND($O$1="CU",I8="Umpire")</formula>
    </cfRule>
    <cfRule type="expression" dxfId="91" priority="6" stopIfTrue="1">
      <formula>AND($O$1="CU",I8&lt;&gt;"Umpire",J8&lt;&gt;"")</formula>
    </cfRule>
    <cfRule type="expression" dxfId="90" priority="7" stopIfTrue="1">
      <formula>AND($O$1="CU",I8&lt;&gt;"Umpire")</formula>
    </cfRule>
  </conditionalFormatting>
  <conditionalFormatting sqref="J8 L10 J12 N14 J16 L18 J20 R62">
    <cfRule type="expression" dxfId="89" priority="15" stopIfTrue="1">
      <formula>$O$1="CU"</formula>
    </cfRule>
  </conditionalFormatting>
  <conditionalFormatting sqref="K8 M10 K12 O14 K16 M18 K20 K23 M25 K27 O29 K31 M33 K35 K39 M41 K43 O45 K47 M49 K51">
    <cfRule type="expression" dxfId="88" priority="11" stopIfTrue="1">
      <formula>J8="as"</formula>
    </cfRule>
    <cfRule type="expression" dxfId="87" priority="12" stopIfTrue="1">
      <formula>J8="bs"</formula>
    </cfRule>
  </conditionalFormatting>
  <conditionalFormatting sqref="O16">
    <cfRule type="expression" dxfId="86" priority="1" stopIfTrue="1">
      <formula>AND($O$1="CU",O16="Umpire")</formula>
    </cfRule>
    <cfRule type="expression" dxfId="85" priority="2" stopIfTrue="1">
      <formula>AND($O$1="CU",O16&lt;&gt;"Umpire",P16&lt;&gt;"")</formula>
    </cfRule>
    <cfRule type="expression" dxfId="84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924392DD-9489-44E6-A89C-52090380F9EF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D8FA-2AA6-42BB-9977-FDE10554C399}">
  <sheetPr>
    <tabColor indexed="11"/>
  </sheetPr>
  <dimension ref="A1:AK49"/>
  <sheetViews>
    <sheetView workbookViewId="0">
      <selection sqref="A1:F1"/>
    </sheetView>
  </sheetViews>
  <sheetFormatPr defaultColWidth="8.77734375" defaultRowHeight="13.2" x14ac:dyDescent="0.25"/>
  <cols>
    <col min="1" max="1" width="6.109375" style="287" customWidth="1"/>
    <col min="2" max="2" width="4.44140625" style="287" customWidth="1"/>
    <col min="3" max="3" width="8.33203125" style="287" customWidth="1"/>
    <col min="4" max="4" width="7.109375" style="287" customWidth="1"/>
    <col min="5" max="5" width="9.33203125" style="287" customWidth="1"/>
    <col min="6" max="6" width="7.109375" style="287" customWidth="1"/>
    <col min="7" max="7" width="9.33203125" style="287" customWidth="1"/>
    <col min="8" max="8" width="7.109375" style="287" customWidth="1"/>
    <col min="9" max="9" width="9.33203125" style="287" customWidth="1"/>
    <col min="10" max="10" width="7.77734375" style="287" customWidth="1"/>
    <col min="11" max="13" width="8.44140625" style="287" customWidth="1"/>
    <col min="14" max="14" width="8.77734375" style="287"/>
    <col min="15" max="16" width="5.33203125" style="287" customWidth="1"/>
    <col min="17" max="17" width="11.44140625" style="287" customWidth="1"/>
    <col min="18" max="24" width="8.77734375" style="287"/>
    <col min="25" max="25" width="10.33203125" style="287" hidden="1" customWidth="1"/>
    <col min="26" max="37" width="9.109375" style="287" hidden="1" customWidth="1"/>
    <col min="38" max="16384" width="8.77734375" style="287"/>
  </cols>
  <sheetData>
    <row r="1" spans="1:37" ht="24.6" x14ac:dyDescent="0.25">
      <c r="A1" s="560" t="str">
        <f>[9]Altalanos!$A$6</f>
        <v>OB</v>
      </c>
      <c r="B1" s="560"/>
      <c r="C1" s="560"/>
      <c r="D1" s="560"/>
      <c r="E1" s="560"/>
      <c r="F1" s="560"/>
      <c r="G1" s="203"/>
      <c r="H1" s="206" t="s">
        <v>33</v>
      </c>
      <c r="I1" s="204"/>
      <c r="J1" s="205"/>
      <c r="L1" s="207"/>
      <c r="M1" s="208"/>
      <c r="N1" s="373"/>
      <c r="O1" s="373" t="s">
        <v>9</v>
      </c>
      <c r="P1" s="373"/>
      <c r="Q1" s="371"/>
      <c r="R1" s="373"/>
      <c r="AB1" s="211" t="e">
        <f>IF(Y5=1,CONCATENATE(VLOOKUP(Y3,AA16:AH27,2)),CONCATENATE(VLOOKUP(Y3,AA2:AK13,2)))</f>
        <v>#N/A</v>
      </c>
      <c r="AC1" s="211" t="e">
        <f>IF(Y5=1,CONCATENATE(VLOOKUP(Y3,AA16:AK27,3)),CONCATENATE(VLOOKUP(Y3,AA2:AK13,3)))</f>
        <v>#N/A</v>
      </c>
      <c r="AD1" s="211" t="e">
        <f>IF(Y5=1,CONCATENATE(VLOOKUP(Y3,AA16:AK27,4)),CONCATENATE(VLOOKUP(Y3,AA2:AK13,4)))</f>
        <v>#N/A</v>
      </c>
      <c r="AE1" s="211" t="e">
        <f>IF(Y5=1,CONCATENATE(VLOOKUP(Y3,AA16:AK27,5)),CONCATENATE(VLOOKUP(Y3,AA2:AK13,5)))</f>
        <v>#N/A</v>
      </c>
      <c r="AF1" s="211" t="e">
        <f>IF(Y5=1,CONCATENATE(VLOOKUP(Y3,AA16:AK27,6)),CONCATENATE(VLOOKUP(Y3,AA2:AK13,6)))</f>
        <v>#N/A</v>
      </c>
      <c r="AG1" s="211" t="e">
        <f>IF(Y5=1,CONCATENATE(VLOOKUP(Y3,AA16:AK27,7)),CONCATENATE(VLOOKUP(Y3,AA2:AK13,7)))</f>
        <v>#N/A</v>
      </c>
      <c r="AH1" s="211" t="e">
        <f>IF(Y5=1,CONCATENATE(VLOOKUP(Y3,AA16:AK27,8)),CONCATENATE(VLOOKUP(Y3,AA2:AK13,8)))</f>
        <v>#N/A</v>
      </c>
      <c r="AI1" s="211" t="e">
        <f>IF(Y5=1,CONCATENATE(VLOOKUP(Y3,AA16:AK27,9)),CONCATENATE(VLOOKUP(Y3,AA2:AK13,9)))</f>
        <v>#N/A</v>
      </c>
      <c r="AJ1" s="211" t="e">
        <f>IF(Y5=1,CONCATENATE(VLOOKUP(Y3,AA16:AK27,10)),CONCATENATE(VLOOKUP(Y3,AA2:AK13,10)))</f>
        <v>#N/A</v>
      </c>
      <c r="AK1" s="211" t="e">
        <f>IF(Y5=1,CONCATENATE(VLOOKUP(Y3,AA16:AK27,11)),CONCATENATE(VLOOKUP(Y3,AA2:AK13,11)))</f>
        <v>#N/A</v>
      </c>
    </row>
    <row r="2" spans="1:37" x14ac:dyDescent="0.25">
      <c r="A2" s="213" t="s">
        <v>32</v>
      </c>
      <c r="B2" s="214"/>
      <c r="C2" s="214"/>
      <c r="D2" s="214"/>
      <c r="E2" s="214">
        <f>[9]Altalanos!$A$8</f>
        <v>0</v>
      </c>
      <c r="F2" s="214"/>
      <c r="G2" s="215"/>
      <c r="H2" s="216"/>
      <c r="I2" s="216"/>
      <c r="J2" s="217"/>
      <c r="K2" s="207"/>
      <c r="L2" s="207"/>
      <c r="M2" s="207"/>
      <c r="N2" s="381"/>
      <c r="O2" s="380"/>
      <c r="P2" s="381"/>
      <c r="Q2" s="380"/>
      <c r="R2" s="381"/>
      <c r="Y2" s="220"/>
      <c r="Z2" s="221"/>
      <c r="AA2" s="221" t="s">
        <v>43</v>
      </c>
      <c r="AB2" s="222">
        <v>150</v>
      </c>
      <c r="AC2" s="222">
        <v>120</v>
      </c>
      <c r="AD2" s="222">
        <v>100</v>
      </c>
      <c r="AE2" s="222">
        <v>80</v>
      </c>
      <c r="AF2" s="222">
        <v>70</v>
      </c>
      <c r="AG2" s="222">
        <v>60</v>
      </c>
      <c r="AH2" s="222">
        <v>55</v>
      </c>
      <c r="AI2" s="222">
        <v>50</v>
      </c>
      <c r="AJ2" s="222">
        <v>45</v>
      </c>
      <c r="AK2" s="222">
        <v>40</v>
      </c>
    </row>
    <row r="3" spans="1:37" x14ac:dyDescent="0.25">
      <c r="A3" s="223" t="s">
        <v>17</v>
      </c>
      <c r="B3" s="223"/>
      <c r="C3" s="223"/>
      <c r="D3" s="223"/>
      <c r="E3" s="223" t="s">
        <v>14</v>
      </c>
      <c r="F3" s="223"/>
      <c r="G3" s="223"/>
      <c r="H3" s="223" t="s">
        <v>22</v>
      </c>
      <c r="I3" s="223"/>
      <c r="J3" s="224"/>
      <c r="K3" s="223"/>
      <c r="L3" s="225" t="s">
        <v>23</v>
      </c>
      <c r="M3" s="223"/>
      <c r="N3" s="470"/>
      <c r="O3" s="471"/>
      <c r="P3" s="470"/>
      <c r="Y3" s="221">
        <f>IF(H4="OB","A",IF(H4="IX","W",H4))</f>
        <v>0</v>
      </c>
      <c r="Z3" s="221"/>
      <c r="AA3" s="221" t="s">
        <v>67</v>
      </c>
      <c r="AB3" s="222">
        <v>120</v>
      </c>
      <c r="AC3" s="222">
        <v>90</v>
      </c>
      <c r="AD3" s="222">
        <v>65</v>
      </c>
      <c r="AE3" s="222">
        <v>55</v>
      </c>
      <c r="AF3" s="222">
        <v>50</v>
      </c>
      <c r="AG3" s="222">
        <v>45</v>
      </c>
      <c r="AH3" s="222">
        <v>40</v>
      </c>
      <c r="AI3" s="222">
        <v>35</v>
      </c>
      <c r="AJ3" s="222">
        <v>25</v>
      </c>
      <c r="AK3" s="222">
        <v>20</v>
      </c>
    </row>
    <row r="4" spans="1:37" ht="13.8" thickBot="1" x14ac:dyDescent="0.3">
      <c r="A4" s="551">
        <f>[9]Altalanos!$A$10</f>
        <v>0</v>
      </c>
      <c r="B4" s="551"/>
      <c r="C4" s="551"/>
      <c r="D4" s="228"/>
      <c r="E4" s="229">
        <f>[9]Altalanos!$C$10</f>
        <v>0</v>
      </c>
      <c r="F4" s="229"/>
      <c r="G4" s="229"/>
      <c r="H4" s="136"/>
      <c r="I4" s="229"/>
      <c r="J4" s="231"/>
      <c r="K4" s="136"/>
      <c r="L4" s="233">
        <f>[9]Altalanos!$E$10</f>
        <v>0</v>
      </c>
      <c r="M4" s="136"/>
      <c r="N4" s="472"/>
      <c r="O4" s="473"/>
      <c r="P4" s="472"/>
      <c r="Y4" s="221"/>
      <c r="Z4" s="221"/>
      <c r="AA4" s="221" t="s">
        <v>68</v>
      </c>
      <c r="AB4" s="222">
        <v>90</v>
      </c>
      <c r="AC4" s="222">
        <v>60</v>
      </c>
      <c r="AD4" s="222">
        <v>45</v>
      </c>
      <c r="AE4" s="222">
        <v>34</v>
      </c>
      <c r="AF4" s="222">
        <v>27</v>
      </c>
      <c r="AG4" s="222">
        <v>22</v>
      </c>
      <c r="AH4" s="222">
        <v>18</v>
      </c>
      <c r="AI4" s="222">
        <v>15</v>
      </c>
      <c r="AJ4" s="222">
        <v>12</v>
      </c>
      <c r="AK4" s="222">
        <v>9</v>
      </c>
    </row>
    <row r="5" spans="1:37" x14ac:dyDescent="0.25">
      <c r="A5" s="474"/>
      <c r="B5" s="474" t="s">
        <v>31</v>
      </c>
      <c r="C5" s="475" t="s">
        <v>41</v>
      </c>
      <c r="D5" s="474" t="s">
        <v>26</v>
      </c>
      <c r="E5" s="474" t="s">
        <v>46</v>
      </c>
      <c r="F5" s="474"/>
      <c r="G5" s="474" t="s">
        <v>21</v>
      </c>
      <c r="H5" s="474"/>
      <c r="I5" s="474" t="s">
        <v>24</v>
      </c>
      <c r="J5" s="474"/>
      <c r="K5" s="476" t="s">
        <v>47</v>
      </c>
      <c r="L5" s="476" t="s">
        <v>48</v>
      </c>
      <c r="M5" s="476" t="s">
        <v>49</v>
      </c>
      <c r="N5" s="477" t="s">
        <v>52</v>
      </c>
      <c r="O5" s="222" t="s">
        <v>57</v>
      </c>
      <c r="P5" s="222" t="s">
        <v>469</v>
      </c>
      <c r="Y5" s="221">
        <f>IF(OR([9]Altalanos!$A$8="F1",[9]Altalanos!$A$8="F2",[9]Altalanos!$A$8="N1",[9]Altalanos!$A$8="N2"),1,2)</f>
        <v>2</v>
      </c>
      <c r="Z5" s="221"/>
      <c r="AA5" s="221" t="s">
        <v>69</v>
      </c>
      <c r="AB5" s="222">
        <v>60</v>
      </c>
      <c r="AC5" s="222">
        <v>40</v>
      </c>
      <c r="AD5" s="222">
        <v>30</v>
      </c>
      <c r="AE5" s="222">
        <v>20</v>
      </c>
      <c r="AF5" s="222">
        <v>18</v>
      </c>
      <c r="AG5" s="222">
        <v>15</v>
      </c>
      <c r="AH5" s="222">
        <v>12</v>
      </c>
      <c r="AI5" s="222">
        <v>10</v>
      </c>
      <c r="AJ5" s="222">
        <v>8</v>
      </c>
      <c r="AK5" s="222">
        <v>6</v>
      </c>
    </row>
    <row r="6" spans="1:37" x14ac:dyDescent="0.25">
      <c r="A6" s="369"/>
      <c r="B6" s="369"/>
      <c r="C6" s="21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478" t="s">
        <v>58</v>
      </c>
      <c r="O6" s="479" t="s">
        <v>53</v>
      </c>
      <c r="P6" s="479" t="s">
        <v>54</v>
      </c>
      <c r="Y6" s="221"/>
      <c r="Z6" s="221"/>
      <c r="AA6" s="221" t="s">
        <v>70</v>
      </c>
      <c r="AB6" s="222">
        <v>40</v>
      </c>
      <c r="AC6" s="222">
        <v>25</v>
      </c>
      <c r="AD6" s="222">
        <v>18</v>
      </c>
      <c r="AE6" s="222">
        <v>13</v>
      </c>
      <c r="AF6" s="222">
        <v>10</v>
      </c>
      <c r="AG6" s="222">
        <v>8</v>
      </c>
      <c r="AH6" s="222">
        <v>6</v>
      </c>
      <c r="AI6" s="222">
        <v>5</v>
      </c>
      <c r="AJ6" s="222">
        <v>4</v>
      </c>
      <c r="AK6" s="222">
        <v>3</v>
      </c>
    </row>
    <row r="7" spans="1:37" x14ac:dyDescent="0.25">
      <c r="A7" s="480" t="s">
        <v>43</v>
      </c>
      <c r="B7" s="481"/>
      <c r="C7" s="255" t="str">
        <f>IF($B7="","",VLOOKUP($B7,'[9]1MD ELO'!$A$7:$O$22,5))</f>
        <v/>
      </c>
      <c r="D7" s="255" t="str">
        <f>IF($B7="","",VLOOKUP($B7,'[9]1MD ELO'!$A$7:$O$22,15))</f>
        <v/>
      </c>
      <c r="E7" s="296" t="s">
        <v>413</v>
      </c>
      <c r="F7" s="482"/>
      <c r="G7" s="296" t="str">
        <f>IF($B7="","",VLOOKUP($B7,'[9]1MD ELO'!$A$7:$O$22,3))</f>
        <v/>
      </c>
      <c r="H7" s="482"/>
      <c r="I7" s="296" t="s">
        <v>470</v>
      </c>
      <c r="J7" s="369"/>
      <c r="K7" s="483"/>
      <c r="L7" s="484" t="str">
        <f>IF(K7="","",CONCATENATE(VLOOKUP($Y$3,$AB$1:$AK$1,K7)," pont"))</f>
        <v/>
      </c>
      <c r="M7" s="485"/>
      <c r="N7" s="486" t="s">
        <v>59</v>
      </c>
      <c r="O7" s="487" t="s">
        <v>55</v>
      </c>
      <c r="P7" s="487" t="s">
        <v>56</v>
      </c>
      <c r="Y7" s="221"/>
      <c r="Z7" s="221"/>
      <c r="AA7" s="221" t="s">
        <v>71</v>
      </c>
      <c r="AB7" s="222">
        <v>25</v>
      </c>
      <c r="AC7" s="222">
        <v>15</v>
      </c>
      <c r="AD7" s="222">
        <v>13</v>
      </c>
      <c r="AE7" s="222">
        <v>8</v>
      </c>
      <c r="AF7" s="222">
        <v>6</v>
      </c>
      <c r="AG7" s="222">
        <v>4</v>
      </c>
      <c r="AH7" s="222">
        <v>3</v>
      </c>
      <c r="AI7" s="222">
        <v>2</v>
      </c>
      <c r="AJ7" s="222">
        <v>1</v>
      </c>
      <c r="AK7" s="222">
        <v>0</v>
      </c>
    </row>
    <row r="8" spans="1:37" x14ac:dyDescent="0.25">
      <c r="A8" s="488"/>
      <c r="B8" s="489"/>
      <c r="C8" s="369"/>
      <c r="D8" s="369"/>
      <c r="E8" s="369"/>
      <c r="F8" s="369"/>
      <c r="G8" s="369"/>
      <c r="H8" s="369"/>
      <c r="I8" s="369"/>
      <c r="J8" s="369"/>
      <c r="K8" s="488"/>
      <c r="L8" s="488"/>
      <c r="M8" s="490"/>
      <c r="Y8" s="221"/>
      <c r="Z8" s="221"/>
      <c r="AA8" s="221" t="s">
        <v>72</v>
      </c>
      <c r="AB8" s="222">
        <v>15</v>
      </c>
      <c r="AC8" s="222">
        <v>10</v>
      </c>
      <c r="AD8" s="222">
        <v>7</v>
      </c>
      <c r="AE8" s="222">
        <v>5</v>
      </c>
      <c r="AF8" s="222">
        <v>4</v>
      </c>
      <c r="AG8" s="222">
        <v>3</v>
      </c>
      <c r="AH8" s="222">
        <v>2</v>
      </c>
      <c r="AI8" s="222">
        <v>1</v>
      </c>
      <c r="AJ8" s="222">
        <v>0</v>
      </c>
      <c r="AK8" s="222">
        <v>0</v>
      </c>
    </row>
    <row r="9" spans="1:37" x14ac:dyDescent="0.25">
      <c r="A9" s="488" t="s">
        <v>44</v>
      </c>
      <c r="B9" s="491"/>
      <c r="C9" s="255" t="str">
        <f>IF($B9="","",VLOOKUP($B9,'[9]1MD ELO'!$A$7:$O$22,5))</f>
        <v/>
      </c>
      <c r="D9" s="255" t="str">
        <f>IF($B9="","",VLOOKUP($B9,'[9]1MD ELO'!$A$7:$O$22,15))</f>
        <v/>
      </c>
      <c r="E9" s="278" t="s">
        <v>417</v>
      </c>
      <c r="F9" s="492"/>
      <c r="G9" s="278" t="str">
        <f>IF($B9="","",VLOOKUP($B9,'[9]1MD ELO'!$A$7:$O$22,3))</f>
        <v/>
      </c>
      <c r="H9" s="492"/>
      <c r="I9" s="278" t="s">
        <v>471</v>
      </c>
      <c r="J9" s="369"/>
      <c r="K9" s="483"/>
      <c r="L9" s="484" t="str">
        <f>IF(K9="","",CONCATENATE(VLOOKUP($Y$3,$AB$1:$AK$1,K9)," pont"))</f>
        <v/>
      </c>
      <c r="M9" s="485"/>
      <c r="N9" s="477" t="s">
        <v>52</v>
      </c>
      <c r="O9" s="222" t="s">
        <v>463</v>
      </c>
      <c r="P9" s="222" t="s">
        <v>472</v>
      </c>
      <c r="Y9" s="221"/>
      <c r="Z9" s="221"/>
      <c r="AA9" s="221" t="s">
        <v>73</v>
      </c>
      <c r="AB9" s="222">
        <v>10</v>
      </c>
      <c r="AC9" s="222">
        <v>6</v>
      </c>
      <c r="AD9" s="222">
        <v>4</v>
      </c>
      <c r="AE9" s="222">
        <v>2</v>
      </c>
      <c r="AF9" s="222">
        <v>1</v>
      </c>
      <c r="AG9" s="222">
        <v>0</v>
      </c>
      <c r="AH9" s="222">
        <v>0</v>
      </c>
      <c r="AI9" s="222">
        <v>0</v>
      </c>
      <c r="AJ9" s="222">
        <v>0</v>
      </c>
      <c r="AK9" s="222">
        <v>0</v>
      </c>
    </row>
    <row r="10" spans="1:37" x14ac:dyDescent="0.25">
      <c r="A10" s="488"/>
      <c r="B10" s="489"/>
      <c r="C10" s="369"/>
      <c r="D10" s="369"/>
      <c r="E10" s="369"/>
      <c r="F10" s="369"/>
      <c r="G10" s="369"/>
      <c r="H10" s="369"/>
      <c r="I10" s="369"/>
      <c r="J10" s="369"/>
      <c r="K10" s="488"/>
      <c r="L10" s="488"/>
      <c r="M10" s="490"/>
      <c r="N10" s="478" t="s">
        <v>58</v>
      </c>
      <c r="O10" s="479" t="s">
        <v>464</v>
      </c>
      <c r="P10" s="479" t="s">
        <v>473</v>
      </c>
      <c r="Y10" s="221"/>
      <c r="Z10" s="221"/>
      <c r="AA10" s="221" t="s">
        <v>74</v>
      </c>
      <c r="AB10" s="222">
        <v>6</v>
      </c>
      <c r="AC10" s="222">
        <v>3</v>
      </c>
      <c r="AD10" s="222">
        <v>2</v>
      </c>
      <c r="AE10" s="222">
        <v>1</v>
      </c>
      <c r="AF10" s="222">
        <v>0</v>
      </c>
      <c r="AG10" s="222">
        <v>0</v>
      </c>
      <c r="AH10" s="222">
        <v>0</v>
      </c>
      <c r="AI10" s="222">
        <v>0</v>
      </c>
      <c r="AJ10" s="222">
        <v>0</v>
      </c>
      <c r="AK10" s="222">
        <v>0</v>
      </c>
    </row>
    <row r="11" spans="1:37" x14ac:dyDescent="0.25">
      <c r="A11" s="488" t="s">
        <v>45</v>
      </c>
      <c r="B11" s="491"/>
      <c r="C11" s="255" t="str">
        <f>IF($B11="","",VLOOKUP($B11,'[9]1MD ELO'!$A$7:$O$22,5))</f>
        <v/>
      </c>
      <c r="D11" s="255" t="str">
        <f>IF($B11="","",VLOOKUP($B11,'[9]1MD ELO'!$A$7:$O$22,15))</f>
        <v/>
      </c>
      <c r="E11" s="278" t="s">
        <v>416</v>
      </c>
      <c r="F11" s="492"/>
      <c r="G11" s="278" t="str">
        <f>IF($B11="","",VLOOKUP($B11,'[9]1MD ELO'!$A$7:$O$22,3))</f>
        <v/>
      </c>
      <c r="H11" s="492"/>
      <c r="I11" s="278" t="s">
        <v>471</v>
      </c>
      <c r="J11" s="369"/>
      <c r="K11" s="483"/>
      <c r="L11" s="484" t="str">
        <f>IF(K11="","",CONCATENATE(VLOOKUP($Y$3,$AB$1:$AK$1,K11)," pont"))</f>
        <v/>
      </c>
      <c r="M11" s="485"/>
      <c r="N11" s="486" t="s">
        <v>59</v>
      </c>
      <c r="O11" s="487" t="s">
        <v>63</v>
      </c>
      <c r="P11" s="487" t="s">
        <v>474</v>
      </c>
      <c r="Y11" s="221"/>
      <c r="Z11" s="221"/>
      <c r="AA11" s="221" t="s">
        <v>79</v>
      </c>
      <c r="AB11" s="222">
        <v>3</v>
      </c>
      <c r="AC11" s="222">
        <v>2</v>
      </c>
      <c r="AD11" s="222">
        <v>1</v>
      </c>
      <c r="AE11" s="222">
        <v>0</v>
      </c>
      <c r="AF11" s="222">
        <v>0</v>
      </c>
      <c r="AG11" s="222">
        <v>0</v>
      </c>
      <c r="AH11" s="222">
        <v>0</v>
      </c>
      <c r="AI11" s="222">
        <v>0</v>
      </c>
      <c r="AJ11" s="222">
        <v>0</v>
      </c>
      <c r="AK11" s="222">
        <v>0</v>
      </c>
    </row>
    <row r="12" spans="1:37" x14ac:dyDescent="0.25">
      <c r="A12" s="369"/>
      <c r="B12" s="480"/>
      <c r="C12" s="219"/>
      <c r="D12" s="369"/>
      <c r="E12" s="369"/>
      <c r="F12" s="369"/>
      <c r="G12" s="369"/>
      <c r="H12" s="369"/>
      <c r="I12" s="369"/>
      <c r="J12" s="369"/>
      <c r="K12" s="219"/>
      <c r="L12" s="219"/>
      <c r="M12" s="490"/>
      <c r="Y12" s="221"/>
      <c r="Z12" s="221"/>
      <c r="AA12" s="221" t="s">
        <v>75</v>
      </c>
      <c r="AB12" s="493">
        <v>0</v>
      </c>
      <c r="AC12" s="493">
        <v>0</v>
      </c>
      <c r="AD12" s="493">
        <v>0</v>
      </c>
      <c r="AE12" s="493">
        <v>0</v>
      </c>
      <c r="AF12" s="493">
        <v>0</v>
      </c>
      <c r="AG12" s="493">
        <v>0</v>
      </c>
      <c r="AH12" s="493">
        <v>0</v>
      </c>
      <c r="AI12" s="493">
        <v>0</v>
      </c>
      <c r="AJ12" s="493">
        <v>0</v>
      </c>
      <c r="AK12" s="493">
        <v>0</v>
      </c>
    </row>
    <row r="13" spans="1:37" x14ac:dyDescent="0.25">
      <c r="A13" s="480" t="s">
        <v>50</v>
      </c>
      <c r="B13" s="481"/>
      <c r="C13" s="255" t="str">
        <f>IF($B13="","",VLOOKUP($B13,'[9]1MD ELO'!$A$7:$O$22,5))</f>
        <v/>
      </c>
      <c r="D13" s="255" t="str">
        <f>IF($B13="","",VLOOKUP($B13,'[9]1MD ELO'!$A$7:$O$22,15))</f>
        <v/>
      </c>
      <c r="E13" s="296" t="s">
        <v>415</v>
      </c>
      <c r="F13" s="482"/>
      <c r="G13" s="296" t="str">
        <f>IF($B13="","",VLOOKUP($B13,'[9]1MD ELO'!$A$7:$O$22,3))</f>
        <v/>
      </c>
      <c r="H13" s="482"/>
      <c r="I13" s="296" t="s">
        <v>471</v>
      </c>
      <c r="J13" s="369"/>
      <c r="K13" s="483"/>
      <c r="L13" s="484" t="str">
        <f>IF(K13="","",CONCATENATE(VLOOKUP($Y$3,$AB$1:$AK$1,K13)," pont"))</f>
        <v/>
      </c>
      <c r="M13" s="485"/>
      <c r="Y13" s="221"/>
      <c r="Z13" s="221"/>
      <c r="AA13" s="221" t="s">
        <v>76</v>
      </c>
      <c r="AB13" s="493">
        <v>0</v>
      </c>
      <c r="AC13" s="493">
        <v>0</v>
      </c>
      <c r="AD13" s="493">
        <v>0</v>
      </c>
      <c r="AE13" s="493">
        <v>0</v>
      </c>
      <c r="AF13" s="493">
        <v>0</v>
      </c>
      <c r="AG13" s="493">
        <v>0</v>
      </c>
      <c r="AH13" s="493">
        <v>0</v>
      </c>
      <c r="AI13" s="493">
        <v>0</v>
      </c>
      <c r="AJ13" s="493">
        <v>0</v>
      </c>
      <c r="AK13" s="493">
        <v>0</v>
      </c>
    </row>
    <row r="14" spans="1:37" x14ac:dyDescent="0.25">
      <c r="A14" s="488"/>
      <c r="B14" s="489"/>
      <c r="C14" s="369"/>
      <c r="D14" s="369"/>
      <c r="E14" s="369"/>
      <c r="F14" s="369"/>
      <c r="G14" s="369"/>
      <c r="H14" s="369"/>
      <c r="I14" s="369"/>
      <c r="J14" s="369"/>
      <c r="K14" s="488"/>
      <c r="L14" s="488"/>
      <c r="M14" s="490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</row>
    <row r="15" spans="1:37" x14ac:dyDescent="0.25">
      <c r="A15" s="488" t="s">
        <v>51</v>
      </c>
      <c r="B15" s="491"/>
      <c r="C15" s="255" t="str">
        <f>IF($B15="","",VLOOKUP($B15,'[9]1MD ELO'!$A$7:$O$22,5))</f>
        <v/>
      </c>
      <c r="D15" s="255" t="str">
        <f>IF($B15="","",VLOOKUP($B15,'[9]1MD ELO'!$A$7:$O$22,15))</f>
        <v/>
      </c>
      <c r="E15" s="278" t="s">
        <v>418</v>
      </c>
      <c r="F15" s="492"/>
      <c r="G15" s="278" t="str">
        <f>IF($B15="","",VLOOKUP($B15,'[9]1MD ELO'!$A$7:$O$22,3))</f>
        <v/>
      </c>
      <c r="H15" s="492"/>
      <c r="I15" s="278" t="s">
        <v>471</v>
      </c>
      <c r="J15" s="369"/>
      <c r="K15" s="483"/>
      <c r="L15" s="484" t="str">
        <f>IF(K15="","",CONCATENATE(VLOOKUP($Y$3,$AB$1:$AK$1,K15)," pont"))</f>
        <v/>
      </c>
      <c r="M15" s="485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</row>
    <row r="16" spans="1:37" x14ac:dyDescent="0.25">
      <c r="A16" s="488"/>
      <c r="B16" s="489"/>
      <c r="C16" s="369"/>
      <c r="D16" s="369"/>
      <c r="E16" s="369"/>
      <c r="F16" s="369"/>
      <c r="G16" s="369"/>
      <c r="H16" s="369"/>
      <c r="I16" s="369"/>
      <c r="J16" s="369"/>
      <c r="K16" s="488"/>
      <c r="L16" s="488"/>
      <c r="M16" s="490"/>
      <c r="Y16" s="221"/>
      <c r="Z16" s="221"/>
      <c r="AA16" s="221" t="s">
        <v>43</v>
      </c>
      <c r="AB16" s="221">
        <v>300</v>
      </c>
      <c r="AC16" s="221">
        <v>250</v>
      </c>
      <c r="AD16" s="221">
        <v>220</v>
      </c>
      <c r="AE16" s="221">
        <v>180</v>
      </c>
      <c r="AF16" s="221">
        <v>160</v>
      </c>
      <c r="AG16" s="221">
        <v>150</v>
      </c>
      <c r="AH16" s="221">
        <v>140</v>
      </c>
      <c r="AI16" s="221">
        <v>130</v>
      </c>
      <c r="AJ16" s="221">
        <v>120</v>
      </c>
      <c r="AK16" s="221">
        <v>110</v>
      </c>
    </row>
    <row r="17" spans="1:37" x14ac:dyDescent="0.25">
      <c r="A17" s="488" t="s">
        <v>273</v>
      </c>
      <c r="B17" s="491"/>
      <c r="C17" s="255" t="str">
        <f>IF($B17="","",VLOOKUP($B17,'[9]1MD ELO'!$A$7:$O$22,5))</f>
        <v/>
      </c>
      <c r="D17" s="255" t="str">
        <f>IF($B17="","",VLOOKUP($B17,'[9]1MD ELO'!$A$7:$O$22,15))</f>
        <v/>
      </c>
      <c r="E17" s="278" t="s">
        <v>421</v>
      </c>
      <c r="F17" s="492"/>
      <c r="G17" s="278" t="str">
        <f>IF($B17="","",VLOOKUP($B17,'[9]1MD ELO'!$A$7:$O$22,3))</f>
        <v/>
      </c>
      <c r="H17" s="492"/>
      <c r="I17" s="278" t="s">
        <v>475</v>
      </c>
      <c r="J17" s="369"/>
      <c r="K17" s="483"/>
      <c r="L17" s="484" t="str">
        <f>IF(K17="","",CONCATENATE(VLOOKUP($Y$3,$AB$1:$AK$1,K17)," pont"))</f>
        <v/>
      </c>
      <c r="M17" s="485"/>
      <c r="Y17" s="221"/>
      <c r="Z17" s="221"/>
      <c r="AA17" s="221" t="s">
        <v>67</v>
      </c>
      <c r="AB17" s="221">
        <v>250</v>
      </c>
      <c r="AC17" s="221">
        <v>200</v>
      </c>
      <c r="AD17" s="221">
        <v>160</v>
      </c>
      <c r="AE17" s="221">
        <v>140</v>
      </c>
      <c r="AF17" s="221">
        <v>120</v>
      </c>
      <c r="AG17" s="221">
        <v>110</v>
      </c>
      <c r="AH17" s="221">
        <v>100</v>
      </c>
      <c r="AI17" s="221">
        <v>90</v>
      </c>
      <c r="AJ17" s="221">
        <v>80</v>
      </c>
      <c r="AK17" s="221">
        <v>70</v>
      </c>
    </row>
    <row r="18" spans="1:37" x14ac:dyDescent="0.25">
      <c r="A18" s="488"/>
      <c r="B18" s="489"/>
      <c r="C18" s="369"/>
      <c r="D18" s="369"/>
      <c r="E18" s="369"/>
      <c r="F18" s="369"/>
      <c r="G18" s="369"/>
      <c r="H18" s="369"/>
      <c r="I18" s="369"/>
      <c r="J18" s="369"/>
      <c r="K18" s="488"/>
      <c r="L18" s="488"/>
      <c r="M18" s="490"/>
      <c r="Y18" s="221"/>
      <c r="Z18" s="221"/>
      <c r="AA18" s="221" t="s">
        <v>68</v>
      </c>
      <c r="AB18" s="221">
        <v>200</v>
      </c>
      <c r="AC18" s="221">
        <v>150</v>
      </c>
      <c r="AD18" s="221">
        <v>130</v>
      </c>
      <c r="AE18" s="221">
        <v>110</v>
      </c>
      <c r="AF18" s="221">
        <v>95</v>
      </c>
      <c r="AG18" s="221">
        <v>80</v>
      </c>
      <c r="AH18" s="221">
        <v>70</v>
      </c>
      <c r="AI18" s="221">
        <v>60</v>
      </c>
      <c r="AJ18" s="221">
        <v>55</v>
      </c>
      <c r="AK18" s="221">
        <v>50</v>
      </c>
    </row>
    <row r="19" spans="1:37" x14ac:dyDescent="0.25">
      <c r="A19" s="521" t="s">
        <v>476</v>
      </c>
      <c r="B19" s="491"/>
      <c r="C19" s="255" t="str">
        <f>IF($B19="","",VLOOKUP($B19,'[9]1MD ELO'!$A$7:$O$22,5))</f>
        <v/>
      </c>
      <c r="D19" s="255" t="str">
        <f>IF($B19="","",VLOOKUP($B19,'[9]1MD ELO'!$A$7:$O$22,15))</f>
        <v/>
      </c>
      <c r="E19" s="278" t="s">
        <v>419</v>
      </c>
      <c r="F19" s="492"/>
      <c r="G19" s="278" t="str">
        <f>IF($B19="","",VLOOKUP($B19,'[9]1MD ELO'!$A$7:$O$22,3))</f>
        <v/>
      </c>
      <c r="H19" s="492"/>
      <c r="I19" s="278" t="s">
        <v>477</v>
      </c>
      <c r="J19" s="369"/>
      <c r="K19" s="483"/>
      <c r="L19" s="484" t="str">
        <f>IF(K19="","",CONCATENATE(VLOOKUP($Y$3,$AB$1:$AK$1,K19)," pont"))</f>
        <v/>
      </c>
      <c r="M19" s="485"/>
      <c r="Y19" s="221"/>
      <c r="Z19" s="221"/>
      <c r="AA19" s="221" t="s">
        <v>69</v>
      </c>
      <c r="AB19" s="221">
        <v>150</v>
      </c>
      <c r="AC19" s="221">
        <v>120</v>
      </c>
      <c r="AD19" s="221">
        <v>100</v>
      </c>
      <c r="AE19" s="221">
        <v>80</v>
      </c>
      <c r="AF19" s="221">
        <v>70</v>
      </c>
      <c r="AG19" s="221">
        <v>60</v>
      </c>
      <c r="AH19" s="221">
        <v>55</v>
      </c>
      <c r="AI19" s="221">
        <v>50</v>
      </c>
      <c r="AJ19" s="221">
        <v>45</v>
      </c>
      <c r="AK19" s="221">
        <v>40</v>
      </c>
    </row>
    <row r="20" spans="1:37" x14ac:dyDescent="0.25">
      <c r="A20" s="3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Y20" s="221"/>
      <c r="Z20" s="221"/>
      <c r="AA20" s="221" t="s">
        <v>70</v>
      </c>
      <c r="AB20" s="221">
        <v>120</v>
      </c>
      <c r="AC20" s="221">
        <v>90</v>
      </c>
      <c r="AD20" s="221">
        <v>65</v>
      </c>
      <c r="AE20" s="221">
        <v>55</v>
      </c>
      <c r="AF20" s="221">
        <v>50</v>
      </c>
      <c r="AG20" s="221">
        <v>45</v>
      </c>
      <c r="AH20" s="221">
        <v>40</v>
      </c>
      <c r="AI20" s="221">
        <v>35</v>
      </c>
      <c r="AJ20" s="221">
        <v>25</v>
      </c>
      <c r="AK20" s="221">
        <v>20</v>
      </c>
    </row>
    <row r="21" spans="1:37" x14ac:dyDescent="0.25">
      <c r="A21" s="369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Y21" s="221"/>
      <c r="Z21" s="221"/>
      <c r="AA21" s="221" t="s">
        <v>71</v>
      </c>
      <c r="AB21" s="221">
        <v>90</v>
      </c>
      <c r="AC21" s="221">
        <v>60</v>
      </c>
      <c r="AD21" s="221">
        <v>45</v>
      </c>
      <c r="AE21" s="221">
        <v>34</v>
      </c>
      <c r="AF21" s="221">
        <v>27</v>
      </c>
      <c r="AG21" s="221">
        <v>22</v>
      </c>
      <c r="AH21" s="221">
        <v>18</v>
      </c>
      <c r="AI21" s="221">
        <v>15</v>
      </c>
      <c r="AJ21" s="221">
        <v>12</v>
      </c>
      <c r="AK21" s="221">
        <v>9</v>
      </c>
    </row>
    <row r="22" spans="1:37" ht="18.75" customHeight="1" x14ac:dyDescent="0.25">
      <c r="A22" s="369"/>
      <c r="B22" s="558"/>
      <c r="C22" s="558"/>
      <c r="D22" s="559" t="str">
        <f>E7</f>
        <v>Gérnyi Zoé</v>
      </c>
      <c r="E22" s="559"/>
      <c r="F22" s="559" t="str">
        <f>E9</f>
        <v>Jászberényi Tamara</v>
      </c>
      <c r="G22" s="559"/>
      <c r="H22" s="559" t="str">
        <f>E11</f>
        <v>Puskás Dóra</v>
      </c>
      <c r="I22" s="559"/>
      <c r="J22" s="369"/>
      <c r="K22" s="369"/>
      <c r="L22" s="369"/>
      <c r="M22" s="494" t="s">
        <v>47</v>
      </c>
      <c r="Y22" s="221"/>
      <c r="Z22" s="221"/>
      <c r="AA22" s="221" t="s">
        <v>72</v>
      </c>
      <c r="AB22" s="221">
        <v>60</v>
      </c>
      <c r="AC22" s="221">
        <v>40</v>
      </c>
      <c r="AD22" s="221">
        <v>30</v>
      </c>
      <c r="AE22" s="221">
        <v>20</v>
      </c>
      <c r="AF22" s="221">
        <v>18</v>
      </c>
      <c r="AG22" s="221">
        <v>15</v>
      </c>
      <c r="AH22" s="221">
        <v>12</v>
      </c>
      <c r="AI22" s="221">
        <v>10</v>
      </c>
      <c r="AJ22" s="221">
        <v>8</v>
      </c>
      <c r="AK22" s="221">
        <v>6</v>
      </c>
    </row>
    <row r="23" spans="1:37" ht="18.75" customHeight="1" x14ac:dyDescent="0.25">
      <c r="A23" s="495" t="s">
        <v>43</v>
      </c>
      <c r="B23" s="555" t="str">
        <f>E7</f>
        <v>Gérnyi Zoé</v>
      </c>
      <c r="C23" s="555"/>
      <c r="D23" s="557"/>
      <c r="E23" s="557"/>
      <c r="F23" s="556"/>
      <c r="G23" s="556"/>
      <c r="H23" s="556"/>
      <c r="I23" s="556"/>
      <c r="J23" s="369"/>
      <c r="K23" s="369"/>
      <c r="L23" s="369"/>
      <c r="M23" s="496"/>
      <c r="Y23" s="221"/>
      <c r="Z23" s="221"/>
      <c r="AA23" s="221" t="s">
        <v>73</v>
      </c>
      <c r="AB23" s="221">
        <v>40</v>
      </c>
      <c r="AC23" s="221">
        <v>25</v>
      </c>
      <c r="AD23" s="221">
        <v>18</v>
      </c>
      <c r="AE23" s="221">
        <v>13</v>
      </c>
      <c r="AF23" s="221">
        <v>8</v>
      </c>
      <c r="AG23" s="221">
        <v>7</v>
      </c>
      <c r="AH23" s="221">
        <v>6</v>
      </c>
      <c r="AI23" s="221">
        <v>5</v>
      </c>
      <c r="AJ23" s="221">
        <v>4</v>
      </c>
      <c r="AK23" s="221">
        <v>3</v>
      </c>
    </row>
    <row r="24" spans="1:37" ht="18.75" customHeight="1" x14ac:dyDescent="0.25">
      <c r="A24" s="495" t="s">
        <v>44</v>
      </c>
      <c r="B24" s="555" t="str">
        <f>E9</f>
        <v>Jászberényi Tamara</v>
      </c>
      <c r="C24" s="555"/>
      <c r="D24" s="556"/>
      <c r="E24" s="556"/>
      <c r="F24" s="557"/>
      <c r="G24" s="557"/>
      <c r="H24" s="556"/>
      <c r="I24" s="556"/>
      <c r="J24" s="369"/>
      <c r="K24" s="369"/>
      <c r="L24" s="369"/>
      <c r="M24" s="496"/>
      <c r="Y24" s="221"/>
      <c r="Z24" s="221"/>
      <c r="AA24" s="221" t="s">
        <v>74</v>
      </c>
      <c r="AB24" s="221">
        <v>25</v>
      </c>
      <c r="AC24" s="221">
        <v>15</v>
      </c>
      <c r="AD24" s="221">
        <v>13</v>
      </c>
      <c r="AE24" s="221">
        <v>7</v>
      </c>
      <c r="AF24" s="221">
        <v>6</v>
      </c>
      <c r="AG24" s="221">
        <v>5</v>
      </c>
      <c r="AH24" s="221">
        <v>4</v>
      </c>
      <c r="AI24" s="221">
        <v>3</v>
      </c>
      <c r="AJ24" s="221">
        <v>2</v>
      </c>
      <c r="AK24" s="221">
        <v>1</v>
      </c>
    </row>
    <row r="25" spans="1:37" ht="18.75" customHeight="1" x14ac:dyDescent="0.25">
      <c r="A25" s="495" t="s">
        <v>45</v>
      </c>
      <c r="B25" s="555" t="str">
        <f>E11</f>
        <v>Puskás Dóra</v>
      </c>
      <c r="C25" s="555"/>
      <c r="D25" s="556"/>
      <c r="E25" s="556"/>
      <c r="F25" s="556"/>
      <c r="G25" s="556"/>
      <c r="H25" s="557"/>
      <c r="I25" s="557"/>
      <c r="J25" s="369"/>
      <c r="K25" s="369"/>
      <c r="L25" s="369"/>
      <c r="M25" s="496"/>
      <c r="Y25" s="221"/>
      <c r="Z25" s="221"/>
      <c r="AA25" s="221" t="s">
        <v>79</v>
      </c>
      <c r="AB25" s="221">
        <v>15</v>
      </c>
      <c r="AC25" s="221">
        <v>10</v>
      </c>
      <c r="AD25" s="221">
        <v>8</v>
      </c>
      <c r="AE25" s="221">
        <v>4</v>
      </c>
      <c r="AF25" s="221">
        <v>3</v>
      </c>
      <c r="AG25" s="221">
        <v>2</v>
      </c>
      <c r="AH25" s="221">
        <v>1</v>
      </c>
      <c r="AI25" s="221">
        <v>0</v>
      </c>
      <c r="AJ25" s="221">
        <v>0</v>
      </c>
      <c r="AK25" s="221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497"/>
      <c r="Y26" s="221"/>
      <c r="Z26" s="221"/>
      <c r="AA26" s="221" t="s">
        <v>75</v>
      </c>
      <c r="AB26" s="221">
        <v>10</v>
      </c>
      <c r="AC26" s="221">
        <v>6</v>
      </c>
      <c r="AD26" s="221">
        <v>4</v>
      </c>
      <c r="AE26" s="221">
        <v>2</v>
      </c>
      <c r="AF26" s="221">
        <v>1</v>
      </c>
      <c r="AG26" s="221">
        <v>0</v>
      </c>
      <c r="AH26" s="221">
        <v>0</v>
      </c>
      <c r="AI26" s="221">
        <v>0</v>
      </c>
      <c r="AJ26" s="221">
        <v>0</v>
      </c>
      <c r="AK26" s="221">
        <v>0</v>
      </c>
    </row>
    <row r="27" spans="1:37" ht="18.75" customHeight="1" x14ac:dyDescent="0.25">
      <c r="A27" s="369"/>
      <c r="B27" s="558"/>
      <c r="C27" s="558"/>
      <c r="D27" s="559" t="str">
        <f>E13</f>
        <v>Májerhoffer Kamilla</v>
      </c>
      <c r="E27" s="559"/>
      <c r="F27" s="559" t="str">
        <f>E15</f>
        <v>Czóbel Diána</v>
      </c>
      <c r="G27" s="559"/>
      <c r="H27" s="559" t="str">
        <f>E17</f>
        <v>Tavasz Lola</v>
      </c>
      <c r="I27" s="559"/>
      <c r="J27" s="559" t="str">
        <f>E19</f>
        <v>Bariska Fruzsina</v>
      </c>
      <c r="K27" s="559"/>
      <c r="L27" s="369"/>
      <c r="M27" s="497"/>
      <c r="Y27" s="221"/>
      <c r="Z27" s="221"/>
      <c r="AA27" s="221" t="s">
        <v>76</v>
      </c>
      <c r="AB27" s="221">
        <v>3</v>
      </c>
      <c r="AC27" s="221">
        <v>2</v>
      </c>
      <c r="AD27" s="221">
        <v>1</v>
      </c>
      <c r="AE27" s="221">
        <v>0</v>
      </c>
      <c r="AF27" s="221">
        <v>0</v>
      </c>
      <c r="AG27" s="221">
        <v>0</v>
      </c>
      <c r="AH27" s="221">
        <v>0</v>
      </c>
      <c r="AI27" s="221">
        <v>0</v>
      </c>
      <c r="AJ27" s="221">
        <v>0</v>
      </c>
      <c r="AK27" s="221">
        <v>0</v>
      </c>
    </row>
    <row r="28" spans="1:37" ht="18.75" customHeight="1" x14ac:dyDescent="0.25">
      <c r="A28" s="495" t="s">
        <v>50</v>
      </c>
      <c r="B28" s="555" t="str">
        <f>E13</f>
        <v>Májerhoffer Kamilla</v>
      </c>
      <c r="C28" s="555"/>
      <c r="D28" s="557"/>
      <c r="E28" s="557"/>
      <c r="F28" s="556"/>
      <c r="G28" s="556"/>
      <c r="H28" s="556"/>
      <c r="I28" s="556"/>
      <c r="J28" s="559"/>
      <c r="K28" s="559"/>
      <c r="L28" s="369"/>
      <c r="M28" s="496"/>
    </row>
    <row r="29" spans="1:37" ht="18.75" customHeight="1" x14ac:dyDescent="0.25">
      <c r="A29" s="495" t="s">
        <v>51</v>
      </c>
      <c r="B29" s="555" t="str">
        <f>E15</f>
        <v>Czóbel Diána</v>
      </c>
      <c r="C29" s="555"/>
      <c r="D29" s="556"/>
      <c r="E29" s="556"/>
      <c r="F29" s="557"/>
      <c r="G29" s="557"/>
      <c r="H29" s="556"/>
      <c r="I29" s="556"/>
      <c r="J29" s="556"/>
      <c r="K29" s="556"/>
      <c r="L29" s="369"/>
      <c r="M29" s="496"/>
    </row>
    <row r="30" spans="1:37" ht="18.75" customHeight="1" x14ac:dyDescent="0.25">
      <c r="A30" s="495" t="s">
        <v>273</v>
      </c>
      <c r="B30" s="555" t="str">
        <f>E17</f>
        <v>Tavasz Lola</v>
      </c>
      <c r="C30" s="555"/>
      <c r="D30" s="556"/>
      <c r="E30" s="556"/>
      <c r="F30" s="556"/>
      <c r="G30" s="556"/>
      <c r="H30" s="557"/>
      <c r="I30" s="557"/>
      <c r="J30" s="556"/>
      <c r="K30" s="556"/>
      <c r="L30" s="369"/>
      <c r="M30" s="496"/>
    </row>
    <row r="31" spans="1:37" ht="18.75" customHeight="1" x14ac:dyDescent="0.25">
      <c r="A31" s="495" t="s">
        <v>476</v>
      </c>
      <c r="B31" s="555" t="str">
        <f>E19</f>
        <v>Bariska Fruzsina</v>
      </c>
      <c r="C31" s="555"/>
      <c r="D31" s="556"/>
      <c r="E31" s="556"/>
      <c r="F31" s="556"/>
      <c r="G31" s="556"/>
      <c r="H31" s="559"/>
      <c r="I31" s="559"/>
      <c r="J31" s="557"/>
      <c r="K31" s="557"/>
      <c r="L31" s="369"/>
      <c r="M31" s="496"/>
    </row>
    <row r="32" spans="1:37" ht="18.75" customHeight="1" x14ac:dyDescent="0.25">
      <c r="A32" s="497"/>
      <c r="B32" s="522"/>
      <c r="C32" s="522"/>
      <c r="D32" s="497"/>
      <c r="E32" s="497"/>
      <c r="F32" s="497"/>
      <c r="G32" s="497"/>
      <c r="H32" s="497"/>
      <c r="I32" s="497"/>
      <c r="J32" s="369"/>
      <c r="K32" s="369"/>
      <c r="L32" s="369"/>
      <c r="M32" s="523"/>
    </row>
    <row r="33" spans="1:18" x14ac:dyDescent="0.25">
      <c r="A33" s="369"/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</row>
    <row r="34" spans="1:18" x14ac:dyDescent="0.25">
      <c r="A34" s="369" t="s">
        <v>97</v>
      </c>
      <c r="B34" s="369"/>
      <c r="C34" s="552" t="str">
        <f>IF(M23=1,B23,IF(M24=1,B24,IF(M25=1,B25,"")))</f>
        <v/>
      </c>
      <c r="D34" s="552"/>
      <c r="E34" s="488" t="s">
        <v>466</v>
      </c>
      <c r="F34" s="552" t="str">
        <f>IF(M28=1,B28,IF(M29=1,B29,IF(M30=1,B30,IF(M31=1,B31,""))))</f>
        <v/>
      </c>
      <c r="G34" s="552"/>
      <c r="H34" s="369"/>
      <c r="I34" s="492"/>
      <c r="J34" s="369"/>
      <c r="K34" s="369"/>
      <c r="L34" s="369"/>
      <c r="M34" s="369"/>
    </row>
    <row r="35" spans="1:18" x14ac:dyDescent="0.25">
      <c r="A35" s="369"/>
      <c r="B35" s="369"/>
      <c r="C35" s="369"/>
      <c r="D35" s="369"/>
      <c r="E35" s="369"/>
      <c r="F35" s="488"/>
      <c r="G35" s="488"/>
      <c r="H35" s="369"/>
      <c r="I35" s="369"/>
      <c r="J35" s="369"/>
      <c r="K35" s="369"/>
      <c r="L35" s="369"/>
      <c r="M35" s="369"/>
    </row>
    <row r="36" spans="1:18" x14ac:dyDescent="0.25">
      <c r="A36" s="369" t="s">
        <v>467</v>
      </c>
      <c r="B36" s="369"/>
      <c r="C36" s="552" t="str">
        <f>IF(M23=2,B23,IF(M24=2,B24,IF(M25=2,B25,"")))</f>
        <v/>
      </c>
      <c r="D36" s="552"/>
      <c r="E36" s="488" t="s">
        <v>466</v>
      </c>
      <c r="F36" s="552" t="str">
        <f>IF(M28=2,B28,IF(M29=2,B29,IF(M30=2,B30,IF(M31=2,B31,""))))</f>
        <v/>
      </c>
      <c r="G36" s="552"/>
      <c r="H36" s="369"/>
      <c r="I36" s="492"/>
      <c r="J36" s="369"/>
      <c r="K36" s="369"/>
      <c r="L36" s="369"/>
      <c r="M36" s="369"/>
    </row>
    <row r="37" spans="1:18" x14ac:dyDescent="0.25">
      <c r="A37" s="369"/>
      <c r="B37" s="369"/>
      <c r="C37" s="488"/>
      <c r="D37" s="488"/>
      <c r="E37" s="488"/>
      <c r="F37" s="488"/>
      <c r="G37" s="488"/>
      <c r="H37" s="369"/>
      <c r="I37" s="369"/>
      <c r="J37" s="369"/>
      <c r="K37" s="369"/>
      <c r="L37" s="369"/>
      <c r="M37" s="369"/>
    </row>
    <row r="38" spans="1:18" x14ac:dyDescent="0.25">
      <c r="A38" s="369" t="s">
        <v>468</v>
      </c>
      <c r="B38" s="369"/>
      <c r="C38" s="552" t="str">
        <f>IF(M23=3,B23,IF(M24=3,B24,IF(M25=3,B25,"")))</f>
        <v/>
      </c>
      <c r="D38" s="552"/>
      <c r="E38" s="488" t="s">
        <v>466</v>
      </c>
      <c r="F38" s="552" t="str">
        <f>IF(M28=3,B28,IF(M29=3,B29,IF(M30=3,B30,IF(M31=3,B31,""))))</f>
        <v/>
      </c>
      <c r="G38" s="552"/>
      <c r="H38" s="369"/>
      <c r="I38" s="492"/>
      <c r="J38" s="369"/>
      <c r="K38" s="369"/>
      <c r="L38" s="369"/>
      <c r="M38" s="369"/>
    </row>
    <row r="39" spans="1:18" x14ac:dyDescent="0.25">
      <c r="A39" s="369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</row>
    <row r="40" spans="1:18" x14ac:dyDescent="0.25">
      <c r="A40" s="369"/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492"/>
      <c r="M40" s="369"/>
    </row>
    <row r="41" spans="1:18" x14ac:dyDescent="0.25">
      <c r="A41" s="312" t="s">
        <v>26</v>
      </c>
      <c r="B41" s="313"/>
      <c r="C41" s="314"/>
      <c r="D41" s="498" t="s">
        <v>0</v>
      </c>
      <c r="E41" s="499" t="s">
        <v>28</v>
      </c>
      <c r="F41" s="500"/>
      <c r="G41" s="498" t="s">
        <v>0</v>
      </c>
      <c r="H41" s="499" t="s">
        <v>35</v>
      </c>
      <c r="I41" s="501"/>
      <c r="J41" s="499" t="s">
        <v>36</v>
      </c>
      <c r="K41" s="502" t="s">
        <v>37</v>
      </c>
      <c r="L41" s="474"/>
      <c r="M41" s="500"/>
      <c r="P41" s="503"/>
      <c r="Q41" s="503"/>
      <c r="R41" s="504"/>
    </row>
    <row r="42" spans="1:18" x14ac:dyDescent="0.25">
      <c r="A42" s="327" t="s">
        <v>27</v>
      </c>
      <c r="B42" s="328"/>
      <c r="C42" s="330"/>
      <c r="D42" s="505">
        <v>1</v>
      </c>
      <c r="E42" s="553" t="str">
        <f>IF(D42&gt;$R$44,,UPPER(VLOOKUP(D42,'[9]1MD ELO'!$A$7:$Q$134,2)))</f>
        <v/>
      </c>
      <c r="F42" s="553"/>
      <c r="G42" s="506" t="s">
        <v>1</v>
      </c>
      <c r="H42" s="328"/>
      <c r="I42" s="507"/>
      <c r="J42" s="508"/>
      <c r="K42" s="337" t="s">
        <v>29</v>
      </c>
      <c r="L42" s="509"/>
      <c r="M42" s="510"/>
      <c r="P42" s="511"/>
      <c r="Q42" s="511"/>
      <c r="R42" s="443"/>
    </row>
    <row r="43" spans="1:18" x14ac:dyDescent="0.25">
      <c r="A43" s="339" t="s">
        <v>34</v>
      </c>
      <c r="B43" s="340"/>
      <c r="C43" s="342"/>
      <c r="D43" s="512">
        <v>2</v>
      </c>
      <c r="E43" s="554" t="str">
        <f>IF(D43&gt;$R$44,,UPPER(VLOOKUP(D43,'[9]1MD ELO'!$A$7:$Q$134,2)))</f>
        <v/>
      </c>
      <c r="F43" s="554"/>
      <c r="G43" s="513" t="s">
        <v>2</v>
      </c>
      <c r="H43" s="334"/>
      <c r="I43" s="335"/>
      <c r="J43" s="332"/>
      <c r="K43" s="514"/>
      <c r="L43" s="492"/>
      <c r="M43" s="515"/>
      <c r="P43" s="443"/>
      <c r="Q43" s="442"/>
      <c r="R43" s="443"/>
    </row>
    <row r="44" spans="1:18" x14ac:dyDescent="0.25">
      <c r="A44" s="346"/>
      <c r="B44" s="347"/>
      <c r="C44" s="349"/>
      <c r="D44" s="512"/>
      <c r="E44" s="325"/>
      <c r="F44" s="369"/>
      <c r="G44" s="513" t="s">
        <v>3</v>
      </c>
      <c r="H44" s="334"/>
      <c r="I44" s="335"/>
      <c r="J44" s="332"/>
      <c r="K44" s="337" t="s">
        <v>30</v>
      </c>
      <c r="L44" s="509"/>
      <c r="M44" s="510"/>
      <c r="P44" s="511"/>
      <c r="Q44" s="511"/>
      <c r="R44" s="520">
        <f>MIN(4,'[9]1MD ELO'!Q2)</f>
        <v>4</v>
      </c>
    </row>
    <row r="45" spans="1:18" x14ac:dyDescent="0.25">
      <c r="A45" s="350"/>
      <c r="B45" s="236"/>
      <c r="C45" s="351"/>
      <c r="D45" s="512"/>
      <c r="E45" s="325"/>
      <c r="F45" s="369"/>
      <c r="G45" s="513" t="s">
        <v>4</v>
      </c>
      <c r="H45" s="334"/>
      <c r="I45" s="335"/>
      <c r="J45" s="332"/>
      <c r="K45" s="516"/>
      <c r="L45" s="369"/>
      <c r="M45" s="517"/>
      <c r="P45" s="443"/>
      <c r="Q45" s="442"/>
      <c r="R45" s="443"/>
    </row>
    <row r="46" spans="1:18" x14ac:dyDescent="0.25">
      <c r="A46" s="352"/>
      <c r="B46" s="353"/>
      <c r="C46" s="354"/>
      <c r="D46" s="512"/>
      <c r="E46" s="325"/>
      <c r="F46" s="369"/>
      <c r="G46" s="513" t="s">
        <v>5</v>
      </c>
      <c r="H46" s="334"/>
      <c r="I46" s="335"/>
      <c r="J46" s="332"/>
      <c r="K46" s="339"/>
      <c r="L46" s="492"/>
      <c r="M46" s="515"/>
      <c r="P46" s="443"/>
      <c r="Q46" s="442"/>
      <c r="R46" s="443"/>
    </row>
    <row r="47" spans="1:18" x14ac:dyDescent="0.25">
      <c r="A47" s="355"/>
      <c r="B47" s="356"/>
      <c r="C47" s="351"/>
      <c r="D47" s="512"/>
      <c r="E47" s="325"/>
      <c r="F47" s="369"/>
      <c r="G47" s="513" t="s">
        <v>6</v>
      </c>
      <c r="H47" s="334"/>
      <c r="I47" s="335"/>
      <c r="J47" s="332"/>
      <c r="K47" s="337" t="s">
        <v>25</v>
      </c>
      <c r="L47" s="509"/>
      <c r="M47" s="510"/>
      <c r="P47" s="511"/>
      <c r="Q47" s="511"/>
      <c r="R47" s="443"/>
    </row>
    <row r="48" spans="1:18" x14ac:dyDescent="0.25">
      <c r="A48" s="355"/>
      <c r="B48" s="356"/>
      <c r="C48" s="358"/>
      <c r="D48" s="512"/>
      <c r="E48" s="325"/>
      <c r="F48" s="369"/>
      <c r="G48" s="513" t="s">
        <v>7</v>
      </c>
      <c r="H48" s="334"/>
      <c r="I48" s="335"/>
      <c r="J48" s="332"/>
      <c r="K48" s="516"/>
      <c r="L48" s="369"/>
      <c r="M48" s="517"/>
      <c r="P48" s="443"/>
      <c r="Q48" s="442"/>
      <c r="R48" s="443"/>
    </row>
    <row r="49" spans="1:18" x14ac:dyDescent="0.25">
      <c r="A49" s="359"/>
      <c r="B49" s="360"/>
      <c r="C49" s="362"/>
      <c r="D49" s="518"/>
      <c r="E49" s="343"/>
      <c r="F49" s="492"/>
      <c r="G49" s="519" t="s">
        <v>8</v>
      </c>
      <c r="H49" s="340"/>
      <c r="I49" s="344"/>
      <c r="J49" s="364"/>
      <c r="K49" s="339">
        <f>L4</f>
        <v>0</v>
      </c>
      <c r="L49" s="492"/>
      <c r="M49" s="515"/>
      <c r="P49" s="443"/>
      <c r="Q49" s="442"/>
      <c r="R49" s="520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83" priority="2" stopIfTrue="1" operator="equal">
      <formula>"Bye"</formula>
    </cfRule>
  </conditionalFormatting>
  <conditionalFormatting sqref="R44 R49">
    <cfRule type="expression" dxfId="8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0E32-88BD-4B38-820D-4A9529D884DE}">
  <sheetPr>
    <tabColor indexed="11"/>
  </sheetPr>
  <dimension ref="A1:AS140"/>
  <sheetViews>
    <sheetView workbookViewId="0">
      <selection activeCell="O19" sqref="O19"/>
    </sheetView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33203125" style="287" customWidth="1"/>
    <col min="5" max="5" width="4.33203125" style="287" customWidth="1"/>
    <col min="6" max="6" width="17" style="287" customWidth="1"/>
    <col min="7" max="7" width="2.6640625" style="287" customWidth="1"/>
    <col min="8" max="8" width="24.77734375" style="287" bestFit="1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27" width="0" style="287" hidden="1" customWidth="1"/>
    <col min="28" max="28" width="10.33203125" style="287" hidden="1" customWidth="1"/>
    <col min="29" max="34" width="0" style="287" hidden="1" customWidth="1"/>
    <col min="35" max="37" width="9.109375" style="369" customWidth="1"/>
    <col min="38" max="16384" width="8.77734375" style="287"/>
  </cols>
  <sheetData>
    <row r="1" spans="1:45" s="209" customFormat="1" ht="21.75" customHeight="1" x14ac:dyDescent="0.25">
      <c r="A1" s="202" t="str">
        <f>[10]Altalanos!$A$6</f>
        <v>OB</v>
      </c>
      <c r="B1" s="202"/>
      <c r="C1" s="203"/>
      <c r="D1" s="203"/>
      <c r="E1" s="203"/>
      <c r="F1" s="203"/>
      <c r="G1" s="203"/>
      <c r="H1" s="202"/>
      <c r="I1" s="204"/>
      <c r="J1" s="205"/>
      <c r="K1" s="206" t="s">
        <v>33</v>
      </c>
      <c r="L1" s="207"/>
      <c r="M1" s="208"/>
      <c r="N1" s="205"/>
      <c r="O1" s="205" t="s">
        <v>9</v>
      </c>
      <c r="P1" s="205"/>
      <c r="Q1" s="203"/>
      <c r="R1" s="205"/>
      <c r="T1" s="210"/>
      <c r="U1" s="210"/>
      <c r="V1" s="210"/>
      <c r="W1" s="210"/>
      <c r="X1" s="210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  <c r="AI1" s="212"/>
      <c r="AJ1" s="212"/>
      <c r="AK1" s="212"/>
    </row>
    <row r="2" spans="1:45" s="218" customFormat="1" x14ac:dyDescent="0.25">
      <c r="A2" s="213" t="s">
        <v>32</v>
      </c>
      <c r="B2" s="214"/>
      <c r="C2" s="214"/>
      <c r="D2" s="214"/>
      <c r="E2" s="214">
        <f>[10]Altalanos!$A$8</f>
        <v>0</v>
      </c>
      <c r="F2" s="214"/>
      <c r="G2" s="215"/>
      <c r="H2" s="216"/>
      <c r="I2" s="216"/>
      <c r="J2" s="217"/>
      <c r="K2" s="207"/>
      <c r="L2" s="207"/>
      <c r="M2" s="207"/>
      <c r="N2" s="217"/>
      <c r="O2" s="216"/>
      <c r="P2" s="217"/>
      <c r="Q2" s="216"/>
      <c r="R2" s="217"/>
      <c r="T2" s="219"/>
      <c r="U2" s="219"/>
      <c r="V2" s="219"/>
      <c r="W2" s="219"/>
      <c r="X2" s="219"/>
      <c r="Y2" s="220"/>
      <c r="Z2" s="221"/>
      <c r="AA2" s="221" t="s">
        <v>43</v>
      </c>
      <c r="AB2" s="222">
        <v>300</v>
      </c>
      <c r="AC2" s="222">
        <v>250</v>
      </c>
      <c r="AD2" s="222">
        <v>200</v>
      </c>
      <c r="AE2" s="222">
        <v>150</v>
      </c>
      <c r="AF2" s="222">
        <v>120</v>
      </c>
      <c r="AG2" s="222">
        <v>90</v>
      </c>
      <c r="AH2" s="222">
        <v>40</v>
      </c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</row>
    <row r="3" spans="1:45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T3" s="227"/>
      <c r="U3" s="227"/>
      <c r="V3" s="227"/>
      <c r="W3" s="227"/>
      <c r="X3" s="227"/>
      <c r="Y3" s="221" t="str">
        <f>IF(K4="OB","A",IF(K4="IX","W",IF(K4="","",K4)))</f>
        <v/>
      </c>
      <c r="Z3" s="221"/>
      <c r="AA3" s="221" t="s">
        <v>44</v>
      </c>
      <c r="AB3" s="222">
        <v>280</v>
      </c>
      <c r="AC3" s="222">
        <v>230</v>
      </c>
      <c r="AD3" s="222">
        <v>180</v>
      </c>
      <c r="AE3" s="222">
        <v>140</v>
      </c>
      <c r="AF3" s="222">
        <v>80</v>
      </c>
      <c r="AG3" s="222">
        <v>0</v>
      </c>
      <c r="AH3" s="222">
        <v>0</v>
      </c>
      <c r="AI3" s="219"/>
      <c r="AJ3" s="219"/>
      <c r="AK3" s="219"/>
      <c r="AL3" s="227"/>
      <c r="AM3" s="227"/>
      <c r="AN3" s="227"/>
      <c r="AO3" s="227"/>
      <c r="AP3" s="227"/>
      <c r="AQ3" s="227"/>
      <c r="AR3" s="227"/>
      <c r="AS3" s="227"/>
    </row>
    <row r="4" spans="1:45" s="234" customFormat="1" ht="11.25" customHeight="1" thickBot="1" x14ac:dyDescent="0.3">
      <c r="A4" s="551">
        <f>[10]Altalanos!$A$10</f>
        <v>0</v>
      </c>
      <c r="B4" s="551"/>
      <c r="C4" s="551"/>
      <c r="D4" s="228"/>
      <c r="E4" s="229"/>
      <c r="F4" s="229"/>
      <c r="G4" s="229">
        <f>[10]Altalanos!$C$10</f>
        <v>0</v>
      </c>
      <c r="H4" s="230"/>
      <c r="I4" s="229"/>
      <c r="J4" s="231"/>
      <c r="K4" s="136"/>
      <c r="L4" s="231"/>
      <c r="M4" s="232"/>
      <c r="N4" s="231"/>
      <c r="O4" s="229"/>
      <c r="P4" s="231"/>
      <c r="Q4" s="229"/>
      <c r="R4" s="233">
        <f>[10]Altalanos!$E$10</f>
        <v>0</v>
      </c>
      <c r="T4" s="235"/>
      <c r="U4" s="235"/>
      <c r="V4" s="235"/>
      <c r="W4" s="235"/>
      <c r="X4" s="235"/>
      <c r="Y4" s="221"/>
      <c r="Z4" s="221"/>
      <c r="AA4" s="221" t="s">
        <v>67</v>
      </c>
      <c r="AB4" s="222">
        <v>250</v>
      </c>
      <c r="AC4" s="222">
        <v>200</v>
      </c>
      <c r="AD4" s="222">
        <v>150</v>
      </c>
      <c r="AE4" s="222">
        <v>120</v>
      </c>
      <c r="AF4" s="222">
        <v>90</v>
      </c>
      <c r="AG4" s="222">
        <v>60</v>
      </c>
      <c r="AH4" s="222">
        <v>25</v>
      </c>
      <c r="AI4" s="219"/>
      <c r="AJ4" s="219"/>
      <c r="AK4" s="219"/>
      <c r="AL4" s="235"/>
      <c r="AM4" s="235"/>
      <c r="AN4" s="235"/>
      <c r="AO4" s="235"/>
      <c r="AP4" s="235"/>
      <c r="AQ4" s="235"/>
      <c r="AR4" s="235"/>
      <c r="AS4" s="235"/>
    </row>
    <row r="5" spans="1:45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97</v>
      </c>
      <c r="N5" s="240"/>
      <c r="O5" s="237" t="s">
        <v>98</v>
      </c>
      <c r="P5" s="240"/>
      <c r="Q5" s="237"/>
      <c r="R5" s="241"/>
      <c r="T5" s="227"/>
      <c r="U5" s="227"/>
      <c r="V5" s="227"/>
      <c r="W5" s="227"/>
      <c r="X5" s="227"/>
      <c r="Y5" s="221">
        <f>IF(OR([10]Altalanos!$A$8="F1",[10]Altalanos!$A$8="F2",[10]Altalanos!$A$8="N1",[10]Altalanos!$A$8="N2"),1,2)</f>
        <v>2</v>
      </c>
      <c r="Z5" s="221"/>
      <c r="AA5" s="221" t="s">
        <v>68</v>
      </c>
      <c r="AB5" s="222">
        <v>200</v>
      </c>
      <c r="AC5" s="222">
        <v>150</v>
      </c>
      <c r="AD5" s="222">
        <v>120</v>
      </c>
      <c r="AE5" s="222">
        <v>90</v>
      </c>
      <c r="AF5" s="222">
        <v>60</v>
      </c>
      <c r="AG5" s="222">
        <v>40</v>
      </c>
      <c r="AH5" s="222">
        <v>15</v>
      </c>
      <c r="AI5" s="219"/>
      <c r="AJ5" s="219"/>
      <c r="AK5" s="219"/>
      <c r="AL5" s="227"/>
      <c r="AM5" s="227"/>
      <c r="AN5" s="227"/>
      <c r="AO5" s="227"/>
      <c r="AP5" s="227"/>
      <c r="AQ5" s="227"/>
      <c r="AR5" s="227"/>
      <c r="AS5" s="227"/>
    </row>
    <row r="6" spans="1:45" s="248" customFormat="1" ht="10.95" customHeight="1" thickBot="1" x14ac:dyDescent="0.3">
      <c r="A6" s="242"/>
      <c r="B6" s="243"/>
      <c r="C6" s="243"/>
      <c r="D6" s="243"/>
      <c r="E6" s="243"/>
      <c r="F6" s="242" t="str">
        <f>IF(Y3="","",CONCATENATE(VLOOKUP(Y3,AB1:AH1,4)," pont"))</f>
        <v/>
      </c>
      <c r="G6" s="244"/>
      <c r="H6" s="245"/>
      <c r="I6" s="244"/>
      <c r="J6" s="246"/>
      <c r="K6" s="243" t="str">
        <f>IF(Y3="","",CONCATENATE(VLOOKUP(Y3,AB1:AH1,3)," pont"))</f>
        <v/>
      </c>
      <c r="L6" s="246"/>
      <c r="M6" s="243" t="str">
        <f>IF(Y3="","",CONCATENATE(VLOOKUP(Y3,AB1:AH1,2)," pont"))</f>
        <v/>
      </c>
      <c r="N6" s="246"/>
      <c r="O6" s="243" t="str">
        <f>IF(Y3="","",CONCATENATE(VLOOKUP(Y3,AB1:AH1,1)," pont"))</f>
        <v/>
      </c>
      <c r="P6" s="246"/>
      <c r="Q6" s="243"/>
      <c r="R6" s="247"/>
      <c r="T6" s="249"/>
      <c r="U6" s="249"/>
      <c r="V6" s="249"/>
      <c r="W6" s="249"/>
      <c r="X6" s="249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252"/>
      <c r="AJ6" s="252"/>
      <c r="AK6" s="252"/>
      <c r="AL6" s="249"/>
      <c r="AM6" s="249"/>
      <c r="AN6" s="249"/>
      <c r="AO6" s="249"/>
      <c r="AP6" s="249"/>
      <c r="AQ6" s="249"/>
      <c r="AR6" s="249"/>
      <c r="AS6" s="249"/>
    </row>
    <row r="7" spans="1:45" s="266" customFormat="1" ht="13.05" customHeight="1" x14ac:dyDescent="0.25">
      <c r="A7" s="253">
        <v>1</v>
      </c>
      <c r="B7" s="254" t="str">
        <f>IF($E7="","",VLOOKUP($E7,'[10]1MD ELO'!$A$7:$O$22,14))</f>
        <v/>
      </c>
      <c r="C7" s="255" t="str">
        <f>IF($E7="","",VLOOKUP($E7,'[10]1MD ELO'!$A$7:$O$22,15))</f>
        <v/>
      </c>
      <c r="D7" s="255" t="str">
        <f>IF($E7="","",VLOOKUP($E7,'[10]1MD ELO'!$A$7:$O$22,5))</f>
        <v/>
      </c>
      <c r="E7" s="256"/>
      <c r="F7" s="257"/>
      <c r="G7" s="257"/>
      <c r="H7" s="257"/>
      <c r="I7" s="257" t="str">
        <f>IF($E7="","",VLOOKUP($E7,'[10]1MD ELO'!$A$7:$O$22,4))</f>
        <v/>
      </c>
      <c r="J7" s="258"/>
      <c r="K7" s="259"/>
      <c r="L7" s="259"/>
      <c r="M7" s="259"/>
      <c r="N7" s="259"/>
      <c r="O7" s="260"/>
      <c r="P7" s="261"/>
      <c r="Q7" s="262"/>
      <c r="R7" s="263"/>
      <c r="S7" s="264"/>
      <c r="T7" s="264"/>
      <c r="U7" s="265" t="str">
        <f>[10]Birók!P21</f>
        <v>Bíró</v>
      </c>
      <c r="V7" s="264"/>
      <c r="W7" s="264"/>
      <c r="X7" s="264"/>
      <c r="Y7" s="221"/>
      <c r="Z7" s="221"/>
      <c r="AA7" s="221" t="s">
        <v>70</v>
      </c>
      <c r="AB7" s="222">
        <v>120</v>
      </c>
      <c r="AC7" s="222">
        <v>90</v>
      </c>
      <c r="AD7" s="222">
        <v>60</v>
      </c>
      <c r="AE7" s="222">
        <v>40</v>
      </c>
      <c r="AF7" s="222">
        <v>25</v>
      </c>
      <c r="AG7" s="222">
        <v>10</v>
      </c>
      <c r="AH7" s="222">
        <v>5</v>
      </c>
      <c r="AI7" s="219"/>
      <c r="AJ7" s="219"/>
      <c r="AK7" s="219"/>
      <c r="AL7" s="264"/>
      <c r="AM7" s="264"/>
      <c r="AN7" s="264"/>
      <c r="AO7" s="264"/>
      <c r="AP7" s="264"/>
      <c r="AQ7" s="264"/>
      <c r="AR7" s="264"/>
      <c r="AS7" s="264"/>
    </row>
    <row r="8" spans="1:45" s="266" customFormat="1" ht="13.05" customHeight="1" x14ac:dyDescent="0.25">
      <c r="A8" s="267"/>
      <c r="B8" s="268"/>
      <c r="C8" s="269"/>
      <c r="D8" s="269"/>
      <c r="E8" s="270"/>
      <c r="F8" s="271"/>
      <c r="G8" s="271"/>
      <c r="H8" s="272"/>
      <c r="I8" s="273" t="s">
        <v>99</v>
      </c>
      <c r="J8" s="274"/>
      <c r="K8" s="275" t="str">
        <f>UPPER(IF(OR(J8="a",J8="as"),F7,IF(OR(J8="b",J8="bs"),F9,)))</f>
        <v/>
      </c>
      <c r="L8" s="275"/>
      <c r="M8" s="259"/>
      <c r="N8" s="259"/>
      <c r="O8" s="260"/>
      <c r="P8" s="261"/>
      <c r="Q8" s="262"/>
      <c r="R8" s="263"/>
      <c r="S8" s="264"/>
      <c r="T8" s="264"/>
      <c r="U8" s="276" t="str">
        <f>[10]Birók!P22</f>
        <v xml:space="preserve"> </v>
      </c>
      <c r="V8" s="264"/>
      <c r="W8" s="264"/>
      <c r="X8" s="264"/>
      <c r="Y8" s="221"/>
      <c r="Z8" s="221"/>
      <c r="AA8" s="221" t="s">
        <v>71</v>
      </c>
      <c r="AB8" s="222">
        <v>90</v>
      </c>
      <c r="AC8" s="222">
        <v>60</v>
      </c>
      <c r="AD8" s="222">
        <v>40</v>
      </c>
      <c r="AE8" s="222">
        <v>25</v>
      </c>
      <c r="AF8" s="222">
        <v>10</v>
      </c>
      <c r="AG8" s="222">
        <v>5</v>
      </c>
      <c r="AH8" s="222">
        <v>2</v>
      </c>
      <c r="AI8" s="219"/>
      <c r="AJ8" s="219"/>
      <c r="AK8" s="219"/>
      <c r="AL8" s="264"/>
      <c r="AM8" s="264"/>
      <c r="AN8" s="264"/>
      <c r="AO8" s="264"/>
      <c r="AP8" s="264"/>
      <c r="AQ8" s="264"/>
      <c r="AR8" s="264"/>
      <c r="AS8" s="264"/>
    </row>
    <row r="9" spans="1:45" s="266" customFormat="1" ht="13.05" customHeight="1" x14ac:dyDescent="0.25">
      <c r="A9" s="267">
        <v>2</v>
      </c>
      <c r="B9" s="254" t="str">
        <f>IF($E9="","",VLOOKUP($E9,'[10]1MD ELO'!$A$7:$O$22,14))</f>
        <v/>
      </c>
      <c r="C9" s="255" t="str">
        <f>IF($E9="","",VLOOKUP($E9,'[10]1MD ELO'!$A$7:$O$22,15))</f>
        <v/>
      </c>
      <c r="D9" s="255" t="str">
        <f>IF($E9="","",VLOOKUP($E9,'[10]1MD ELO'!$A$7:$O$22,5))</f>
        <v/>
      </c>
      <c r="E9" s="277"/>
      <c r="F9" s="278"/>
      <c r="G9" s="278"/>
      <c r="H9" s="278"/>
      <c r="I9" s="278" t="str">
        <f>IF($E9="","",VLOOKUP($E9,'[10]1MD ELO'!$A$7:$O$22,4))</f>
        <v/>
      </c>
      <c r="J9" s="279"/>
      <c r="K9" s="259"/>
      <c r="L9" s="280"/>
      <c r="M9" s="259"/>
      <c r="N9" s="259"/>
      <c r="O9" s="260"/>
      <c r="P9" s="261"/>
      <c r="Q9" s="262"/>
      <c r="R9" s="263"/>
      <c r="S9" s="264"/>
      <c r="T9" s="264"/>
      <c r="U9" s="276" t="str">
        <f>[10]Birók!P23</f>
        <v xml:space="preserve"> </v>
      </c>
      <c r="V9" s="264"/>
      <c r="W9" s="264"/>
      <c r="X9" s="264"/>
      <c r="Y9" s="221"/>
      <c r="Z9" s="221"/>
      <c r="AA9" s="221" t="s">
        <v>72</v>
      </c>
      <c r="AB9" s="222">
        <v>60</v>
      </c>
      <c r="AC9" s="222">
        <v>40</v>
      </c>
      <c r="AD9" s="222">
        <v>25</v>
      </c>
      <c r="AE9" s="222">
        <v>10</v>
      </c>
      <c r="AF9" s="222">
        <v>5</v>
      </c>
      <c r="AG9" s="222">
        <v>2</v>
      </c>
      <c r="AH9" s="222">
        <v>1</v>
      </c>
      <c r="AI9" s="219"/>
      <c r="AJ9" s="219"/>
      <c r="AK9" s="219"/>
      <c r="AL9" s="264"/>
      <c r="AM9" s="264"/>
      <c r="AN9" s="264"/>
      <c r="AO9" s="264"/>
      <c r="AP9" s="264"/>
      <c r="AQ9" s="264"/>
      <c r="AR9" s="264"/>
      <c r="AS9" s="264"/>
    </row>
    <row r="10" spans="1:45" s="266" customFormat="1" ht="13.05" customHeight="1" x14ac:dyDescent="0.25">
      <c r="A10" s="267"/>
      <c r="B10" s="268"/>
      <c r="C10" s="269"/>
      <c r="D10" s="269"/>
      <c r="E10" s="281"/>
      <c r="F10" s="271"/>
      <c r="G10" s="271"/>
      <c r="H10" s="272"/>
      <c r="I10" s="271"/>
      <c r="J10" s="282"/>
      <c r="K10" s="273" t="s">
        <v>99</v>
      </c>
      <c r="L10" s="283"/>
      <c r="M10" s="275"/>
      <c r="N10" s="284"/>
      <c r="O10" s="285"/>
      <c r="P10" s="285"/>
      <c r="Q10" s="262"/>
      <c r="R10" s="263"/>
      <c r="S10" s="264"/>
      <c r="T10" s="264"/>
      <c r="U10" s="276" t="str">
        <f>[10]Birók!P24</f>
        <v xml:space="preserve"> </v>
      </c>
      <c r="V10" s="264"/>
      <c r="W10" s="264"/>
      <c r="X10" s="264"/>
      <c r="Y10" s="221"/>
      <c r="Z10" s="221"/>
      <c r="AA10" s="221" t="s">
        <v>73</v>
      </c>
      <c r="AB10" s="222">
        <v>40</v>
      </c>
      <c r="AC10" s="222">
        <v>25</v>
      </c>
      <c r="AD10" s="222">
        <v>15</v>
      </c>
      <c r="AE10" s="222">
        <v>7</v>
      </c>
      <c r="AF10" s="222">
        <v>4</v>
      </c>
      <c r="AG10" s="222">
        <v>1</v>
      </c>
      <c r="AH10" s="222">
        <v>0</v>
      </c>
      <c r="AI10" s="219"/>
      <c r="AJ10" s="219"/>
      <c r="AK10" s="219"/>
      <c r="AL10" s="264"/>
      <c r="AM10" s="264"/>
      <c r="AN10" s="264"/>
      <c r="AO10" s="264"/>
      <c r="AP10" s="264"/>
      <c r="AQ10" s="264"/>
      <c r="AR10" s="264"/>
      <c r="AS10" s="264"/>
    </row>
    <row r="11" spans="1:45" s="266" customFormat="1" ht="13.05" customHeight="1" x14ac:dyDescent="0.25">
      <c r="A11" s="267">
        <v>3</v>
      </c>
      <c r="B11" s="254" t="str">
        <f>IF($E11="","",VLOOKUP($E11,'[10]1MD ELO'!$A$7:$O$22,14))</f>
        <v/>
      </c>
      <c r="C11" s="255" t="str">
        <f>IF($E11="","",VLOOKUP($E11,'[10]1MD ELO'!$A$7:$O$22,15))</f>
        <v/>
      </c>
      <c r="D11" s="255" t="str">
        <f>IF($E11="","",VLOOKUP($E11,'[10]1MD ELO'!$A$7:$O$22,5))</f>
        <v/>
      </c>
      <c r="E11" s="277"/>
      <c r="F11" s="278"/>
      <c r="G11" s="278"/>
      <c r="H11" s="278"/>
      <c r="I11" s="278" t="str">
        <f>IF($E11="","",VLOOKUP($E11,'[10]1MD ELO'!$A$7:$O$22,4))</f>
        <v/>
      </c>
      <c r="J11" s="258"/>
      <c r="K11" s="259"/>
      <c r="L11" s="286"/>
      <c r="M11" s="259"/>
      <c r="N11" s="288"/>
      <c r="O11" s="285"/>
      <c r="P11" s="285"/>
      <c r="Q11" s="262"/>
      <c r="R11" s="263"/>
      <c r="S11" s="264"/>
      <c r="T11" s="264"/>
      <c r="U11" s="276" t="str">
        <f>[10]Birók!P25</f>
        <v xml:space="preserve"> </v>
      </c>
      <c r="V11" s="264"/>
      <c r="W11" s="264"/>
      <c r="X11" s="264"/>
      <c r="Y11" s="221"/>
      <c r="Z11" s="221"/>
      <c r="AA11" s="221" t="s">
        <v>74</v>
      </c>
      <c r="AB11" s="222">
        <v>25</v>
      </c>
      <c r="AC11" s="222">
        <v>15</v>
      </c>
      <c r="AD11" s="222">
        <v>10</v>
      </c>
      <c r="AE11" s="222">
        <v>6</v>
      </c>
      <c r="AF11" s="222">
        <v>3</v>
      </c>
      <c r="AG11" s="222">
        <v>1</v>
      </c>
      <c r="AH11" s="222">
        <v>0</v>
      </c>
      <c r="AI11" s="219"/>
      <c r="AJ11" s="219"/>
      <c r="AK11" s="219"/>
      <c r="AL11" s="264"/>
      <c r="AM11" s="264"/>
      <c r="AN11" s="264"/>
      <c r="AO11" s="264"/>
      <c r="AP11" s="264"/>
      <c r="AQ11" s="264"/>
      <c r="AR11" s="264"/>
      <c r="AS11" s="264"/>
    </row>
    <row r="12" spans="1:45" s="266" customFormat="1" ht="13.05" customHeight="1" x14ac:dyDescent="0.25">
      <c r="A12" s="267"/>
      <c r="B12" s="268"/>
      <c r="C12" s="269"/>
      <c r="D12" s="269"/>
      <c r="E12" s="281"/>
      <c r="F12" s="271"/>
      <c r="G12" s="271"/>
      <c r="H12" s="272"/>
      <c r="I12" s="273" t="s">
        <v>99</v>
      </c>
      <c r="J12" s="274"/>
      <c r="K12" s="275" t="str">
        <f>UPPER(IF(OR(J12="a",J12="as"),F11,IF(OR(J12="b",J12="bs"),F13,)))</f>
        <v/>
      </c>
      <c r="L12" s="289"/>
      <c r="M12" s="259"/>
      <c r="N12" s="288"/>
      <c r="O12" s="285"/>
      <c r="P12" s="285"/>
      <c r="Q12" s="262"/>
      <c r="R12" s="263"/>
      <c r="S12" s="264"/>
      <c r="T12" s="264"/>
      <c r="U12" s="276" t="str">
        <f>[10]Birók!P26</f>
        <v xml:space="preserve"> </v>
      </c>
      <c r="V12" s="264"/>
      <c r="W12" s="264"/>
      <c r="X12" s="264"/>
      <c r="Y12" s="221"/>
      <c r="Z12" s="221"/>
      <c r="AA12" s="221" t="s">
        <v>79</v>
      </c>
      <c r="AB12" s="222">
        <v>15</v>
      </c>
      <c r="AC12" s="222">
        <v>10</v>
      </c>
      <c r="AD12" s="222">
        <v>6</v>
      </c>
      <c r="AE12" s="222">
        <v>3</v>
      </c>
      <c r="AF12" s="222">
        <v>1</v>
      </c>
      <c r="AG12" s="222">
        <v>0</v>
      </c>
      <c r="AH12" s="222">
        <v>0</v>
      </c>
      <c r="AI12" s="219"/>
      <c r="AJ12" s="219"/>
      <c r="AK12" s="219"/>
      <c r="AL12" s="264"/>
      <c r="AM12" s="264"/>
      <c r="AN12" s="264"/>
      <c r="AO12" s="264"/>
      <c r="AP12" s="264"/>
      <c r="AQ12" s="264"/>
      <c r="AR12" s="264"/>
      <c r="AS12" s="264"/>
    </row>
    <row r="13" spans="1:45" s="266" customFormat="1" ht="13.05" customHeight="1" x14ac:dyDescent="0.25">
      <c r="A13" s="267">
        <v>4</v>
      </c>
      <c r="B13" s="254" t="str">
        <f>IF($E13="","",VLOOKUP($E13,'[10]1MD ELO'!$A$7:$O$22,14))</f>
        <v/>
      </c>
      <c r="C13" s="255" t="str">
        <f>IF($E13="","",VLOOKUP($E13,'[10]1MD ELO'!$A$7:$O$22,15))</f>
        <v/>
      </c>
      <c r="D13" s="255" t="str">
        <f>IF($E13="","",VLOOKUP($E13,'[10]1MD ELO'!$A$7:$O$22,5))</f>
        <v/>
      </c>
      <c r="E13" s="277"/>
      <c r="F13" s="278"/>
      <c r="G13" s="278"/>
      <c r="H13" s="278"/>
      <c r="I13" s="278" t="str">
        <f>IF($E13="","",VLOOKUP($E13,'[10]1MD ELO'!$A$7:$O$22,4))</f>
        <v/>
      </c>
      <c r="J13" s="290"/>
      <c r="K13" s="259"/>
      <c r="L13" s="259"/>
      <c r="M13" s="259"/>
      <c r="N13" s="288"/>
      <c r="O13" s="285"/>
      <c r="P13" s="285"/>
      <c r="Q13" s="262"/>
      <c r="R13" s="263"/>
      <c r="S13" s="264"/>
      <c r="T13" s="264"/>
      <c r="U13" s="276" t="str">
        <f>[10]Birók!P27</f>
        <v xml:space="preserve"> </v>
      </c>
      <c r="V13" s="264"/>
      <c r="W13" s="264"/>
      <c r="X13" s="264"/>
      <c r="Y13" s="221"/>
      <c r="Z13" s="221"/>
      <c r="AA13" s="221" t="s">
        <v>75</v>
      </c>
      <c r="AB13" s="222">
        <v>10</v>
      </c>
      <c r="AC13" s="222">
        <v>6</v>
      </c>
      <c r="AD13" s="222">
        <v>3</v>
      </c>
      <c r="AE13" s="222">
        <v>1</v>
      </c>
      <c r="AF13" s="222">
        <v>0</v>
      </c>
      <c r="AG13" s="222">
        <v>0</v>
      </c>
      <c r="AH13" s="222">
        <v>0</v>
      </c>
      <c r="AI13" s="219"/>
      <c r="AJ13" s="219"/>
      <c r="AK13" s="219"/>
      <c r="AL13" s="264"/>
      <c r="AM13" s="264"/>
      <c r="AN13" s="264"/>
      <c r="AO13" s="264"/>
      <c r="AP13" s="264"/>
      <c r="AQ13" s="264"/>
      <c r="AR13" s="264"/>
      <c r="AS13" s="264"/>
    </row>
    <row r="14" spans="1:45" s="266" customFormat="1" ht="13.05" customHeight="1" x14ac:dyDescent="0.25">
      <c r="A14" s="267"/>
      <c r="B14" s="268"/>
      <c r="C14" s="269"/>
      <c r="D14" s="269"/>
      <c r="E14" s="281"/>
      <c r="F14" s="271"/>
      <c r="G14" s="271"/>
      <c r="H14" s="272"/>
      <c r="I14" s="271"/>
      <c r="J14" s="282"/>
      <c r="K14" s="259"/>
      <c r="L14" s="259"/>
      <c r="M14" s="273" t="s">
        <v>99</v>
      </c>
      <c r="N14" s="283"/>
      <c r="O14" s="275" t="s">
        <v>460</v>
      </c>
      <c r="P14" s="284"/>
      <c r="Q14" s="262"/>
      <c r="R14" s="263"/>
      <c r="S14" s="264"/>
      <c r="T14" s="264"/>
      <c r="U14" s="276" t="str">
        <f>[10]Birók!P28</f>
        <v xml:space="preserve"> </v>
      </c>
      <c r="V14" s="264"/>
      <c r="W14" s="264"/>
      <c r="X14" s="264"/>
      <c r="Y14" s="221"/>
      <c r="Z14" s="221"/>
      <c r="AA14" s="221" t="s">
        <v>76</v>
      </c>
      <c r="AB14" s="222">
        <v>3</v>
      </c>
      <c r="AC14" s="222">
        <v>2</v>
      </c>
      <c r="AD14" s="222">
        <v>1</v>
      </c>
      <c r="AE14" s="222">
        <v>0</v>
      </c>
      <c r="AF14" s="222">
        <v>0</v>
      </c>
      <c r="AG14" s="222">
        <v>0</v>
      </c>
      <c r="AH14" s="222">
        <v>0</v>
      </c>
      <c r="AI14" s="219"/>
      <c r="AJ14" s="219"/>
      <c r="AK14" s="219"/>
      <c r="AL14" s="264"/>
      <c r="AM14" s="264"/>
      <c r="AN14" s="264"/>
      <c r="AO14" s="264"/>
      <c r="AP14" s="264"/>
      <c r="AQ14" s="264"/>
      <c r="AR14" s="264"/>
      <c r="AS14" s="264"/>
    </row>
    <row r="15" spans="1:45" s="266" customFormat="1" ht="13.05" customHeight="1" x14ac:dyDescent="0.25">
      <c r="A15" s="291">
        <v>5</v>
      </c>
      <c r="B15" s="254" t="str">
        <f>IF($E15="","",VLOOKUP($E15,'[10]1MD ELO'!$A$7:$O$22,14))</f>
        <v/>
      </c>
      <c r="C15" s="255" t="str">
        <f>IF($E15="","",VLOOKUP($E15,'[10]1MD ELO'!$A$7:$O$22,15))</f>
        <v/>
      </c>
      <c r="D15" s="255" t="str">
        <f>IF($E15="","",VLOOKUP($E15,'[10]1MD ELO'!$A$7:$O$22,5))</f>
        <v/>
      </c>
      <c r="E15" s="277"/>
      <c r="F15" s="278"/>
      <c r="G15" s="278"/>
      <c r="H15" s="278"/>
      <c r="I15" s="278" t="str">
        <f>IF($E15="","",VLOOKUP($E15,'[10]1MD ELO'!$A$7:$O$22,4))</f>
        <v/>
      </c>
      <c r="J15" s="292"/>
      <c r="K15" s="259"/>
      <c r="L15" s="259"/>
      <c r="M15" s="259"/>
      <c r="N15" s="288"/>
      <c r="O15" s="259" t="s">
        <v>138</v>
      </c>
      <c r="P15" s="285"/>
      <c r="Q15" s="262"/>
      <c r="R15" s="263"/>
      <c r="S15" s="264"/>
      <c r="T15" s="264"/>
      <c r="U15" s="276" t="str">
        <f>[10]Birók!P29</f>
        <v xml:space="preserve"> </v>
      </c>
      <c r="V15" s="264"/>
      <c r="W15" s="264"/>
      <c r="X15" s="264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19"/>
      <c r="AJ15" s="219"/>
      <c r="AK15" s="219"/>
      <c r="AL15" s="264"/>
      <c r="AM15" s="264"/>
      <c r="AN15" s="264"/>
      <c r="AO15" s="264"/>
      <c r="AP15" s="264"/>
      <c r="AQ15" s="264"/>
      <c r="AR15" s="264"/>
      <c r="AS15" s="264"/>
    </row>
    <row r="16" spans="1:45" s="266" customFormat="1" ht="13.05" customHeight="1" thickBot="1" x14ac:dyDescent="0.3">
      <c r="A16" s="267"/>
      <c r="B16" s="268"/>
      <c r="C16" s="269"/>
      <c r="D16" s="269"/>
      <c r="E16" s="281"/>
      <c r="F16" s="271"/>
      <c r="G16" s="271"/>
      <c r="H16" s="272"/>
      <c r="I16" s="273" t="s">
        <v>99</v>
      </c>
      <c r="J16" s="274"/>
      <c r="K16" s="275" t="str">
        <f>UPPER(IF(OR(J16="a",J16="as"),F15,IF(OR(J16="b",J16="bs"),F17,)))</f>
        <v/>
      </c>
      <c r="L16" s="275"/>
      <c r="M16" s="259"/>
      <c r="N16" s="288"/>
      <c r="O16" s="273"/>
      <c r="P16" s="285"/>
      <c r="Q16" s="262"/>
      <c r="R16" s="263"/>
      <c r="S16" s="264"/>
      <c r="T16" s="264"/>
      <c r="U16" s="293" t="str">
        <f>[10]Birók!P30</f>
        <v>Egyik sem</v>
      </c>
      <c r="V16" s="264"/>
      <c r="W16" s="264"/>
      <c r="X16" s="264"/>
      <c r="Y16" s="221"/>
      <c r="Z16" s="221"/>
      <c r="AA16" s="221" t="s">
        <v>43</v>
      </c>
      <c r="AB16" s="222">
        <v>150</v>
      </c>
      <c r="AC16" s="222">
        <v>120</v>
      </c>
      <c r="AD16" s="222">
        <v>90</v>
      </c>
      <c r="AE16" s="222">
        <v>60</v>
      </c>
      <c r="AF16" s="222">
        <v>40</v>
      </c>
      <c r="AG16" s="222">
        <v>25</v>
      </c>
      <c r="AH16" s="222">
        <v>15</v>
      </c>
      <c r="AI16" s="219"/>
      <c r="AJ16" s="219"/>
      <c r="AK16" s="219"/>
      <c r="AL16" s="264"/>
      <c r="AM16" s="264"/>
      <c r="AN16" s="264"/>
      <c r="AO16" s="264"/>
      <c r="AP16" s="264"/>
      <c r="AQ16" s="264"/>
      <c r="AR16" s="264"/>
      <c r="AS16" s="264"/>
    </row>
    <row r="17" spans="1:45" s="266" customFormat="1" ht="13.05" customHeight="1" x14ac:dyDescent="0.25">
      <c r="A17" s="267">
        <v>6</v>
      </c>
      <c r="B17" s="254" t="str">
        <f>IF($E17="","",VLOOKUP($E17,'[10]1MD ELO'!$A$7:$O$22,14))</f>
        <v/>
      </c>
      <c r="C17" s="255" t="str">
        <f>IF($E17="","",VLOOKUP($E17,'[10]1MD ELO'!$A$7:$O$22,15))</f>
        <v/>
      </c>
      <c r="D17" s="255" t="str">
        <f>IF($E17="","",VLOOKUP($E17,'[10]1MD ELO'!$A$7:$O$22,5))</f>
        <v/>
      </c>
      <c r="E17" s="277"/>
      <c r="F17" s="278"/>
      <c r="G17" s="278"/>
      <c r="H17" s="278"/>
      <c r="I17" s="278" t="str">
        <f>IF($E17="","",VLOOKUP($E17,'[10]1MD ELO'!$A$7:$O$22,4))</f>
        <v/>
      </c>
      <c r="J17" s="279"/>
      <c r="K17" s="259"/>
      <c r="L17" s="280"/>
      <c r="M17" s="259"/>
      <c r="N17" s="288"/>
      <c r="O17" s="285"/>
      <c r="P17" s="285"/>
      <c r="Q17" s="262"/>
      <c r="R17" s="263"/>
      <c r="S17" s="264"/>
      <c r="T17" s="264"/>
      <c r="U17" s="264"/>
      <c r="V17" s="264"/>
      <c r="W17" s="264"/>
      <c r="X17" s="264"/>
      <c r="Y17" s="221"/>
      <c r="Z17" s="221"/>
      <c r="AA17" s="221" t="s">
        <v>67</v>
      </c>
      <c r="AB17" s="222">
        <v>120</v>
      </c>
      <c r="AC17" s="222">
        <v>90</v>
      </c>
      <c r="AD17" s="222">
        <v>60</v>
      </c>
      <c r="AE17" s="222">
        <v>40</v>
      </c>
      <c r="AF17" s="222">
        <v>25</v>
      </c>
      <c r="AG17" s="222">
        <v>15</v>
      </c>
      <c r="AH17" s="222">
        <v>8</v>
      </c>
      <c r="AI17" s="219"/>
      <c r="AJ17" s="219"/>
      <c r="AK17" s="219"/>
      <c r="AL17" s="264"/>
      <c r="AM17" s="264"/>
      <c r="AN17" s="264"/>
      <c r="AO17" s="264"/>
      <c r="AP17" s="264"/>
      <c r="AQ17" s="264"/>
      <c r="AR17" s="264"/>
      <c r="AS17" s="264"/>
    </row>
    <row r="18" spans="1:45" s="266" customFormat="1" ht="13.05" customHeight="1" x14ac:dyDescent="0.25">
      <c r="A18" s="267"/>
      <c r="B18" s="268"/>
      <c r="C18" s="269"/>
      <c r="D18" s="269"/>
      <c r="E18" s="281"/>
      <c r="F18" s="271"/>
      <c r="G18" s="271"/>
      <c r="H18" s="272"/>
      <c r="I18" s="271"/>
      <c r="J18" s="282"/>
      <c r="K18" s="273" t="s">
        <v>99</v>
      </c>
      <c r="L18" s="283"/>
      <c r="M18" s="275"/>
      <c r="N18" s="294"/>
      <c r="O18" s="285"/>
      <c r="P18" s="285"/>
      <c r="Q18" s="262"/>
      <c r="R18" s="263"/>
      <c r="S18" s="264"/>
      <c r="T18" s="264"/>
      <c r="U18" s="264"/>
      <c r="V18" s="264"/>
      <c r="W18" s="264"/>
      <c r="X18" s="264"/>
      <c r="Y18" s="221"/>
      <c r="Z18" s="221"/>
      <c r="AA18" s="221" t="s">
        <v>68</v>
      </c>
      <c r="AB18" s="222">
        <v>90</v>
      </c>
      <c r="AC18" s="222">
        <v>60</v>
      </c>
      <c r="AD18" s="222">
        <v>40</v>
      </c>
      <c r="AE18" s="222">
        <v>25</v>
      </c>
      <c r="AF18" s="222">
        <v>15</v>
      </c>
      <c r="AG18" s="222">
        <v>8</v>
      </c>
      <c r="AH18" s="222">
        <v>4</v>
      </c>
      <c r="AI18" s="219"/>
      <c r="AJ18" s="219"/>
      <c r="AK18" s="219"/>
      <c r="AL18" s="264"/>
      <c r="AM18" s="264"/>
      <c r="AN18" s="264"/>
      <c r="AO18" s="264"/>
      <c r="AP18" s="264"/>
      <c r="AQ18" s="264"/>
      <c r="AR18" s="264"/>
      <c r="AS18" s="264"/>
    </row>
    <row r="19" spans="1:45" s="266" customFormat="1" ht="13.05" customHeight="1" x14ac:dyDescent="0.25">
      <c r="A19" s="267">
        <v>7</v>
      </c>
      <c r="B19" s="254" t="str">
        <f>IF($E19="","",VLOOKUP($E19,'[10]1MD ELO'!$A$7:$O$22,14))</f>
        <v/>
      </c>
      <c r="C19" s="255" t="str">
        <f>IF($E19="","",VLOOKUP($E19,'[10]1MD ELO'!$A$7:$O$22,15))</f>
        <v/>
      </c>
      <c r="D19" s="255" t="str">
        <f>IF($E19="","",VLOOKUP($E19,'[10]1MD ELO'!$A$7:$O$22,5))</f>
        <v/>
      </c>
      <c r="E19" s="277"/>
      <c r="F19" s="278"/>
      <c r="G19" s="278"/>
      <c r="H19" s="278"/>
      <c r="I19" s="278" t="str">
        <f>IF($E19="","",VLOOKUP($E19,'[10]1MD ELO'!$A$7:$O$22,4))</f>
        <v/>
      </c>
      <c r="J19" s="258"/>
      <c r="K19" s="259"/>
      <c r="L19" s="286"/>
      <c r="M19" s="259"/>
      <c r="N19" s="285"/>
      <c r="O19" s="285"/>
      <c r="P19" s="285"/>
      <c r="Q19" s="262"/>
      <c r="R19" s="263"/>
      <c r="S19" s="264"/>
      <c r="T19" s="264"/>
      <c r="U19" s="264"/>
      <c r="V19" s="264"/>
      <c r="W19" s="264"/>
      <c r="X19" s="264"/>
      <c r="Y19" s="221"/>
      <c r="Z19" s="221"/>
      <c r="AA19" s="221" t="s">
        <v>69</v>
      </c>
      <c r="AB19" s="222">
        <v>60</v>
      </c>
      <c r="AC19" s="222">
        <v>40</v>
      </c>
      <c r="AD19" s="222">
        <v>25</v>
      </c>
      <c r="AE19" s="222">
        <v>15</v>
      </c>
      <c r="AF19" s="222">
        <v>8</v>
      </c>
      <c r="AG19" s="222">
        <v>4</v>
      </c>
      <c r="AH19" s="222">
        <v>2</v>
      </c>
      <c r="AI19" s="219"/>
      <c r="AJ19" s="219"/>
      <c r="AK19" s="219"/>
      <c r="AL19" s="264"/>
      <c r="AM19" s="264"/>
      <c r="AN19" s="264"/>
      <c r="AO19" s="264"/>
      <c r="AP19" s="264"/>
      <c r="AQ19" s="264"/>
      <c r="AR19" s="264"/>
      <c r="AS19" s="264"/>
    </row>
    <row r="20" spans="1:45" s="266" customFormat="1" ht="13.05" customHeight="1" x14ac:dyDescent="0.25">
      <c r="A20" s="267"/>
      <c r="B20" s="268"/>
      <c r="C20" s="269"/>
      <c r="D20" s="269"/>
      <c r="E20" s="270"/>
      <c r="F20" s="271"/>
      <c r="G20" s="271"/>
      <c r="H20" s="272"/>
      <c r="I20" s="273" t="s">
        <v>99</v>
      </c>
      <c r="J20" s="274"/>
      <c r="K20" s="275" t="str">
        <f>UPPER(IF(OR(J20="a",J20="as"),F19,IF(OR(J20="b",J20="bs"),F21,)))</f>
        <v/>
      </c>
      <c r="L20" s="289"/>
      <c r="M20" s="259"/>
      <c r="N20" s="285"/>
      <c r="O20" s="285"/>
      <c r="P20" s="285"/>
      <c r="Q20" s="262"/>
      <c r="R20" s="263"/>
      <c r="S20" s="264"/>
      <c r="T20" s="264"/>
      <c r="U20" s="264"/>
      <c r="V20" s="264"/>
      <c r="W20" s="264"/>
      <c r="X20" s="264"/>
      <c r="Y20" s="221"/>
      <c r="Z20" s="221"/>
      <c r="AA20" s="221" t="s">
        <v>70</v>
      </c>
      <c r="AB20" s="222">
        <v>40</v>
      </c>
      <c r="AC20" s="222">
        <v>25</v>
      </c>
      <c r="AD20" s="222">
        <v>15</v>
      </c>
      <c r="AE20" s="222">
        <v>8</v>
      </c>
      <c r="AF20" s="222">
        <v>4</v>
      </c>
      <c r="AG20" s="222">
        <v>2</v>
      </c>
      <c r="AH20" s="222">
        <v>1</v>
      </c>
      <c r="AI20" s="219"/>
      <c r="AJ20" s="219"/>
      <c r="AK20" s="219"/>
      <c r="AL20" s="264"/>
      <c r="AM20" s="264"/>
      <c r="AN20" s="264"/>
      <c r="AO20" s="264"/>
      <c r="AP20" s="264"/>
      <c r="AQ20" s="264"/>
      <c r="AR20" s="264"/>
      <c r="AS20" s="264"/>
    </row>
    <row r="21" spans="1:45" s="266" customFormat="1" ht="13.05" customHeight="1" x14ac:dyDescent="0.25">
      <c r="A21" s="295">
        <v>8</v>
      </c>
      <c r="B21" s="254" t="str">
        <f>IF($E21="","",VLOOKUP($E21,'[10]1MD ELO'!$A$7:$O$22,14))</f>
        <v/>
      </c>
      <c r="C21" s="255" t="str">
        <f>IF($E21="","",VLOOKUP($E21,'[10]1MD ELO'!$A$7:$O$22,15))</f>
        <v/>
      </c>
      <c r="D21" s="255" t="str">
        <f>IF($E21="","",VLOOKUP($E21,'[10]1MD ELO'!$A$7:$O$22,5))</f>
        <v/>
      </c>
      <c r="E21" s="256"/>
      <c r="F21" s="296"/>
      <c r="G21" s="296"/>
      <c r="H21" s="296"/>
      <c r="I21" s="296" t="str">
        <f>IF($E21="","",VLOOKUP($E21,'[10]1MD ELO'!$A$7:$O$22,4))</f>
        <v/>
      </c>
      <c r="J21" s="290"/>
      <c r="K21" s="259"/>
      <c r="L21" s="259"/>
      <c r="M21" s="259"/>
      <c r="N21" s="285"/>
      <c r="O21" s="285"/>
      <c r="P21" s="285"/>
      <c r="Q21" s="262"/>
      <c r="R21" s="263"/>
      <c r="S21" s="264"/>
      <c r="T21" s="264"/>
      <c r="U21" s="264"/>
      <c r="V21" s="264"/>
      <c r="W21" s="264"/>
      <c r="X21" s="264"/>
      <c r="Y21" s="221"/>
      <c r="Z21" s="221"/>
      <c r="AA21" s="221" t="s">
        <v>71</v>
      </c>
      <c r="AB21" s="222">
        <v>25</v>
      </c>
      <c r="AC21" s="222">
        <v>15</v>
      </c>
      <c r="AD21" s="222">
        <v>10</v>
      </c>
      <c r="AE21" s="222">
        <v>6</v>
      </c>
      <c r="AF21" s="222">
        <v>3</v>
      </c>
      <c r="AG21" s="222">
        <v>1</v>
      </c>
      <c r="AH21" s="222">
        <v>0</v>
      </c>
      <c r="AI21" s="219"/>
      <c r="AJ21" s="219"/>
      <c r="AK21" s="219"/>
      <c r="AL21" s="264"/>
      <c r="AM21" s="264"/>
      <c r="AN21" s="264"/>
      <c r="AO21" s="264"/>
      <c r="AP21" s="264"/>
      <c r="AQ21" s="264"/>
      <c r="AR21" s="264"/>
      <c r="AS21" s="264"/>
    </row>
    <row r="22" spans="1:45" s="266" customFormat="1" ht="9.4499999999999993" customHeight="1" x14ac:dyDescent="0.25">
      <c r="A22" s="297"/>
      <c r="B22" s="260"/>
      <c r="C22" s="260"/>
      <c r="D22" s="260"/>
      <c r="E22" s="270"/>
      <c r="F22" s="260"/>
      <c r="G22" s="260"/>
      <c r="H22" s="260"/>
      <c r="I22" s="260"/>
      <c r="J22" s="270"/>
      <c r="K22" s="260"/>
      <c r="L22" s="260"/>
      <c r="M22" s="260"/>
      <c r="N22" s="262"/>
      <c r="O22" s="262"/>
      <c r="P22" s="262"/>
      <c r="Q22" s="262"/>
      <c r="R22" s="263"/>
      <c r="S22" s="264"/>
      <c r="T22" s="264"/>
      <c r="U22" s="264"/>
      <c r="V22" s="264"/>
      <c r="W22" s="264"/>
      <c r="X22" s="264"/>
      <c r="Y22" s="221"/>
      <c r="Z22" s="221"/>
      <c r="AA22" s="221" t="s">
        <v>72</v>
      </c>
      <c r="AB22" s="222">
        <v>15</v>
      </c>
      <c r="AC22" s="222">
        <v>10</v>
      </c>
      <c r="AD22" s="222">
        <v>6</v>
      </c>
      <c r="AE22" s="222">
        <v>3</v>
      </c>
      <c r="AF22" s="222">
        <v>1</v>
      </c>
      <c r="AG22" s="222">
        <v>0</v>
      </c>
      <c r="AH22" s="222">
        <v>0</v>
      </c>
      <c r="AI22" s="219"/>
      <c r="AJ22" s="219"/>
      <c r="AK22" s="219"/>
      <c r="AL22" s="264"/>
      <c r="AM22" s="264"/>
      <c r="AN22" s="264"/>
      <c r="AO22" s="264"/>
      <c r="AP22" s="264"/>
      <c r="AQ22" s="264"/>
      <c r="AR22" s="264"/>
      <c r="AS22" s="264"/>
    </row>
    <row r="23" spans="1:45" s="266" customFormat="1" ht="9.4499999999999993" customHeight="1" x14ac:dyDescent="0.25">
      <c r="A23" s="298"/>
      <c r="B23" s="270"/>
      <c r="C23" s="270"/>
      <c r="D23" s="270"/>
      <c r="E23" s="270"/>
      <c r="F23" s="260"/>
      <c r="G23" s="260"/>
      <c r="H23" s="264"/>
      <c r="I23" s="299"/>
      <c r="J23" s="270"/>
      <c r="K23" s="260"/>
      <c r="L23" s="260"/>
      <c r="M23" s="260"/>
      <c r="N23" s="262"/>
      <c r="O23" s="262"/>
      <c r="P23" s="262"/>
      <c r="Q23" s="262"/>
      <c r="R23" s="263"/>
      <c r="S23" s="264"/>
      <c r="T23" s="264"/>
      <c r="U23" s="264"/>
      <c r="V23" s="264"/>
      <c r="W23" s="264"/>
      <c r="X23" s="264"/>
      <c r="Y23" s="221"/>
      <c r="Z23" s="221"/>
      <c r="AA23" s="221" t="s">
        <v>73</v>
      </c>
      <c r="AB23" s="222">
        <v>10</v>
      </c>
      <c r="AC23" s="222">
        <v>6</v>
      </c>
      <c r="AD23" s="222">
        <v>3</v>
      </c>
      <c r="AE23" s="222">
        <v>1</v>
      </c>
      <c r="AF23" s="222">
        <v>0</v>
      </c>
      <c r="AG23" s="222">
        <v>0</v>
      </c>
      <c r="AH23" s="222">
        <v>0</v>
      </c>
      <c r="AI23" s="219"/>
      <c r="AJ23" s="219"/>
      <c r="AK23" s="219"/>
      <c r="AL23" s="264"/>
      <c r="AM23" s="264"/>
      <c r="AN23" s="264"/>
      <c r="AO23" s="264"/>
      <c r="AP23" s="264"/>
      <c r="AQ23" s="264"/>
      <c r="AR23" s="264"/>
      <c r="AS23" s="264"/>
    </row>
    <row r="24" spans="1:45" s="266" customFormat="1" ht="9.4499999999999993" customHeight="1" x14ac:dyDescent="0.25">
      <c r="A24" s="298"/>
      <c r="B24" s="260"/>
      <c r="C24" s="260"/>
      <c r="D24" s="260"/>
      <c r="E24" s="270"/>
      <c r="F24" s="260"/>
      <c r="G24" s="260"/>
      <c r="H24" s="260"/>
      <c r="I24" s="260"/>
      <c r="J24" s="270"/>
      <c r="K24" s="260"/>
      <c r="L24" s="300"/>
      <c r="M24" s="260"/>
      <c r="N24" s="262"/>
      <c r="O24" s="262"/>
      <c r="P24" s="262"/>
      <c r="Q24" s="262"/>
      <c r="R24" s="263"/>
      <c r="S24" s="264"/>
      <c r="T24" s="264"/>
      <c r="U24" s="264"/>
      <c r="V24" s="264"/>
      <c r="W24" s="264"/>
      <c r="X24" s="264"/>
      <c r="Y24" s="221"/>
      <c r="Z24" s="221"/>
      <c r="AA24" s="221" t="s">
        <v>74</v>
      </c>
      <c r="AB24" s="222">
        <v>6</v>
      </c>
      <c r="AC24" s="222">
        <v>3</v>
      </c>
      <c r="AD24" s="222">
        <v>1</v>
      </c>
      <c r="AE24" s="222">
        <v>0</v>
      </c>
      <c r="AF24" s="222">
        <v>0</v>
      </c>
      <c r="AG24" s="222">
        <v>0</v>
      </c>
      <c r="AH24" s="222">
        <v>0</v>
      </c>
      <c r="AI24" s="219"/>
      <c r="AJ24" s="219"/>
      <c r="AK24" s="219"/>
      <c r="AL24" s="264"/>
      <c r="AM24" s="264"/>
      <c r="AN24" s="264"/>
      <c r="AO24" s="264"/>
      <c r="AP24" s="264"/>
      <c r="AQ24" s="264"/>
      <c r="AR24" s="264"/>
      <c r="AS24" s="264"/>
    </row>
    <row r="25" spans="1:45" s="266" customFormat="1" ht="9.4499999999999993" customHeight="1" x14ac:dyDescent="0.25">
      <c r="A25" s="298"/>
      <c r="B25" s="270"/>
      <c r="C25" s="270"/>
      <c r="D25" s="270"/>
      <c r="E25" s="270"/>
      <c r="F25" s="260"/>
      <c r="G25" s="260"/>
      <c r="H25" s="264"/>
      <c r="I25" s="260"/>
      <c r="J25" s="270"/>
      <c r="K25" s="299"/>
      <c r="L25" s="270"/>
      <c r="M25" s="260"/>
      <c r="N25" s="262"/>
      <c r="O25" s="262"/>
      <c r="P25" s="262"/>
      <c r="Q25" s="262"/>
      <c r="R25" s="263"/>
      <c r="S25" s="264"/>
      <c r="T25" s="264"/>
      <c r="U25" s="264"/>
      <c r="V25" s="264"/>
      <c r="W25" s="264"/>
      <c r="X25" s="264"/>
      <c r="Y25" s="221"/>
      <c r="Z25" s="221"/>
      <c r="AA25" s="221" t="s">
        <v>79</v>
      </c>
      <c r="AB25" s="222">
        <v>3</v>
      </c>
      <c r="AC25" s="222">
        <v>2</v>
      </c>
      <c r="AD25" s="222">
        <v>1</v>
      </c>
      <c r="AE25" s="222">
        <v>0</v>
      </c>
      <c r="AF25" s="222">
        <v>0</v>
      </c>
      <c r="AG25" s="222">
        <v>0</v>
      </c>
      <c r="AH25" s="222">
        <v>0</v>
      </c>
      <c r="AI25" s="219"/>
      <c r="AJ25" s="219"/>
      <c r="AK25" s="219"/>
      <c r="AL25" s="264"/>
      <c r="AM25" s="264"/>
      <c r="AN25" s="264"/>
      <c r="AO25" s="264"/>
      <c r="AP25" s="264"/>
      <c r="AQ25" s="264"/>
      <c r="AR25" s="264"/>
      <c r="AS25" s="264"/>
    </row>
    <row r="26" spans="1:45" s="266" customFormat="1" ht="9.4499999999999993" customHeight="1" x14ac:dyDescent="0.25">
      <c r="A26" s="298"/>
      <c r="B26" s="260"/>
      <c r="C26" s="260"/>
      <c r="D26" s="260"/>
      <c r="E26" s="270"/>
      <c r="F26" s="260"/>
      <c r="G26" s="260"/>
      <c r="H26" s="260"/>
      <c r="I26" s="260"/>
      <c r="J26" s="270"/>
      <c r="K26" s="260"/>
      <c r="L26" s="260"/>
      <c r="M26" s="260"/>
      <c r="N26" s="262"/>
      <c r="O26" s="262"/>
      <c r="P26" s="262"/>
      <c r="Q26" s="262"/>
      <c r="R26" s="263"/>
      <c r="S26" s="301"/>
      <c r="T26" s="264"/>
      <c r="U26" s="264"/>
      <c r="V26" s="264"/>
      <c r="W26" s="264"/>
      <c r="X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19"/>
      <c r="AJ26" s="219"/>
      <c r="AK26" s="219"/>
      <c r="AL26" s="264"/>
      <c r="AM26" s="264"/>
      <c r="AN26" s="264"/>
      <c r="AO26" s="264"/>
      <c r="AP26" s="264"/>
      <c r="AQ26" s="264"/>
      <c r="AR26" s="264"/>
      <c r="AS26" s="264"/>
    </row>
    <row r="27" spans="1:45" s="266" customFormat="1" ht="9.4499999999999993" customHeight="1" x14ac:dyDescent="0.25">
      <c r="A27" s="298"/>
      <c r="B27" s="270"/>
      <c r="C27" s="270"/>
      <c r="D27" s="270"/>
      <c r="E27" s="270"/>
      <c r="F27" s="260"/>
      <c r="G27" s="260"/>
      <c r="H27" s="264"/>
      <c r="I27" s="299"/>
      <c r="J27" s="270"/>
      <c r="K27" s="260"/>
      <c r="L27" s="260"/>
      <c r="M27" s="260"/>
      <c r="N27" s="262"/>
      <c r="O27" s="262"/>
      <c r="P27" s="262"/>
      <c r="Q27" s="262"/>
      <c r="R27" s="263"/>
      <c r="S27" s="264"/>
      <c r="T27" s="264"/>
      <c r="U27" s="264"/>
      <c r="V27" s="264"/>
      <c r="W27" s="264"/>
      <c r="X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19"/>
      <c r="AJ27" s="219"/>
      <c r="AK27" s="219"/>
      <c r="AL27" s="264"/>
      <c r="AM27" s="264"/>
      <c r="AN27" s="264"/>
      <c r="AO27" s="264"/>
      <c r="AP27" s="264"/>
      <c r="AQ27" s="264"/>
      <c r="AR27" s="264"/>
      <c r="AS27" s="264"/>
    </row>
    <row r="28" spans="1:45" s="266" customFormat="1" ht="9.4499999999999993" customHeight="1" x14ac:dyDescent="0.25">
      <c r="A28" s="298"/>
      <c r="B28" s="260"/>
      <c r="C28" s="260"/>
      <c r="D28" s="260"/>
      <c r="E28" s="270"/>
      <c r="F28" s="260"/>
      <c r="G28" s="260"/>
      <c r="H28" s="260"/>
      <c r="I28" s="260"/>
      <c r="J28" s="270"/>
      <c r="K28" s="260"/>
      <c r="L28" s="260"/>
      <c r="M28" s="260"/>
      <c r="N28" s="262"/>
      <c r="O28" s="262"/>
      <c r="P28" s="262"/>
      <c r="Q28" s="262"/>
      <c r="R28" s="263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</row>
    <row r="29" spans="1:45" s="266" customFormat="1" ht="9.4499999999999993" customHeight="1" x14ac:dyDescent="0.25">
      <c r="A29" s="298"/>
      <c r="B29" s="270"/>
      <c r="C29" s="270"/>
      <c r="D29" s="270"/>
      <c r="E29" s="270"/>
      <c r="F29" s="260"/>
      <c r="G29" s="260"/>
      <c r="H29" s="264"/>
      <c r="I29" s="260"/>
      <c r="J29" s="270"/>
      <c r="K29" s="260"/>
      <c r="L29" s="260"/>
      <c r="M29" s="299"/>
      <c r="N29" s="270"/>
      <c r="O29" s="260"/>
      <c r="P29" s="262"/>
      <c r="Q29" s="262"/>
      <c r="R29" s="263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</row>
    <row r="30" spans="1:45" s="266" customFormat="1" ht="9.4499999999999993" customHeight="1" x14ac:dyDescent="0.25">
      <c r="A30" s="298"/>
      <c r="B30" s="260"/>
      <c r="C30" s="260"/>
      <c r="D30" s="260"/>
      <c r="E30" s="270"/>
      <c r="F30" s="260"/>
      <c r="G30" s="260"/>
      <c r="H30" s="260"/>
      <c r="I30" s="260"/>
      <c r="J30" s="270"/>
      <c r="K30" s="260"/>
      <c r="L30" s="260"/>
      <c r="M30" s="260"/>
      <c r="N30" s="262"/>
      <c r="O30" s="260"/>
      <c r="P30" s="262"/>
      <c r="Q30" s="262"/>
      <c r="R30" s="263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</row>
    <row r="31" spans="1:45" s="266" customFormat="1" ht="9.4499999999999993" customHeight="1" x14ac:dyDescent="0.25">
      <c r="A31" s="298"/>
      <c r="B31" s="270"/>
      <c r="C31" s="270"/>
      <c r="D31" s="270"/>
      <c r="E31" s="270"/>
      <c r="F31" s="260"/>
      <c r="G31" s="260"/>
      <c r="H31" s="264"/>
      <c r="I31" s="299"/>
      <c r="J31" s="270"/>
      <c r="K31" s="260"/>
      <c r="L31" s="260"/>
      <c r="M31" s="260"/>
      <c r="N31" s="262"/>
      <c r="O31" s="262"/>
      <c r="P31" s="262"/>
      <c r="Q31" s="262"/>
      <c r="R31" s="263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</row>
    <row r="32" spans="1:45" s="266" customFormat="1" ht="9.4499999999999993" customHeight="1" x14ac:dyDescent="0.25">
      <c r="A32" s="298"/>
      <c r="B32" s="260"/>
      <c r="C32" s="260"/>
      <c r="D32" s="260"/>
      <c r="E32" s="270"/>
      <c r="F32" s="260"/>
      <c r="G32" s="260"/>
      <c r="H32" s="260"/>
      <c r="I32" s="260"/>
      <c r="J32" s="270"/>
      <c r="K32" s="260"/>
      <c r="L32" s="300"/>
      <c r="M32" s="260"/>
      <c r="N32" s="262"/>
      <c r="O32" s="262"/>
      <c r="P32" s="262"/>
      <c r="Q32" s="262"/>
      <c r="R32" s="263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</row>
    <row r="33" spans="1:45" s="266" customFormat="1" ht="9.4499999999999993" customHeight="1" x14ac:dyDescent="0.25">
      <c r="A33" s="298"/>
      <c r="B33" s="270"/>
      <c r="C33" s="270"/>
      <c r="D33" s="270"/>
      <c r="E33" s="270"/>
      <c r="F33" s="260"/>
      <c r="G33" s="260"/>
      <c r="H33" s="264"/>
      <c r="I33" s="260"/>
      <c r="J33" s="270"/>
      <c r="K33" s="299"/>
      <c r="L33" s="270"/>
      <c r="M33" s="260"/>
      <c r="N33" s="262"/>
      <c r="O33" s="262"/>
      <c r="P33" s="262"/>
      <c r="Q33" s="262"/>
      <c r="R33" s="26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</row>
    <row r="34" spans="1:45" s="266" customFormat="1" ht="9.4499999999999993" customHeight="1" x14ac:dyDescent="0.25">
      <c r="A34" s="298"/>
      <c r="B34" s="260"/>
      <c r="C34" s="260"/>
      <c r="D34" s="260"/>
      <c r="E34" s="270"/>
      <c r="F34" s="260"/>
      <c r="G34" s="260"/>
      <c r="H34" s="260"/>
      <c r="I34" s="260"/>
      <c r="J34" s="270"/>
      <c r="K34" s="260"/>
      <c r="L34" s="260"/>
      <c r="M34" s="260"/>
      <c r="N34" s="262"/>
      <c r="O34" s="262"/>
      <c r="P34" s="262"/>
      <c r="Q34" s="262"/>
      <c r="R34" s="263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</row>
    <row r="35" spans="1:45" s="266" customFormat="1" ht="9.4499999999999993" customHeight="1" x14ac:dyDescent="0.25">
      <c r="A35" s="298"/>
      <c r="B35" s="270"/>
      <c r="C35" s="270"/>
      <c r="D35" s="270"/>
      <c r="E35" s="270"/>
      <c r="F35" s="260"/>
      <c r="G35" s="260"/>
      <c r="H35" s="264"/>
      <c r="I35" s="299"/>
      <c r="J35" s="270"/>
      <c r="K35" s="260"/>
      <c r="L35" s="260"/>
      <c r="M35" s="260"/>
      <c r="N35" s="262"/>
      <c r="O35" s="262"/>
      <c r="P35" s="262"/>
      <c r="Q35" s="262"/>
      <c r="R35" s="263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</row>
    <row r="36" spans="1:45" s="266" customFormat="1" ht="9.4499999999999993" customHeight="1" x14ac:dyDescent="0.25">
      <c r="A36" s="297"/>
      <c r="B36" s="260"/>
      <c r="C36" s="260"/>
      <c r="D36" s="260"/>
      <c r="E36" s="270"/>
      <c r="F36" s="260"/>
      <c r="G36" s="260"/>
      <c r="H36" s="260"/>
      <c r="I36" s="260"/>
      <c r="J36" s="270"/>
      <c r="K36" s="260"/>
      <c r="L36" s="260"/>
      <c r="M36" s="260"/>
      <c r="N36" s="260"/>
      <c r="O36" s="260"/>
      <c r="P36" s="260"/>
      <c r="Q36" s="262"/>
      <c r="R36" s="263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</row>
    <row r="37" spans="1:45" s="266" customFormat="1" ht="9.4499999999999993" customHeight="1" x14ac:dyDescent="0.25">
      <c r="A37" s="298"/>
      <c r="B37" s="270"/>
      <c r="C37" s="270"/>
      <c r="D37" s="270"/>
      <c r="E37" s="270"/>
      <c r="F37" s="302"/>
      <c r="G37" s="302"/>
      <c r="H37" s="303"/>
      <c r="I37" s="259"/>
      <c r="J37" s="282"/>
      <c r="K37" s="259"/>
      <c r="L37" s="259"/>
      <c r="M37" s="259"/>
      <c r="N37" s="285"/>
      <c r="O37" s="285"/>
      <c r="P37" s="285"/>
      <c r="Q37" s="262"/>
      <c r="R37" s="263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</row>
    <row r="38" spans="1:45" s="266" customFormat="1" ht="9.4499999999999993" customHeight="1" x14ac:dyDescent="0.25">
      <c r="A38" s="297"/>
      <c r="B38" s="260"/>
      <c r="C38" s="260"/>
      <c r="D38" s="260"/>
      <c r="E38" s="270"/>
      <c r="F38" s="260"/>
      <c r="G38" s="260"/>
      <c r="H38" s="260"/>
      <c r="I38" s="260"/>
      <c r="J38" s="270"/>
      <c r="K38" s="260"/>
      <c r="L38" s="260"/>
      <c r="M38" s="260"/>
      <c r="N38" s="262"/>
      <c r="O38" s="262"/>
      <c r="P38" s="262"/>
      <c r="Q38" s="262"/>
      <c r="R38" s="263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</row>
    <row r="39" spans="1:45" s="266" customFormat="1" ht="9.4499999999999993" customHeight="1" x14ac:dyDescent="0.25">
      <c r="A39" s="298"/>
      <c r="B39" s="270"/>
      <c r="C39" s="270"/>
      <c r="D39" s="270"/>
      <c r="E39" s="270"/>
      <c r="F39" s="260"/>
      <c r="G39" s="260"/>
      <c r="H39" s="264"/>
      <c r="I39" s="299"/>
      <c r="J39" s="270"/>
      <c r="K39" s="260"/>
      <c r="L39" s="260"/>
      <c r="M39" s="260"/>
      <c r="N39" s="262"/>
      <c r="O39" s="262"/>
      <c r="P39" s="262"/>
      <c r="Q39" s="262"/>
      <c r="R39" s="263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</row>
    <row r="40" spans="1:45" s="266" customFormat="1" ht="9.4499999999999993" customHeight="1" x14ac:dyDescent="0.25">
      <c r="A40" s="298"/>
      <c r="B40" s="260"/>
      <c r="C40" s="260"/>
      <c r="D40" s="260"/>
      <c r="E40" s="270"/>
      <c r="F40" s="260"/>
      <c r="G40" s="260"/>
      <c r="H40" s="260"/>
      <c r="I40" s="260"/>
      <c r="J40" s="270"/>
      <c r="K40" s="260"/>
      <c r="L40" s="300"/>
      <c r="M40" s="260"/>
      <c r="N40" s="262"/>
      <c r="O40" s="262"/>
      <c r="P40" s="262"/>
      <c r="Q40" s="262"/>
      <c r="R40" s="263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</row>
    <row r="41" spans="1:45" s="266" customFormat="1" ht="9.4499999999999993" customHeight="1" x14ac:dyDescent="0.25">
      <c r="A41" s="298"/>
      <c r="B41" s="270"/>
      <c r="C41" s="270"/>
      <c r="D41" s="270"/>
      <c r="E41" s="270"/>
      <c r="F41" s="260"/>
      <c r="G41" s="260"/>
      <c r="H41" s="264"/>
      <c r="I41" s="260"/>
      <c r="J41" s="270"/>
      <c r="K41" s="299"/>
      <c r="L41" s="270"/>
      <c r="M41" s="260"/>
      <c r="N41" s="262"/>
      <c r="O41" s="262"/>
      <c r="P41" s="262"/>
      <c r="Q41" s="262"/>
      <c r="R41" s="263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</row>
    <row r="42" spans="1:45" s="266" customFormat="1" ht="9.4499999999999993" customHeight="1" x14ac:dyDescent="0.25">
      <c r="A42" s="298"/>
      <c r="B42" s="260"/>
      <c r="C42" s="260"/>
      <c r="D42" s="260"/>
      <c r="E42" s="270"/>
      <c r="F42" s="260"/>
      <c r="G42" s="260"/>
      <c r="H42" s="260"/>
      <c r="I42" s="260"/>
      <c r="J42" s="270"/>
      <c r="K42" s="260"/>
      <c r="L42" s="260"/>
      <c r="M42" s="260"/>
      <c r="N42" s="262"/>
      <c r="O42" s="262"/>
      <c r="P42" s="262"/>
      <c r="Q42" s="262"/>
      <c r="R42" s="263"/>
      <c r="S42" s="301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</row>
    <row r="43" spans="1:45" s="266" customFormat="1" ht="9.4499999999999993" customHeight="1" x14ac:dyDescent="0.25">
      <c r="A43" s="298"/>
      <c r="B43" s="270"/>
      <c r="C43" s="270"/>
      <c r="D43" s="270"/>
      <c r="E43" s="270"/>
      <c r="F43" s="260"/>
      <c r="G43" s="260"/>
      <c r="H43" s="264"/>
      <c r="I43" s="299"/>
      <c r="J43" s="270"/>
      <c r="K43" s="260"/>
      <c r="L43" s="260"/>
      <c r="M43" s="260"/>
      <c r="N43" s="262"/>
      <c r="O43" s="262"/>
      <c r="P43" s="262"/>
      <c r="Q43" s="262"/>
      <c r="R43" s="263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</row>
    <row r="44" spans="1:45" s="266" customFormat="1" ht="9.4499999999999993" customHeight="1" x14ac:dyDescent="0.25">
      <c r="A44" s="298"/>
      <c r="B44" s="260"/>
      <c r="C44" s="260"/>
      <c r="D44" s="260"/>
      <c r="E44" s="270"/>
      <c r="F44" s="260"/>
      <c r="G44" s="260"/>
      <c r="H44" s="260"/>
      <c r="I44" s="260"/>
      <c r="J44" s="270"/>
      <c r="K44" s="260"/>
      <c r="L44" s="260"/>
      <c r="M44" s="260"/>
      <c r="N44" s="262"/>
      <c r="O44" s="262"/>
      <c r="P44" s="262"/>
      <c r="Q44" s="262"/>
      <c r="R44" s="263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</row>
    <row r="45" spans="1:45" s="266" customFormat="1" ht="9.4499999999999993" customHeight="1" x14ac:dyDescent="0.25">
      <c r="A45" s="298"/>
      <c r="B45" s="270"/>
      <c r="C45" s="270"/>
      <c r="D45" s="270"/>
      <c r="E45" s="270"/>
      <c r="F45" s="260"/>
      <c r="G45" s="260"/>
      <c r="H45" s="264"/>
      <c r="I45" s="260"/>
      <c r="J45" s="270"/>
      <c r="K45" s="260"/>
      <c r="L45" s="260"/>
      <c r="M45" s="299"/>
      <c r="N45" s="270"/>
      <c r="O45" s="260"/>
      <c r="P45" s="262"/>
      <c r="Q45" s="262"/>
      <c r="R45" s="263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</row>
    <row r="46" spans="1:45" s="266" customFormat="1" ht="9.4499999999999993" customHeight="1" x14ac:dyDescent="0.25">
      <c r="A46" s="298"/>
      <c r="B46" s="260"/>
      <c r="C46" s="260"/>
      <c r="D46" s="260"/>
      <c r="E46" s="270"/>
      <c r="F46" s="260"/>
      <c r="G46" s="260"/>
      <c r="H46" s="260"/>
      <c r="I46" s="260"/>
      <c r="J46" s="270"/>
      <c r="K46" s="260"/>
      <c r="L46" s="260"/>
      <c r="M46" s="260"/>
      <c r="N46" s="262"/>
      <c r="O46" s="260"/>
      <c r="P46" s="262"/>
      <c r="Q46" s="262"/>
      <c r="R46" s="263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</row>
    <row r="47" spans="1:45" s="266" customFormat="1" ht="9.4499999999999993" customHeight="1" x14ac:dyDescent="0.25">
      <c r="A47" s="298"/>
      <c r="B47" s="270"/>
      <c r="C47" s="270"/>
      <c r="D47" s="270"/>
      <c r="E47" s="270"/>
      <c r="F47" s="260"/>
      <c r="G47" s="260"/>
      <c r="H47" s="264"/>
      <c r="I47" s="299"/>
      <c r="J47" s="270"/>
      <c r="K47" s="260"/>
      <c r="L47" s="260"/>
      <c r="M47" s="260"/>
      <c r="N47" s="262"/>
      <c r="O47" s="262"/>
      <c r="P47" s="262"/>
      <c r="Q47" s="262"/>
      <c r="R47" s="263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</row>
    <row r="48" spans="1:45" s="266" customFormat="1" ht="9.4499999999999993" customHeight="1" x14ac:dyDescent="0.25">
      <c r="A48" s="298"/>
      <c r="B48" s="260"/>
      <c r="C48" s="260"/>
      <c r="D48" s="260"/>
      <c r="E48" s="270"/>
      <c r="F48" s="260"/>
      <c r="G48" s="260"/>
      <c r="H48" s="260"/>
      <c r="I48" s="260"/>
      <c r="J48" s="270"/>
      <c r="K48" s="260"/>
      <c r="L48" s="300"/>
      <c r="M48" s="260"/>
      <c r="N48" s="262"/>
      <c r="O48" s="262"/>
      <c r="P48" s="262"/>
      <c r="Q48" s="262"/>
      <c r="R48" s="263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</row>
    <row r="49" spans="1:45" s="266" customFormat="1" ht="9.4499999999999993" customHeight="1" x14ac:dyDescent="0.25">
      <c r="A49" s="298"/>
      <c r="B49" s="270"/>
      <c r="C49" s="270"/>
      <c r="D49" s="270"/>
      <c r="E49" s="270"/>
      <c r="F49" s="260"/>
      <c r="G49" s="260"/>
      <c r="H49" s="264"/>
      <c r="I49" s="260"/>
      <c r="J49" s="270"/>
      <c r="K49" s="299"/>
      <c r="L49" s="270"/>
      <c r="M49" s="260"/>
      <c r="N49" s="262"/>
      <c r="O49" s="262"/>
      <c r="P49" s="262"/>
      <c r="Q49" s="262"/>
      <c r="R49" s="263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</row>
    <row r="50" spans="1:45" s="266" customFormat="1" ht="9.4499999999999993" customHeight="1" x14ac:dyDescent="0.25">
      <c r="A50" s="298"/>
      <c r="B50" s="260"/>
      <c r="C50" s="260"/>
      <c r="D50" s="260"/>
      <c r="E50" s="270"/>
      <c r="F50" s="260"/>
      <c r="G50" s="260"/>
      <c r="H50" s="260"/>
      <c r="I50" s="260"/>
      <c r="J50" s="270"/>
      <c r="K50" s="260"/>
      <c r="L50" s="260"/>
      <c r="M50" s="260"/>
      <c r="N50" s="262"/>
      <c r="O50" s="262"/>
      <c r="P50" s="262"/>
      <c r="Q50" s="262"/>
      <c r="R50" s="263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</row>
    <row r="51" spans="1:45" s="266" customFormat="1" ht="9.4499999999999993" customHeight="1" x14ac:dyDescent="0.25">
      <c r="A51" s="298"/>
      <c r="B51" s="270"/>
      <c r="C51" s="270"/>
      <c r="D51" s="270"/>
      <c r="E51" s="270"/>
      <c r="F51" s="260"/>
      <c r="G51" s="260"/>
      <c r="H51" s="264"/>
      <c r="I51" s="299"/>
      <c r="J51" s="270"/>
      <c r="K51" s="260"/>
      <c r="L51" s="260"/>
      <c r="M51" s="260"/>
      <c r="N51" s="262"/>
      <c r="O51" s="262"/>
      <c r="P51" s="262"/>
      <c r="Q51" s="262"/>
      <c r="R51" s="263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</row>
    <row r="52" spans="1:45" s="266" customFormat="1" ht="9.4499999999999993" customHeight="1" x14ac:dyDescent="0.25">
      <c r="A52" s="297"/>
      <c r="B52" s="260"/>
      <c r="C52" s="260"/>
      <c r="D52" s="260"/>
      <c r="E52" s="270"/>
      <c r="F52" s="304"/>
      <c r="G52" s="304"/>
      <c r="H52" s="304"/>
      <c r="I52" s="304"/>
      <c r="J52" s="270"/>
      <c r="K52" s="260"/>
      <c r="L52" s="260"/>
      <c r="M52" s="260"/>
      <c r="N52" s="260"/>
      <c r="O52" s="260"/>
      <c r="P52" s="260"/>
      <c r="Q52" s="262"/>
      <c r="R52" s="263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</row>
    <row r="53" spans="1:45" s="311" customFormat="1" ht="6.75" customHeight="1" x14ac:dyDescent="0.25">
      <c r="A53" s="305"/>
      <c r="B53" s="305"/>
      <c r="C53" s="305"/>
      <c r="D53" s="305"/>
      <c r="E53" s="305"/>
      <c r="F53" s="306"/>
      <c r="G53" s="306"/>
      <c r="H53" s="306"/>
      <c r="I53" s="306"/>
      <c r="J53" s="307"/>
      <c r="K53" s="308"/>
      <c r="L53" s="309"/>
      <c r="M53" s="308"/>
      <c r="N53" s="309"/>
      <c r="O53" s="308"/>
      <c r="P53" s="309"/>
      <c r="Q53" s="308"/>
      <c r="R53" s="309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264"/>
      <c r="AJ53" s="264"/>
      <c r="AK53" s="264"/>
      <c r="AL53" s="310"/>
      <c r="AM53" s="310"/>
      <c r="AN53" s="310"/>
      <c r="AO53" s="310"/>
      <c r="AP53" s="310"/>
      <c r="AQ53" s="310"/>
      <c r="AR53" s="310"/>
      <c r="AS53" s="310"/>
    </row>
    <row r="54" spans="1:45" s="324" customFormat="1" ht="10.5" customHeight="1" x14ac:dyDescent="0.25">
      <c r="A54" s="312" t="s">
        <v>26</v>
      </c>
      <c r="B54" s="313"/>
      <c r="C54" s="313"/>
      <c r="D54" s="314"/>
      <c r="E54" s="315" t="s">
        <v>0</v>
      </c>
      <c r="F54" s="316" t="s">
        <v>28</v>
      </c>
      <c r="G54" s="315"/>
      <c r="H54" s="317"/>
      <c r="I54" s="318"/>
      <c r="J54" s="315" t="s">
        <v>0</v>
      </c>
      <c r="K54" s="316" t="s">
        <v>35</v>
      </c>
      <c r="L54" s="319"/>
      <c r="M54" s="316" t="s">
        <v>36</v>
      </c>
      <c r="N54" s="320"/>
      <c r="O54" s="321" t="s">
        <v>37</v>
      </c>
      <c r="P54" s="321"/>
      <c r="Q54" s="322"/>
      <c r="R54" s="323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6"/>
      <c r="AJ54" s="326"/>
      <c r="AK54" s="326"/>
      <c r="AL54" s="325"/>
      <c r="AM54" s="325"/>
      <c r="AN54" s="325"/>
      <c r="AO54" s="325"/>
      <c r="AP54" s="325"/>
      <c r="AQ54" s="325"/>
      <c r="AR54" s="325"/>
      <c r="AS54" s="325"/>
    </row>
    <row r="55" spans="1:45" s="324" customFormat="1" ht="9" customHeight="1" x14ac:dyDescent="0.25">
      <c r="A55" s="327" t="s">
        <v>27</v>
      </c>
      <c r="B55" s="328"/>
      <c r="C55" s="329"/>
      <c r="D55" s="330"/>
      <c r="E55" s="331">
        <v>1</v>
      </c>
      <c r="F55" s="325" t="str">
        <f>IF(E55&gt;$R$62,,UPPER(VLOOKUP(E55,'[10]1MD ELO'!$A$7:$Q$134,2)))</f>
        <v/>
      </c>
      <c r="G55" s="331"/>
      <c r="H55" s="325"/>
      <c r="I55" s="332"/>
      <c r="J55" s="333" t="s">
        <v>1</v>
      </c>
      <c r="K55" s="334"/>
      <c r="L55" s="335"/>
      <c r="M55" s="334"/>
      <c r="N55" s="336"/>
      <c r="O55" s="337" t="s">
        <v>29</v>
      </c>
      <c r="P55" s="338"/>
      <c r="Q55" s="338"/>
      <c r="R55" s="336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6"/>
      <c r="AJ55" s="326"/>
      <c r="AK55" s="326"/>
      <c r="AL55" s="325"/>
      <c r="AM55" s="325"/>
      <c r="AN55" s="325"/>
      <c r="AO55" s="325"/>
      <c r="AP55" s="325"/>
      <c r="AQ55" s="325"/>
      <c r="AR55" s="325"/>
      <c r="AS55" s="325"/>
    </row>
    <row r="56" spans="1:45" s="324" customFormat="1" ht="9" customHeight="1" x14ac:dyDescent="0.25">
      <c r="A56" s="339" t="s">
        <v>34</v>
      </c>
      <c r="B56" s="340"/>
      <c r="C56" s="341"/>
      <c r="D56" s="342"/>
      <c r="E56" s="331">
        <v>2</v>
      </c>
      <c r="F56" s="325" t="str">
        <f>IF(E56&gt;$R$62,,UPPER(VLOOKUP(E56,'[10]1MD ELO'!$A$7:$Q$134,2)))</f>
        <v/>
      </c>
      <c r="G56" s="331"/>
      <c r="H56" s="325"/>
      <c r="I56" s="332"/>
      <c r="J56" s="333" t="s">
        <v>2</v>
      </c>
      <c r="K56" s="334"/>
      <c r="L56" s="335"/>
      <c r="M56" s="334"/>
      <c r="N56" s="336"/>
      <c r="O56" s="343"/>
      <c r="P56" s="344"/>
      <c r="Q56" s="340"/>
      <c r="R56" s="34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6"/>
      <c r="AJ56" s="326"/>
      <c r="AK56" s="326"/>
      <c r="AL56" s="325"/>
      <c r="AM56" s="325"/>
      <c r="AN56" s="325"/>
      <c r="AO56" s="325"/>
      <c r="AP56" s="325"/>
      <c r="AQ56" s="325"/>
      <c r="AR56" s="325"/>
      <c r="AS56" s="325"/>
    </row>
    <row r="57" spans="1:45" s="324" customFormat="1" ht="9" customHeight="1" x14ac:dyDescent="0.25">
      <c r="A57" s="346"/>
      <c r="B57" s="347"/>
      <c r="C57" s="348"/>
      <c r="D57" s="349"/>
      <c r="E57" s="331"/>
      <c r="F57" s="325"/>
      <c r="G57" s="331"/>
      <c r="H57" s="325"/>
      <c r="I57" s="332"/>
      <c r="J57" s="333" t="s">
        <v>3</v>
      </c>
      <c r="K57" s="334"/>
      <c r="L57" s="335"/>
      <c r="M57" s="334"/>
      <c r="N57" s="336"/>
      <c r="O57" s="337" t="s">
        <v>30</v>
      </c>
      <c r="P57" s="338"/>
      <c r="Q57" s="338"/>
      <c r="R57" s="336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6"/>
      <c r="AJ57" s="326"/>
      <c r="AK57" s="326"/>
      <c r="AL57" s="325"/>
      <c r="AM57" s="325"/>
      <c r="AN57" s="325"/>
      <c r="AO57" s="325"/>
      <c r="AP57" s="325"/>
      <c r="AQ57" s="325"/>
      <c r="AR57" s="325"/>
      <c r="AS57" s="325"/>
    </row>
    <row r="58" spans="1:45" s="324" customFormat="1" ht="9" customHeight="1" x14ac:dyDescent="0.25">
      <c r="A58" s="350"/>
      <c r="B58" s="236"/>
      <c r="C58" s="236"/>
      <c r="D58" s="351"/>
      <c r="E58" s="331"/>
      <c r="F58" s="325"/>
      <c r="G58" s="331"/>
      <c r="H58" s="325"/>
      <c r="I58" s="332"/>
      <c r="J58" s="333" t="s">
        <v>4</v>
      </c>
      <c r="K58" s="334"/>
      <c r="L58" s="335"/>
      <c r="M58" s="334"/>
      <c r="N58" s="336"/>
      <c r="O58" s="334"/>
      <c r="P58" s="335"/>
      <c r="Q58" s="334"/>
      <c r="R58" s="336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6"/>
      <c r="AJ58" s="326"/>
      <c r="AK58" s="326"/>
      <c r="AL58" s="325"/>
      <c r="AM58" s="325"/>
      <c r="AN58" s="325"/>
      <c r="AO58" s="325"/>
      <c r="AP58" s="325"/>
      <c r="AQ58" s="325"/>
      <c r="AR58" s="325"/>
      <c r="AS58" s="325"/>
    </row>
    <row r="59" spans="1:45" s="324" customFormat="1" ht="9" customHeight="1" x14ac:dyDescent="0.25">
      <c r="A59" s="352"/>
      <c r="B59" s="353"/>
      <c r="C59" s="353"/>
      <c r="D59" s="354"/>
      <c r="E59" s="331"/>
      <c r="F59" s="325"/>
      <c r="G59" s="331"/>
      <c r="H59" s="325"/>
      <c r="I59" s="332"/>
      <c r="J59" s="333" t="s">
        <v>5</v>
      </c>
      <c r="K59" s="334"/>
      <c r="L59" s="335"/>
      <c r="M59" s="334"/>
      <c r="N59" s="336"/>
      <c r="O59" s="340"/>
      <c r="P59" s="344"/>
      <c r="Q59" s="340"/>
      <c r="R59" s="34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6"/>
      <c r="AJ59" s="326"/>
      <c r="AK59" s="326"/>
      <c r="AL59" s="325"/>
      <c r="AM59" s="325"/>
      <c r="AN59" s="325"/>
      <c r="AO59" s="325"/>
      <c r="AP59" s="325"/>
      <c r="AQ59" s="325"/>
      <c r="AR59" s="325"/>
      <c r="AS59" s="325"/>
    </row>
    <row r="60" spans="1:45" s="324" customFormat="1" ht="9" customHeight="1" x14ac:dyDescent="0.25">
      <c r="A60" s="355"/>
      <c r="B60" s="356"/>
      <c r="C60" s="236"/>
      <c r="D60" s="351"/>
      <c r="E60" s="331"/>
      <c r="F60" s="325"/>
      <c r="G60" s="331"/>
      <c r="H60" s="325"/>
      <c r="I60" s="332"/>
      <c r="J60" s="333" t="s">
        <v>6</v>
      </c>
      <c r="K60" s="334"/>
      <c r="L60" s="335"/>
      <c r="M60" s="334"/>
      <c r="N60" s="336"/>
      <c r="O60" s="337" t="s">
        <v>25</v>
      </c>
      <c r="P60" s="338"/>
      <c r="Q60" s="338"/>
      <c r="R60" s="336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6"/>
      <c r="AJ60" s="326"/>
      <c r="AK60" s="326"/>
      <c r="AL60" s="325"/>
      <c r="AM60" s="325"/>
      <c r="AN60" s="325"/>
      <c r="AO60" s="325"/>
      <c r="AP60" s="325"/>
      <c r="AQ60" s="325"/>
      <c r="AR60" s="325"/>
      <c r="AS60" s="325"/>
    </row>
    <row r="61" spans="1:45" s="324" customFormat="1" ht="9" customHeight="1" x14ac:dyDescent="0.25">
      <c r="A61" s="355"/>
      <c r="B61" s="356"/>
      <c r="C61" s="357"/>
      <c r="D61" s="358"/>
      <c r="E61" s="331"/>
      <c r="F61" s="325"/>
      <c r="G61" s="331"/>
      <c r="H61" s="325"/>
      <c r="I61" s="332"/>
      <c r="J61" s="333" t="s">
        <v>7</v>
      </c>
      <c r="K61" s="334"/>
      <c r="L61" s="335"/>
      <c r="M61" s="334"/>
      <c r="N61" s="336"/>
      <c r="O61" s="334"/>
      <c r="P61" s="335"/>
      <c r="Q61" s="334"/>
      <c r="R61" s="336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6"/>
      <c r="AJ61" s="326"/>
      <c r="AK61" s="326"/>
      <c r="AL61" s="325"/>
      <c r="AM61" s="325"/>
      <c r="AN61" s="325"/>
      <c r="AO61" s="325"/>
      <c r="AP61" s="325"/>
      <c r="AQ61" s="325"/>
      <c r="AR61" s="325"/>
      <c r="AS61" s="325"/>
    </row>
    <row r="62" spans="1:45" s="324" customFormat="1" ht="9" customHeight="1" x14ac:dyDescent="0.25">
      <c r="A62" s="359"/>
      <c r="B62" s="360"/>
      <c r="C62" s="361"/>
      <c r="D62" s="362"/>
      <c r="E62" s="363"/>
      <c r="F62" s="343"/>
      <c r="G62" s="363"/>
      <c r="H62" s="343"/>
      <c r="I62" s="364"/>
      <c r="J62" s="365" t="s">
        <v>8</v>
      </c>
      <c r="K62" s="340"/>
      <c r="L62" s="344"/>
      <c r="M62" s="340"/>
      <c r="N62" s="345"/>
      <c r="O62" s="340">
        <f>R4</f>
        <v>0</v>
      </c>
      <c r="P62" s="344"/>
      <c r="Q62" s="340"/>
      <c r="R62" s="366">
        <f>MIN(4,'[10]1MD ELO'!Q5)</f>
        <v>4</v>
      </c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6"/>
      <c r="AJ62" s="326"/>
      <c r="AK62" s="326"/>
      <c r="AL62" s="325"/>
      <c r="AM62" s="325"/>
      <c r="AN62" s="325"/>
      <c r="AO62" s="325"/>
      <c r="AP62" s="325"/>
      <c r="AQ62" s="325"/>
      <c r="AR62" s="325"/>
      <c r="AS62" s="325"/>
    </row>
    <row r="63" spans="1:45" x14ac:dyDescent="0.25"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L63" s="369"/>
      <c r="AM63" s="369"/>
      <c r="AN63" s="369"/>
      <c r="AO63" s="369"/>
      <c r="AP63" s="369"/>
      <c r="AQ63" s="369"/>
      <c r="AR63" s="369"/>
      <c r="AS63" s="369"/>
    </row>
    <row r="64" spans="1:45" x14ac:dyDescent="0.25"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L64" s="369"/>
      <c r="AM64" s="369"/>
      <c r="AN64" s="369"/>
      <c r="AO64" s="369"/>
      <c r="AP64" s="369"/>
      <c r="AQ64" s="369"/>
      <c r="AR64" s="369"/>
      <c r="AS64" s="369"/>
    </row>
    <row r="65" spans="20:45" x14ac:dyDescent="0.25"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L65" s="369"/>
      <c r="AM65" s="369"/>
      <c r="AN65" s="369"/>
      <c r="AO65" s="369"/>
      <c r="AP65" s="369"/>
      <c r="AQ65" s="369"/>
      <c r="AR65" s="369"/>
      <c r="AS65" s="369"/>
    </row>
    <row r="66" spans="20:45" x14ac:dyDescent="0.25"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L66" s="369"/>
      <c r="AM66" s="369"/>
      <c r="AN66" s="369"/>
      <c r="AO66" s="369"/>
      <c r="AP66" s="369"/>
      <c r="AQ66" s="369"/>
      <c r="AR66" s="369"/>
      <c r="AS66" s="369"/>
    </row>
    <row r="67" spans="20:45" x14ac:dyDescent="0.25"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L67" s="369"/>
      <c r="AM67" s="369"/>
      <c r="AN67" s="369"/>
      <c r="AO67" s="369"/>
      <c r="AP67" s="369"/>
      <c r="AQ67" s="369"/>
      <c r="AR67" s="369"/>
      <c r="AS67" s="369"/>
    </row>
    <row r="68" spans="20:45" x14ac:dyDescent="0.25"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L68" s="369"/>
      <c r="AM68" s="369"/>
      <c r="AN68" s="369"/>
      <c r="AO68" s="369"/>
      <c r="AP68" s="369"/>
      <c r="AQ68" s="369"/>
      <c r="AR68" s="369"/>
      <c r="AS68" s="369"/>
    </row>
    <row r="69" spans="20:45" x14ac:dyDescent="0.25"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L69" s="369"/>
      <c r="AM69" s="369"/>
      <c r="AN69" s="369"/>
      <c r="AO69" s="369"/>
      <c r="AP69" s="369"/>
      <c r="AQ69" s="369"/>
      <c r="AR69" s="369"/>
      <c r="AS69" s="369"/>
    </row>
    <row r="70" spans="20:45" x14ac:dyDescent="0.25"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L70" s="369"/>
      <c r="AM70" s="369"/>
      <c r="AN70" s="369"/>
      <c r="AO70" s="369"/>
      <c r="AP70" s="369"/>
      <c r="AQ70" s="369"/>
      <c r="AR70" s="369"/>
      <c r="AS70" s="369"/>
    </row>
    <row r="71" spans="20:45" x14ac:dyDescent="0.25"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L71" s="369"/>
      <c r="AM71" s="369"/>
      <c r="AN71" s="369"/>
      <c r="AO71" s="369"/>
      <c r="AP71" s="369"/>
      <c r="AQ71" s="369"/>
      <c r="AR71" s="369"/>
      <c r="AS71" s="369"/>
    </row>
    <row r="72" spans="20:45" x14ac:dyDescent="0.25"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L72" s="369"/>
      <c r="AM72" s="369"/>
      <c r="AN72" s="369"/>
      <c r="AO72" s="369"/>
      <c r="AP72" s="369"/>
      <c r="AQ72" s="369"/>
      <c r="AR72" s="369"/>
      <c r="AS72" s="369"/>
    </row>
    <row r="73" spans="20:45" x14ac:dyDescent="0.25"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L73" s="369"/>
      <c r="AM73" s="369"/>
      <c r="AN73" s="369"/>
      <c r="AO73" s="369"/>
      <c r="AP73" s="369"/>
      <c r="AQ73" s="369"/>
      <c r="AR73" s="369"/>
      <c r="AS73" s="369"/>
    </row>
    <row r="74" spans="20:45" x14ac:dyDescent="0.25"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L74" s="369"/>
      <c r="AM74" s="369"/>
      <c r="AN74" s="369"/>
      <c r="AO74" s="369"/>
      <c r="AP74" s="369"/>
      <c r="AQ74" s="369"/>
      <c r="AR74" s="369"/>
      <c r="AS74" s="369"/>
    </row>
    <row r="75" spans="20:45" x14ac:dyDescent="0.25"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L75" s="369"/>
      <c r="AM75" s="369"/>
      <c r="AN75" s="369"/>
      <c r="AO75" s="369"/>
      <c r="AP75" s="369"/>
      <c r="AQ75" s="369"/>
      <c r="AR75" s="369"/>
      <c r="AS75" s="369"/>
    </row>
    <row r="76" spans="20:45" x14ac:dyDescent="0.25"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L76" s="369"/>
      <c r="AM76" s="369"/>
      <c r="AN76" s="369"/>
      <c r="AO76" s="369"/>
      <c r="AP76" s="369"/>
      <c r="AQ76" s="369"/>
      <c r="AR76" s="369"/>
      <c r="AS76" s="369"/>
    </row>
    <row r="77" spans="20:45" x14ac:dyDescent="0.25"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L77" s="369"/>
      <c r="AM77" s="369"/>
      <c r="AN77" s="369"/>
      <c r="AO77" s="369"/>
      <c r="AP77" s="369"/>
      <c r="AQ77" s="369"/>
      <c r="AR77" s="369"/>
      <c r="AS77" s="369"/>
    </row>
    <row r="78" spans="20:45" x14ac:dyDescent="0.25"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L78" s="369"/>
      <c r="AM78" s="369"/>
      <c r="AN78" s="369"/>
      <c r="AO78" s="369"/>
      <c r="AP78" s="369"/>
      <c r="AQ78" s="369"/>
      <c r="AR78" s="369"/>
      <c r="AS78" s="369"/>
    </row>
    <row r="79" spans="20:45" x14ac:dyDescent="0.25"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L79" s="369"/>
      <c r="AM79" s="369"/>
      <c r="AN79" s="369"/>
      <c r="AO79" s="369"/>
      <c r="AP79" s="369"/>
      <c r="AQ79" s="369"/>
      <c r="AR79" s="369"/>
      <c r="AS79" s="369"/>
    </row>
    <row r="80" spans="20:45" x14ac:dyDescent="0.25"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L80" s="369"/>
      <c r="AM80" s="369"/>
      <c r="AN80" s="369"/>
      <c r="AO80" s="369"/>
      <c r="AP80" s="369"/>
      <c r="AQ80" s="369"/>
      <c r="AR80" s="369"/>
      <c r="AS80" s="369"/>
    </row>
    <row r="81" spans="20:45" x14ac:dyDescent="0.25"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L81" s="369"/>
      <c r="AM81" s="369"/>
      <c r="AN81" s="369"/>
      <c r="AO81" s="369"/>
      <c r="AP81" s="369"/>
      <c r="AQ81" s="369"/>
      <c r="AR81" s="369"/>
      <c r="AS81" s="369"/>
    </row>
    <row r="82" spans="20:45" x14ac:dyDescent="0.25"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L82" s="369"/>
      <c r="AM82" s="369"/>
      <c r="AN82" s="369"/>
      <c r="AO82" s="369"/>
      <c r="AP82" s="369"/>
      <c r="AQ82" s="369"/>
      <c r="AR82" s="369"/>
      <c r="AS82" s="369"/>
    </row>
    <row r="83" spans="20:45" x14ac:dyDescent="0.25"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L83" s="369"/>
      <c r="AM83" s="369"/>
      <c r="AN83" s="369"/>
      <c r="AO83" s="369"/>
      <c r="AP83" s="369"/>
      <c r="AQ83" s="369"/>
      <c r="AR83" s="369"/>
      <c r="AS83" s="369"/>
    </row>
    <row r="84" spans="20:45" x14ac:dyDescent="0.25"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L84" s="369"/>
      <c r="AM84" s="369"/>
      <c r="AN84" s="369"/>
      <c r="AO84" s="369"/>
      <c r="AP84" s="369"/>
      <c r="AQ84" s="369"/>
      <c r="AR84" s="369"/>
      <c r="AS84" s="369"/>
    </row>
    <row r="85" spans="20:45" x14ac:dyDescent="0.25"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L85" s="369"/>
      <c r="AM85" s="369"/>
      <c r="AN85" s="369"/>
      <c r="AO85" s="369"/>
      <c r="AP85" s="369"/>
      <c r="AQ85" s="369"/>
      <c r="AR85" s="369"/>
      <c r="AS85" s="369"/>
    </row>
    <row r="86" spans="20:45" x14ac:dyDescent="0.25"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L86" s="369"/>
      <c r="AM86" s="369"/>
      <c r="AN86" s="369"/>
      <c r="AO86" s="369"/>
      <c r="AP86" s="369"/>
      <c r="AQ86" s="369"/>
      <c r="AR86" s="369"/>
      <c r="AS86" s="369"/>
    </row>
    <row r="87" spans="20:45" x14ac:dyDescent="0.25"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L87" s="369"/>
      <c r="AM87" s="369"/>
      <c r="AN87" s="369"/>
      <c r="AO87" s="369"/>
      <c r="AP87" s="369"/>
      <c r="AQ87" s="369"/>
      <c r="AR87" s="369"/>
      <c r="AS87" s="369"/>
    </row>
    <row r="88" spans="20:45" x14ac:dyDescent="0.25"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L88" s="369"/>
      <c r="AM88" s="369"/>
      <c r="AN88" s="369"/>
      <c r="AO88" s="369"/>
      <c r="AP88" s="369"/>
      <c r="AQ88" s="369"/>
      <c r="AR88" s="369"/>
      <c r="AS88" s="369"/>
    </row>
    <row r="89" spans="20:45" x14ac:dyDescent="0.25"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L89" s="369"/>
      <c r="AM89" s="369"/>
      <c r="AN89" s="369"/>
      <c r="AO89" s="369"/>
      <c r="AP89" s="369"/>
      <c r="AQ89" s="369"/>
      <c r="AR89" s="369"/>
      <c r="AS89" s="369"/>
    </row>
    <row r="90" spans="20:45" x14ac:dyDescent="0.25"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L90" s="369"/>
      <c r="AM90" s="369"/>
      <c r="AN90" s="369"/>
      <c r="AO90" s="369"/>
      <c r="AP90" s="369"/>
      <c r="AQ90" s="369"/>
      <c r="AR90" s="369"/>
      <c r="AS90" s="369"/>
    </row>
    <row r="91" spans="20:45" x14ac:dyDescent="0.25"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L91" s="369"/>
      <c r="AM91" s="369"/>
      <c r="AN91" s="369"/>
      <c r="AO91" s="369"/>
      <c r="AP91" s="369"/>
      <c r="AQ91" s="369"/>
      <c r="AR91" s="369"/>
      <c r="AS91" s="369"/>
    </row>
    <row r="92" spans="20:45" x14ac:dyDescent="0.25"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L92" s="369"/>
      <c r="AM92" s="369"/>
      <c r="AN92" s="369"/>
      <c r="AO92" s="369"/>
      <c r="AP92" s="369"/>
      <c r="AQ92" s="369"/>
      <c r="AR92" s="369"/>
      <c r="AS92" s="369"/>
    </row>
    <row r="93" spans="20:45" x14ac:dyDescent="0.25"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L93" s="369"/>
      <c r="AM93" s="369"/>
      <c r="AN93" s="369"/>
      <c r="AO93" s="369"/>
      <c r="AP93" s="369"/>
      <c r="AQ93" s="369"/>
      <c r="AR93" s="369"/>
      <c r="AS93" s="369"/>
    </row>
    <row r="94" spans="20:45" x14ac:dyDescent="0.25"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L94" s="369"/>
      <c r="AM94" s="369"/>
      <c r="AN94" s="369"/>
      <c r="AO94" s="369"/>
      <c r="AP94" s="369"/>
      <c r="AQ94" s="369"/>
      <c r="AR94" s="369"/>
      <c r="AS94" s="369"/>
    </row>
    <row r="95" spans="20:45" x14ac:dyDescent="0.25"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L95" s="369"/>
      <c r="AM95" s="369"/>
      <c r="AN95" s="369"/>
      <c r="AO95" s="369"/>
      <c r="AP95" s="369"/>
      <c r="AQ95" s="369"/>
      <c r="AR95" s="369"/>
      <c r="AS95" s="369"/>
    </row>
    <row r="96" spans="20:45" x14ac:dyDescent="0.25"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L96" s="369"/>
      <c r="AM96" s="369"/>
      <c r="AN96" s="369"/>
      <c r="AO96" s="369"/>
      <c r="AP96" s="369"/>
      <c r="AQ96" s="369"/>
      <c r="AR96" s="369"/>
      <c r="AS96" s="369"/>
    </row>
    <row r="97" spans="20:45" x14ac:dyDescent="0.25"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L97" s="369"/>
      <c r="AM97" s="369"/>
      <c r="AN97" s="369"/>
      <c r="AO97" s="369"/>
      <c r="AP97" s="369"/>
      <c r="AQ97" s="369"/>
      <c r="AR97" s="369"/>
      <c r="AS97" s="369"/>
    </row>
    <row r="98" spans="20:45" x14ac:dyDescent="0.25"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L98" s="369"/>
      <c r="AM98" s="369"/>
      <c r="AN98" s="369"/>
      <c r="AO98" s="369"/>
      <c r="AP98" s="369"/>
      <c r="AQ98" s="369"/>
      <c r="AR98" s="369"/>
      <c r="AS98" s="369"/>
    </row>
    <row r="99" spans="20:45" x14ac:dyDescent="0.25"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L99" s="369"/>
      <c r="AM99" s="369"/>
      <c r="AN99" s="369"/>
      <c r="AO99" s="369"/>
      <c r="AP99" s="369"/>
      <c r="AQ99" s="369"/>
      <c r="AR99" s="369"/>
      <c r="AS99" s="369"/>
    </row>
    <row r="100" spans="20:45" x14ac:dyDescent="0.25"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L100" s="369"/>
      <c r="AM100" s="369"/>
      <c r="AN100" s="369"/>
      <c r="AO100" s="369"/>
      <c r="AP100" s="369"/>
      <c r="AQ100" s="369"/>
      <c r="AR100" s="369"/>
      <c r="AS100" s="369"/>
    </row>
    <row r="101" spans="20:45" x14ac:dyDescent="0.25"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L101" s="369"/>
      <c r="AM101" s="369"/>
      <c r="AN101" s="369"/>
      <c r="AO101" s="369"/>
      <c r="AP101" s="369"/>
      <c r="AQ101" s="369"/>
      <c r="AR101" s="369"/>
      <c r="AS101" s="369"/>
    </row>
    <row r="102" spans="20:45" x14ac:dyDescent="0.25"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L102" s="369"/>
      <c r="AM102" s="369"/>
      <c r="AN102" s="369"/>
      <c r="AO102" s="369"/>
      <c r="AP102" s="369"/>
      <c r="AQ102" s="369"/>
      <c r="AR102" s="369"/>
      <c r="AS102" s="369"/>
    </row>
    <row r="103" spans="20:45" x14ac:dyDescent="0.25"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L103" s="369"/>
      <c r="AM103" s="369"/>
      <c r="AN103" s="369"/>
      <c r="AO103" s="369"/>
      <c r="AP103" s="369"/>
      <c r="AQ103" s="369"/>
      <c r="AR103" s="369"/>
      <c r="AS103" s="369"/>
    </row>
    <row r="104" spans="20:45" x14ac:dyDescent="0.25"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L104" s="369"/>
      <c r="AM104" s="369"/>
      <c r="AN104" s="369"/>
      <c r="AO104" s="369"/>
      <c r="AP104" s="369"/>
      <c r="AQ104" s="369"/>
      <c r="AR104" s="369"/>
      <c r="AS104" s="369"/>
    </row>
    <row r="105" spans="20:45" x14ac:dyDescent="0.25"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L105" s="369"/>
      <c r="AM105" s="369"/>
      <c r="AN105" s="369"/>
      <c r="AO105" s="369"/>
      <c r="AP105" s="369"/>
      <c r="AQ105" s="369"/>
      <c r="AR105" s="369"/>
      <c r="AS105" s="369"/>
    </row>
    <row r="106" spans="20:45" x14ac:dyDescent="0.25"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L106" s="369"/>
      <c r="AM106" s="369"/>
      <c r="AN106" s="369"/>
      <c r="AO106" s="369"/>
      <c r="AP106" s="369"/>
      <c r="AQ106" s="369"/>
      <c r="AR106" s="369"/>
      <c r="AS106" s="369"/>
    </row>
    <row r="107" spans="20:45" x14ac:dyDescent="0.25"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L107" s="369"/>
      <c r="AM107" s="369"/>
      <c r="AN107" s="369"/>
      <c r="AO107" s="369"/>
      <c r="AP107" s="369"/>
      <c r="AQ107" s="369"/>
      <c r="AR107" s="369"/>
      <c r="AS107" s="369"/>
    </row>
    <row r="108" spans="20:45" x14ac:dyDescent="0.25"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L108" s="369"/>
      <c r="AM108" s="369"/>
      <c r="AN108" s="369"/>
      <c r="AO108" s="369"/>
      <c r="AP108" s="369"/>
      <c r="AQ108" s="369"/>
      <c r="AR108" s="369"/>
      <c r="AS108" s="369"/>
    </row>
    <row r="109" spans="20:45" x14ac:dyDescent="0.25"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L109" s="369"/>
      <c r="AM109" s="369"/>
      <c r="AN109" s="369"/>
      <c r="AO109" s="369"/>
      <c r="AP109" s="369"/>
      <c r="AQ109" s="369"/>
      <c r="AR109" s="369"/>
      <c r="AS109" s="369"/>
    </row>
    <row r="110" spans="20:45" x14ac:dyDescent="0.25"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L110" s="369"/>
      <c r="AM110" s="369"/>
      <c r="AN110" s="369"/>
      <c r="AO110" s="369"/>
      <c r="AP110" s="369"/>
      <c r="AQ110" s="369"/>
      <c r="AR110" s="369"/>
      <c r="AS110" s="369"/>
    </row>
    <row r="111" spans="20:45" x14ac:dyDescent="0.25"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L111" s="369"/>
      <c r="AM111" s="369"/>
      <c r="AN111" s="369"/>
      <c r="AO111" s="369"/>
      <c r="AP111" s="369"/>
      <c r="AQ111" s="369"/>
      <c r="AR111" s="369"/>
      <c r="AS111" s="369"/>
    </row>
    <row r="112" spans="20:45" x14ac:dyDescent="0.25"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L112" s="369"/>
      <c r="AM112" s="369"/>
      <c r="AN112" s="369"/>
      <c r="AO112" s="369"/>
      <c r="AP112" s="369"/>
      <c r="AQ112" s="369"/>
      <c r="AR112" s="369"/>
      <c r="AS112" s="369"/>
    </row>
    <row r="113" spans="20:45" x14ac:dyDescent="0.25"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L113" s="369"/>
      <c r="AM113" s="369"/>
      <c r="AN113" s="369"/>
      <c r="AO113" s="369"/>
      <c r="AP113" s="369"/>
      <c r="AQ113" s="369"/>
      <c r="AR113" s="369"/>
      <c r="AS113" s="369"/>
    </row>
    <row r="114" spans="20:45" x14ac:dyDescent="0.25"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L114" s="369"/>
      <c r="AM114" s="369"/>
      <c r="AN114" s="369"/>
      <c r="AO114" s="369"/>
      <c r="AP114" s="369"/>
      <c r="AQ114" s="369"/>
      <c r="AR114" s="369"/>
      <c r="AS114" s="369"/>
    </row>
    <row r="115" spans="20:45" x14ac:dyDescent="0.25"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L115" s="369"/>
      <c r="AM115" s="369"/>
      <c r="AN115" s="369"/>
      <c r="AO115" s="369"/>
      <c r="AP115" s="369"/>
      <c r="AQ115" s="369"/>
      <c r="AR115" s="369"/>
      <c r="AS115" s="369"/>
    </row>
    <row r="116" spans="20:45" x14ac:dyDescent="0.25"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L116" s="369"/>
      <c r="AM116" s="369"/>
      <c r="AN116" s="369"/>
      <c r="AO116" s="369"/>
      <c r="AP116" s="369"/>
      <c r="AQ116" s="369"/>
      <c r="AR116" s="369"/>
      <c r="AS116" s="369"/>
    </row>
    <row r="117" spans="20:45" x14ac:dyDescent="0.25"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L117" s="369"/>
      <c r="AM117" s="369"/>
      <c r="AN117" s="369"/>
      <c r="AO117" s="369"/>
      <c r="AP117" s="369"/>
      <c r="AQ117" s="369"/>
      <c r="AR117" s="369"/>
      <c r="AS117" s="369"/>
    </row>
    <row r="118" spans="20:45" x14ac:dyDescent="0.25"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L118" s="369"/>
      <c r="AM118" s="369"/>
      <c r="AN118" s="369"/>
      <c r="AO118" s="369"/>
      <c r="AP118" s="369"/>
      <c r="AQ118" s="369"/>
      <c r="AR118" s="369"/>
      <c r="AS118" s="369"/>
    </row>
    <row r="119" spans="20:45" x14ac:dyDescent="0.25"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L119" s="369"/>
      <c r="AM119" s="369"/>
      <c r="AN119" s="369"/>
      <c r="AO119" s="369"/>
      <c r="AP119" s="369"/>
      <c r="AQ119" s="369"/>
      <c r="AR119" s="369"/>
      <c r="AS119" s="369"/>
    </row>
    <row r="120" spans="20:45" x14ac:dyDescent="0.25"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L120" s="369"/>
      <c r="AM120" s="369"/>
      <c r="AN120" s="369"/>
      <c r="AO120" s="369"/>
      <c r="AP120" s="369"/>
      <c r="AQ120" s="369"/>
      <c r="AR120" s="369"/>
      <c r="AS120" s="369"/>
    </row>
    <row r="121" spans="20:45" x14ac:dyDescent="0.25"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L121" s="369"/>
      <c r="AM121" s="369"/>
      <c r="AN121" s="369"/>
      <c r="AO121" s="369"/>
      <c r="AP121" s="369"/>
      <c r="AQ121" s="369"/>
      <c r="AR121" s="369"/>
      <c r="AS121" s="369"/>
    </row>
    <row r="122" spans="20:45" x14ac:dyDescent="0.25"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L122" s="369"/>
      <c r="AM122" s="369"/>
      <c r="AN122" s="369"/>
      <c r="AO122" s="369"/>
      <c r="AP122" s="369"/>
      <c r="AQ122" s="369"/>
      <c r="AR122" s="369"/>
      <c r="AS122" s="369"/>
    </row>
    <row r="123" spans="20:45" x14ac:dyDescent="0.25"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L123" s="369"/>
      <c r="AM123" s="369"/>
      <c r="AN123" s="369"/>
      <c r="AO123" s="369"/>
      <c r="AP123" s="369"/>
      <c r="AQ123" s="369"/>
      <c r="AR123" s="369"/>
      <c r="AS123" s="369"/>
    </row>
    <row r="124" spans="20:45" x14ac:dyDescent="0.25"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L124" s="369"/>
      <c r="AM124" s="369"/>
      <c r="AN124" s="369"/>
      <c r="AO124" s="369"/>
      <c r="AP124" s="369"/>
      <c r="AQ124" s="369"/>
      <c r="AR124" s="369"/>
      <c r="AS124" s="369"/>
    </row>
    <row r="125" spans="20:45" x14ac:dyDescent="0.25"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L125" s="369"/>
      <c r="AM125" s="369"/>
      <c r="AN125" s="369"/>
      <c r="AO125" s="369"/>
      <c r="AP125" s="369"/>
      <c r="AQ125" s="369"/>
      <c r="AR125" s="369"/>
      <c r="AS125" s="369"/>
    </row>
    <row r="126" spans="20:45" x14ac:dyDescent="0.25"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L126" s="369"/>
      <c r="AM126" s="369"/>
      <c r="AN126" s="369"/>
      <c r="AO126" s="369"/>
      <c r="AP126" s="369"/>
      <c r="AQ126" s="369"/>
      <c r="AR126" s="369"/>
      <c r="AS126" s="369"/>
    </row>
    <row r="127" spans="20:45" x14ac:dyDescent="0.25"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L127" s="369"/>
      <c r="AM127" s="369"/>
      <c r="AN127" s="369"/>
      <c r="AO127" s="369"/>
      <c r="AP127" s="369"/>
      <c r="AQ127" s="369"/>
      <c r="AR127" s="369"/>
      <c r="AS127" s="369"/>
    </row>
    <row r="128" spans="20:45" x14ac:dyDescent="0.25">
      <c r="T128" s="369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L128" s="369"/>
      <c r="AM128" s="369"/>
      <c r="AN128" s="369"/>
      <c r="AO128" s="369"/>
      <c r="AP128" s="369"/>
      <c r="AQ128" s="369"/>
      <c r="AR128" s="369"/>
      <c r="AS128" s="369"/>
    </row>
    <row r="129" spans="20:45" x14ac:dyDescent="0.25"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L129" s="369"/>
      <c r="AM129" s="369"/>
      <c r="AN129" s="369"/>
      <c r="AO129" s="369"/>
      <c r="AP129" s="369"/>
      <c r="AQ129" s="369"/>
      <c r="AR129" s="369"/>
      <c r="AS129" s="369"/>
    </row>
    <row r="130" spans="20:45" x14ac:dyDescent="0.25"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L130" s="369"/>
      <c r="AM130" s="369"/>
      <c r="AN130" s="369"/>
      <c r="AO130" s="369"/>
      <c r="AP130" s="369"/>
      <c r="AQ130" s="369"/>
      <c r="AR130" s="369"/>
      <c r="AS130" s="369"/>
    </row>
    <row r="131" spans="20:45" x14ac:dyDescent="0.25"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L131" s="369"/>
      <c r="AM131" s="369"/>
      <c r="AN131" s="369"/>
      <c r="AO131" s="369"/>
      <c r="AP131" s="369"/>
      <c r="AQ131" s="369"/>
      <c r="AR131" s="369"/>
      <c r="AS131" s="369"/>
    </row>
    <row r="132" spans="20:45" x14ac:dyDescent="0.25">
      <c r="T132" s="369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L132" s="369"/>
      <c r="AM132" s="369"/>
      <c r="AN132" s="369"/>
      <c r="AO132" s="369"/>
      <c r="AP132" s="369"/>
      <c r="AQ132" s="369"/>
      <c r="AR132" s="369"/>
      <c r="AS132" s="369"/>
    </row>
    <row r="133" spans="20:45" x14ac:dyDescent="0.25"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L133" s="369"/>
      <c r="AM133" s="369"/>
      <c r="AN133" s="369"/>
      <c r="AO133" s="369"/>
      <c r="AP133" s="369"/>
      <c r="AQ133" s="369"/>
      <c r="AR133" s="369"/>
      <c r="AS133" s="369"/>
    </row>
    <row r="134" spans="20:45" x14ac:dyDescent="0.25"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L134" s="369"/>
      <c r="AM134" s="369"/>
      <c r="AN134" s="369"/>
      <c r="AO134" s="369"/>
      <c r="AP134" s="369"/>
      <c r="AQ134" s="369"/>
      <c r="AR134" s="369"/>
      <c r="AS134" s="369"/>
    </row>
    <row r="135" spans="20:45" x14ac:dyDescent="0.25"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L135" s="369"/>
      <c r="AM135" s="369"/>
      <c r="AN135" s="369"/>
      <c r="AO135" s="369"/>
      <c r="AP135" s="369"/>
      <c r="AQ135" s="369"/>
      <c r="AR135" s="369"/>
      <c r="AS135" s="369"/>
    </row>
    <row r="136" spans="20:45" x14ac:dyDescent="0.25"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L136" s="369"/>
      <c r="AM136" s="369"/>
      <c r="AN136" s="369"/>
      <c r="AO136" s="369"/>
      <c r="AP136" s="369"/>
      <c r="AQ136" s="369"/>
      <c r="AR136" s="369"/>
      <c r="AS136" s="369"/>
    </row>
    <row r="137" spans="20:45" x14ac:dyDescent="0.25"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L137" s="369"/>
      <c r="AM137" s="369"/>
      <c r="AN137" s="369"/>
      <c r="AO137" s="369"/>
      <c r="AP137" s="369"/>
      <c r="AQ137" s="369"/>
      <c r="AR137" s="369"/>
      <c r="AS137" s="369"/>
    </row>
    <row r="138" spans="20:45" x14ac:dyDescent="0.25"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L138" s="369"/>
      <c r="AM138" s="369"/>
      <c r="AN138" s="369"/>
      <c r="AO138" s="369"/>
      <c r="AP138" s="369"/>
      <c r="AQ138" s="369"/>
      <c r="AR138" s="369"/>
      <c r="AS138" s="369"/>
    </row>
    <row r="139" spans="20:45" x14ac:dyDescent="0.25"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L139" s="369"/>
      <c r="AM139" s="369"/>
      <c r="AN139" s="369"/>
      <c r="AO139" s="369"/>
      <c r="AP139" s="369"/>
      <c r="AQ139" s="369"/>
      <c r="AR139" s="369"/>
      <c r="AS139" s="369"/>
    </row>
    <row r="140" spans="20:45" x14ac:dyDescent="0.25"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L140" s="369"/>
      <c r="AM140" s="369"/>
      <c r="AN140" s="369"/>
      <c r="AO140" s="369"/>
      <c r="AP140" s="369"/>
      <c r="AQ140" s="369"/>
      <c r="AR140" s="369"/>
      <c r="AS140" s="369"/>
    </row>
  </sheetData>
  <mergeCells count="1">
    <mergeCell ref="A4:C4"/>
  </mergeCells>
  <conditionalFormatting sqref="B22 B24 B26 B28 B30 B32 B34 B36 B38 B40 B42 B44 B46 B48 B50 B52">
    <cfRule type="cellIs" dxfId="81" priority="13" stopIfTrue="1" operator="equal">
      <formula>"QA"</formula>
    </cfRule>
    <cfRule type="cellIs" dxfId="80" priority="14" stopIfTrue="1" operator="equal">
      <formula>"DA"</formula>
    </cfRule>
  </conditionalFormatting>
  <conditionalFormatting sqref="E7 E21">
    <cfRule type="expression" dxfId="79" priority="16" stopIfTrue="1">
      <formula>$E7&lt;5</formula>
    </cfRule>
  </conditionalFormatting>
  <conditionalFormatting sqref="E22 E24 E26 E28 E30 E32 E34 E36 E38 E40 E42 E44 E46 E48 E50 E52">
    <cfRule type="expression" dxfId="78" priority="8" stopIfTrue="1">
      <formula>AND($E22&lt;9,$C22&gt;0)</formula>
    </cfRule>
  </conditionalFormatting>
  <conditionalFormatting sqref="F7 F9 F11 F13 F15 F17 F19">
    <cfRule type="cellIs" dxfId="77" priority="17" stopIfTrue="1" operator="equal">
      <formula>"Bye"</formula>
    </cfRule>
  </conditionalFormatting>
  <conditionalFormatting sqref="F21:F22 F24 F26 F28 F30 F32 F34 F36 F38 F40 F42 F44 F46 F48 F50">
    <cfRule type="cellIs" dxfId="76" priority="9" stopIfTrue="1" operator="equal">
      <formula>"Bye"</formula>
    </cfRule>
  </conditionalFormatting>
  <conditionalFormatting sqref="F22 F24 F26 F28 F30 F32 F34 F36 F38 F40 F42 F44 F46 F48 F50">
    <cfRule type="expression" dxfId="75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74" priority="4" stopIfTrue="1">
      <formula>AND($E7&lt;9,$C7&gt;0)</formula>
    </cfRule>
  </conditionalFormatting>
  <conditionalFormatting sqref="I8 K10 I12 M14 I16 K18 I20 I23 K25 I27 M29 I31 K33 I35 I39 K41 I43 M45 I47 K49 I51">
    <cfRule type="expression" dxfId="73" priority="5" stopIfTrue="1">
      <formula>AND($O$1="CU",I8="Umpire")</formula>
    </cfRule>
    <cfRule type="expression" dxfId="72" priority="6" stopIfTrue="1">
      <formula>AND($O$1="CU",I8&lt;&gt;"Umpire",J8&lt;&gt;"")</formula>
    </cfRule>
    <cfRule type="expression" dxfId="71" priority="7" stopIfTrue="1">
      <formula>AND($O$1="CU",I8&lt;&gt;"Umpire")</formula>
    </cfRule>
  </conditionalFormatting>
  <conditionalFormatting sqref="J8 L10 J12 N14 J16 L18 J20 R62">
    <cfRule type="expression" dxfId="70" priority="15" stopIfTrue="1">
      <formula>$O$1="CU"</formula>
    </cfRule>
  </conditionalFormatting>
  <conditionalFormatting sqref="K8 M10 K12 O14 K16 M18 K20 K23 M25 K27 O29 K31 M33 K35 K39 M41 K43 O45 K47 M49 K51">
    <cfRule type="expression" dxfId="69" priority="11" stopIfTrue="1">
      <formula>J8="as"</formula>
    </cfRule>
    <cfRule type="expression" dxfId="68" priority="12" stopIfTrue="1">
      <formula>J8="bs"</formula>
    </cfRule>
  </conditionalFormatting>
  <conditionalFormatting sqref="O16">
    <cfRule type="expression" dxfId="67" priority="1" stopIfTrue="1">
      <formula>AND($O$1="CU",O16="Umpire")</formula>
    </cfRule>
    <cfRule type="expression" dxfId="66" priority="2" stopIfTrue="1">
      <formula>AND($O$1="CU",O16&lt;&gt;"Umpire",P16&lt;&gt;"")</formula>
    </cfRule>
    <cfRule type="expression" dxfId="65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7E3A53E1-8144-4D7E-AAB1-47D45FED650D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0545D-1AF3-4597-931C-D839177EE22F}">
  <sheetPr>
    <tabColor indexed="11"/>
  </sheetPr>
  <dimension ref="A1:AS140"/>
  <sheetViews>
    <sheetView workbookViewId="0">
      <selection activeCell="F24" sqref="F24"/>
    </sheetView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33203125" style="287" customWidth="1"/>
    <col min="5" max="5" width="4.33203125" style="287" customWidth="1"/>
    <col min="6" max="6" width="17" style="287" customWidth="1"/>
    <col min="7" max="7" width="2.6640625" style="287" customWidth="1"/>
    <col min="8" max="8" width="24.77734375" style="287" bestFit="1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27" width="0" style="287" hidden="1" customWidth="1"/>
    <col min="28" max="28" width="10.33203125" style="287" hidden="1" customWidth="1"/>
    <col min="29" max="34" width="0" style="287" hidden="1" customWidth="1"/>
    <col min="35" max="37" width="9.109375" style="369" customWidth="1"/>
    <col min="38" max="16384" width="8.77734375" style="287"/>
  </cols>
  <sheetData>
    <row r="1" spans="1:45" s="209" customFormat="1" ht="21.75" customHeight="1" x14ac:dyDescent="0.25">
      <c r="A1" s="202" t="str">
        <f>[12]Altalanos!$A$6</f>
        <v>OB</v>
      </c>
      <c r="B1" s="202"/>
      <c r="C1" s="203"/>
      <c r="D1" s="203"/>
      <c r="E1" s="203"/>
      <c r="F1" s="203"/>
      <c r="G1" s="203"/>
      <c r="H1" s="202"/>
      <c r="I1" s="204"/>
      <c r="J1" s="205"/>
      <c r="K1" s="206" t="s">
        <v>33</v>
      </c>
      <c r="L1" s="207"/>
      <c r="M1" s="208"/>
      <c r="N1" s="205"/>
      <c r="O1" s="205" t="s">
        <v>9</v>
      </c>
      <c r="P1" s="205"/>
      <c r="Q1" s="203"/>
      <c r="R1" s="205"/>
      <c r="T1" s="210"/>
      <c r="U1" s="210"/>
      <c r="V1" s="210"/>
      <c r="W1" s="210"/>
      <c r="X1" s="210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  <c r="AI1" s="212"/>
      <c r="AJ1" s="212"/>
      <c r="AK1" s="212"/>
    </row>
    <row r="2" spans="1:45" s="218" customFormat="1" x14ac:dyDescent="0.25">
      <c r="A2" s="213" t="s">
        <v>32</v>
      </c>
      <c r="B2" s="214"/>
      <c r="C2" s="214"/>
      <c r="D2" s="214"/>
      <c r="E2" s="214">
        <f>[12]Altalanos!$A$8</f>
        <v>0</v>
      </c>
      <c r="F2" s="214"/>
      <c r="G2" s="215"/>
      <c r="H2" s="216"/>
      <c r="I2" s="216"/>
      <c r="J2" s="217"/>
      <c r="K2" s="207"/>
      <c r="L2" s="207"/>
      <c r="M2" s="207"/>
      <c r="N2" s="217"/>
      <c r="O2" s="216"/>
      <c r="P2" s="217"/>
      <c r="Q2" s="216"/>
      <c r="R2" s="217"/>
      <c r="T2" s="219"/>
      <c r="U2" s="219"/>
      <c r="V2" s="219"/>
      <c r="W2" s="219"/>
      <c r="X2" s="219"/>
      <c r="Y2" s="220"/>
      <c r="Z2" s="221"/>
      <c r="AA2" s="221" t="s">
        <v>43</v>
      </c>
      <c r="AB2" s="222">
        <v>300</v>
      </c>
      <c r="AC2" s="222">
        <v>250</v>
      </c>
      <c r="AD2" s="222">
        <v>200</v>
      </c>
      <c r="AE2" s="222">
        <v>150</v>
      </c>
      <c r="AF2" s="222">
        <v>120</v>
      </c>
      <c r="AG2" s="222">
        <v>90</v>
      </c>
      <c r="AH2" s="222">
        <v>40</v>
      </c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</row>
    <row r="3" spans="1:45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T3" s="227"/>
      <c r="U3" s="227"/>
      <c r="V3" s="227"/>
      <c r="W3" s="227"/>
      <c r="X3" s="227"/>
      <c r="Y3" s="221" t="str">
        <f>IF(K4="OB","A",IF(K4="IX","W",IF(K4="","",K4)))</f>
        <v/>
      </c>
      <c r="Z3" s="221"/>
      <c r="AA3" s="221" t="s">
        <v>44</v>
      </c>
      <c r="AB3" s="222">
        <v>280</v>
      </c>
      <c r="AC3" s="222">
        <v>230</v>
      </c>
      <c r="AD3" s="222">
        <v>180</v>
      </c>
      <c r="AE3" s="222">
        <v>140</v>
      </c>
      <c r="AF3" s="222">
        <v>80</v>
      </c>
      <c r="AG3" s="222">
        <v>0</v>
      </c>
      <c r="AH3" s="222">
        <v>0</v>
      </c>
      <c r="AI3" s="219"/>
      <c r="AJ3" s="219"/>
      <c r="AK3" s="219"/>
      <c r="AL3" s="227"/>
      <c r="AM3" s="227"/>
      <c r="AN3" s="227"/>
      <c r="AO3" s="227"/>
      <c r="AP3" s="227"/>
      <c r="AQ3" s="227"/>
      <c r="AR3" s="227"/>
      <c r="AS3" s="227"/>
    </row>
    <row r="4" spans="1:45" s="234" customFormat="1" ht="11.25" customHeight="1" thickBot="1" x14ac:dyDescent="0.3">
      <c r="A4" s="551">
        <f>[12]Altalanos!$A$10</f>
        <v>0</v>
      </c>
      <c r="B4" s="551"/>
      <c r="C4" s="551"/>
      <c r="D4" s="228"/>
      <c r="E4" s="229"/>
      <c r="F4" s="229"/>
      <c r="G4" s="229">
        <f>[12]Altalanos!$C$10</f>
        <v>0</v>
      </c>
      <c r="H4" s="230"/>
      <c r="I4" s="229"/>
      <c r="J4" s="231"/>
      <c r="K4" s="136"/>
      <c r="L4" s="231"/>
      <c r="M4" s="232"/>
      <c r="N4" s="231"/>
      <c r="O4" s="229"/>
      <c r="P4" s="231"/>
      <c r="Q4" s="229"/>
      <c r="R4" s="233">
        <f>[12]Altalanos!$E$10</f>
        <v>0</v>
      </c>
      <c r="T4" s="235"/>
      <c r="U4" s="235"/>
      <c r="V4" s="235"/>
      <c r="W4" s="235"/>
      <c r="X4" s="235"/>
      <c r="Y4" s="221"/>
      <c r="Z4" s="221"/>
      <c r="AA4" s="221" t="s">
        <v>67</v>
      </c>
      <c r="AB4" s="222">
        <v>250</v>
      </c>
      <c r="AC4" s="222">
        <v>200</v>
      </c>
      <c r="AD4" s="222">
        <v>150</v>
      </c>
      <c r="AE4" s="222">
        <v>120</v>
      </c>
      <c r="AF4" s="222">
        <v>90</v>
      </c>
      <c r="AG4" s="222">
        <v>60</v>
      </c>
      <c r="AH4" s="222">
        <v>25</v>
      </c>
      <c r="AI4" s="219"/>
      <c r="AJ4" s="219"/>
      <c r="AK4" s="219"/>
      <c r="AL4" s="235"/>
      <c r="AM4" s="235"/>
      <c r="AN4" s="235"/>
      <c r="AO4" s="235"/>
      <c r="AP4" s="235"/>
      <c r="AQ4" s="235"/>
      <c r="AR4" s="235"/>
      <c r="AS4" s="235"/>
    </row>
    <row r="5" spans="1:45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97</v>
      </c>
      <c r="N5" s="240"/>
      <c r="O5" s="237" t="s">
        <v>98</v>
      </c>
      <c r="P5" s="240"/>
      <c r="Q5" s="237"/>
      <c r="R5" s="241"/>
      <c r="T5" s="227"/>
      <c r="U5" s="227"/>
      <c r="V5" s="227"/>
      <c r="W5" s="227"/>
      <c r="X5" s="227"/>
      <c r="Y5" s="221">
        <f>IF(OR([12]Altalanos!$A$8="F1",[12]Altalanos!$A$8="F2",[12]Altalanos!$A$8="N1",[12]Altalanos!$A$8="N2"),1,2)</f>
        <v>2</v>
      </c>
      <c r="Z5" s="221"/>
      <c r="AA5" s="221" t="s">
        <v>68</v>
      </c>
      <c r="AB5" s="222">
        <v>200</v>
      </c>
      <c r="AC5" s="222">
        <v>150</v>
      </c>
      <c r="AD5" s="222">
        <v>120</v>
      </c>
      <c r="AE5" s="222">
        <v>90</v>
      </c>
      <c r="AF5" s="222">
        <v>60</v>
      </c>
      <c r="AG5" s="222">
        <v>40</v>
      </c>
      <c r="AH5" s="222">
        <v>15</v>
      </c>
      <c r="AI5" s="219"/>
      <c r="AJ5" s="219"/>
      <c r="AK5" s="219"/>
      <c r="AL5" s="227"/>
      <c r="AM5" s="227"/>
      <c r="AN5" s="227"/>
      <c r="AO5" s="227"/>
      <c r="AP5" s="227"/>
      <c r="AQ5" s="227"/>
      <c r="AR5" s="227"/>
      <c r="AS5" s="227"/>
    </row>
    <row r="6" spans="1:45" s="248" customFormat="1" ht="10.95" customHeight="1" thickBot="1" x14ac:dyDescent="0.3">
      <c r="A6" s="242"/>
      <c r="B6" s="243"/>
      <c r="C6" s="243"/>
      <c r="D6" s="243"/>
      <c r="E6" s="243"/>
      <c r="F6" s="242" t="str">
        <f>IF(Y3="","",CONCATENATE(VLOOKUP(Y3,AB1:AH1,4)," pont"))</f>
        <v/>
      </c>
      <c r="G6" s="244"/>
      <c r="H6" s="245"/>
      <c r="I6" s="244"/>
      <c r="J6" s="246"/>
      <c r="K6" s="243" t="str">
        <f>IF(Y3="","",CONCATENATE(VLOOKUP(Y3,AB1:AH1,3)," pont"))</f>
        <v/>
      </c>
      <c r="L6" s="246"/>
      <c r="M6" s="243" t="str">
        <f>IF(Y3="","",CONCATENATE(VLOOKUP(Y3,AB1:AH1,2)," pont"))</f>
        <v/>
      </c>
      <c r="N6" s="246"/>
      <c r="O6" s="243" t="str">
        <f>IF(Y3="","",CONCATENATE(VLOOKUP(Y3,AB1:AH1,1)," pont"))</f>
        <v/>
      </c>
      <c r="P6" s="246"/>
      <c r="Q6" s="243"/>
      <c r="R6" s="247"/>
      <c r="T6" s="249"/>
      <c r="U6" s="249"/>
      <c r="V6" s="249"/>
      <c r="W6" s="249"/>
      <c r="X6" s="249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252"/>
      <c r="AJ6" s="252"/>
      <c r="AK6" s="252"/>
      <c r="AL6" s="249"/>
      <c r="AM6" s="249"/>
      <c r="AN6" s="249"/>
      <c r="AO6" s="249"/>
      <c r="AP6" s="249"/>
      <c r="AQ6" s="249"/>
      <c r="AR6" s="249"/>
      <c r="AS6" s="249"/>
    </row>
    <row r="7" spans="1:45" s="266" customFormat="1" ht="13.05" customHeight="1" x14ac:dyDescent="0.25">
      <c r="A7" s="253">
        <v>1</v>
      </c>
      <c r="B7" s="254" t="str">
        <f>IF($E7="","",VLOOKUP($E7,'[12]1MD ELO'!$A$7:$O$22,14))</f>
        <v/>
      </c>
      <c r="C7" s="255" t="str">
        <f>IF($E7="","",VLOOKUP($E7,'[12]1MD ELO'!$A$7:$O$22,15))</f>
        <v/>
      </c>
      <c r="D7" s="255" t="str">
        <f>IF($E7="","",VLOOKUP($E7,'[12]1MD ELO'!$A$7:$O$22,5))</f>
        <v/>
      </c>
      <c r="E7" s="256"/>
      <c r="F7" s="257" t="s">
        <v>442</v>
      </c>
      <c r="G7" s="257" t="str">
        <f>IF($E7="","",VLOOKUP($E7,'[12]1MD ELO'!$A$7:$O$22,3))</f>
        <v/>
      </c>
      <c r="H7" s="257" t="s">
        <v>138</v>
      </c>
      <c r="I7" s="257" t="str">
        <f>IF($E7="","",VLOOKUP($E7,'[12]1MD ELO'!$A$7:$O$22,4))</f>
        <v/>
      </c>
      <c r="J7" s="258"/>
      <c r="K7" s="259"/>
      <c r="L7" s="259"/>
      <c r="M7" s="259"/>
      <c r="N7" s="259"/>
      <c r="O7" s="260"/>
      <c r="P7" s="261"/>
      <c r="Q7" s="262"/>
      <c r="R7" s="263"/>
      <c r="S7" s="264"/>
      <c r="T7" s="264"/>
      <c r="U7" s="265" t="str">
        <f>[12]Birók!P21</f>
        <v>Bíró</v>
      </c>
      <c r="V7" s="264"/>
      <c r="W7" s="264"/>
      <c r="X7" s="264"/>
      <c r="Y7" s="221"/>
      <c r="Z7" s="221"/>
      <c r="AA7" s="221" t="s">
        <v>70</v>
      </c>
      <c r="AB7" s="222">
        <v>120</v>
      </c>
      <c r="AC7" s="222">
        <v>90</v>
      </c>
      <c r="AD7" s="222">
        <v>60</v>
      </c>
      <c r="AE7" s="222">
        <v>40</v>
      </c>
      <c r="AF7" s="222">
        <v>25</v>
      </c>
      <c r="AG7" s="222">
        <v>10</v>
      </c>
      <c r="AH7" s="222">
        <v>5</v>
      </c>
      <c r="AI7" s="219"/>
      <c r="AJ7" s="219"/>
      <c r="AK7" s="219"/>
      <c r="AL7" s="264"/>
      <c r="AM7" s="264"/>
      <c r="AN7" s="264"/>
      <c r="AO7" s="264"/>
      <c r="AP7" s="264"/>
      <c r="AQ7" s="264"/>
      <c r="AR7" s="264"/>
      <c r="AS7" s="264"/>
    </row>
    <row r="8" spans="1:45" s="266" customFormat="1" ht="13.05" customHeight="1" x14ac:dyDescent="0.25">
      <c r="A8" s="267"/>
      <c r="B8" s="268"/>
      <c r="C8" s="269"/>
      <c r="D8" s="269"/>
      <c r="E8" s="270"/>
      <c r="F8" s="271"/>
      <c r="G8" s="271"/>
      <c r="H8" s="272"/>
      <c r="I8" s="273" t="s">
        <v>99</v>
      </c>
      <c r="J8" s="274"/>
      <c r="K8" s="275" t="str">
        <f>UPPER(IF(OR(J8="a",J8="as"),F7,IF(OR(J8="b",J8="bs"),F9,)))</f>
        <v/>
      </c>
      <c r="L8" s="275"/>
      <c r="M8" s="259"/>
      <c r="N8" s="259"/>
      <c r="O8" s="260"/>
      <c r="P8" s="261"/>
      <c r="Q8" s="262"/>
      <c r="R8" s="263"/>
      <c r="S8" s="264"/>
      <c r="T8" s="264"/>
      <c r="U8" s="276" t="str">
        <f>[12]Birók!P22</f>
        <v xml:space="preserve"> </v>
      </c>
      <c r="V8" s="264"/>
      <c r="W8" s="264"/>
      <c r="X8" s="264"/>
      <c r="Y8" s="221"/>
      <c r="Z8" s="221"/>
      <c r="AA8" s="221" t="s">
        <v>71</v>
      </c>
      <c r="AB8" s="222">
        <v>90</v>
      </c>
      <c r="AC8" s="222">
        <v>60</v>
      </c>
      <c r="AD8" s="222">
        <v>40</v>
      </c>
      <c r="AE8" s="222">
        <v>25</v>
      </c>
      <c r="AF8" s="222">
        <v>10</v>
      </c>
      <c r="AG8" s="222">
        <v>5</v>
      </c>
      <c r="AH8" s="222">
        <v>2</v>
      </c>
      <c r="AI8" s="219"/>
      <c r="AJ8" s="219"/>
      <c r="AK8" s="219"/>
      <c r="AL8" s="264"/>
      <c r="AM8" s="264"/>
      <c r="AN8" s="264"/>
      <c r="AO8" s="264"/>
      <c r="AP8" s="264"/>
      <c r="AQ8" s="264"/>
      <c r="AR8" s="264"/>
      <c r="AS8" s="264"/>
    </row>
    <row r="9" spans="1:45" s="266" customFormat="1" ht="13.05" customHeight="1" x14ac:dyDescent="0.25">
      <c r="A9" s="267">
        <v>2</v>
      </c>
      <c r="B9" s="254" t="str">
        <f>IF($E9="","",VLOOKUP($E9,'[12]1MD ELO'!$A$7:$O$22,14))</f>
        <v/>
      </c>
      <c r="C9" s="255" t="str">
        <f>IF($E9="","",VLOOKUP($E9,'[12]1MD ELO'!$A$7:$O$22,15))</f>
        <v/>
      </c>
      <c r="D9" s="255" t="str">
        <f>IF($E9="","",VLOOKUP($E9,'[12]1MD ELO'!$A$7:$O$22,5))</f>
        <v/>
      </c>
      <c r="E9" s="277"/>
      <c r="F9" s="278" t="s">
        <v>478</v>
      </c>
      <c r="G9" s="278" t="str">
        <f>IF($E9="","",VLOOKUP($E9,'[12]1MD ELO'!$A$7:$O$22,3))</f>
        <v/>
      </c>
      <c r="H9" s="278" t="s">
        <v>479</v>
      </c>
      <c r="I9" s="278" t="str">
        <f>IF($E9="","",VLOOKUP($E9,'[12]1MD ELO'!$A$7:$O$22,4))</f>
        <v/>
      </c>
      <c r="J9" s="279"/>
      <c r="K9" s="259"/>
      <c r="L9" s="280"/>
      <c r="M9" s="259"/>
      <c r="N9" s="259"/>
      <c r="O9" s="260"/>
      <c r="P9" s="261"/>
      <c r="Q9" s="262"/>
      <c r="R9" s="263"/>
      <c r="S9" s="264"/>
      <c r="T9" s="264"/>
      <c r="U9" s="276" t="str">
        <f>[12]Birók!P23</f>
        <v xml:space="preserve"> </v>
      </c>
      <c r="V9" s="264"/>
      <c r="W9" s="264"/>
      <c r="X9" s="264"/>
      <c r="Y9" s="221"/>
      <c r="Z9" s="221"/>
      <c r="AA9" s="221" t="s">
        <v>72</v>
      </c>
      <c r="AB9" s="222">
        <v>60</v>
      </c>
      <c r="AC9" s="222">
        <v>40</v>
      </c>
      <c r="AD9" s="222">
        <v>25</v>
      </c>
      <c r="AE9" s="222">
        <v>10</v>
      </c>
      <c r="AF9" s="222">
        <v>5</v>
      </c>
      <c r="AG9" s="222">
        <v>2</v>
      </c>
      <c r="AH9" s="222">
        <v>1</v>
      </c>
      <c r="AI9" s="219"/>
      <c r="AJ9" s="219"/>
      <c r="AK9" s="219"/>
      <c r="AL9" s="264"/>
      <c r="AM9" s="264"/>
      <c r="AN9" s="264"/>
      <c r="AO9" s="264"/>
      <c r="AP9" s="264"/>
      <c r="AQ9" s="264"/>
      <c r="AR9" s="264"/>
      <c r="AS9" s="264"/>
    </row>
    <row r="10" spans="1:45" s="266" customFormat="1" ht="13.05" customHeight="1" x14ac:dyDescent="0.25">
      <c r="A10" s="267"/>
      <c r="B10" s="268"/>
      <c r="C10" s="269"/>
      <c r="D10" s="269"/>
      <c r="E10" s="281"/>
      <c r="F10" s="271"/>
      <c r="G10" s="271"/>
      <c r="H10" s="272"/>
      <c r="I10" s="271"/>
      <c r="J10" s="282"/>
      <c r="K10" s="273" t="s">
        <v>99</v>
      </c>
      <c r="L10" s="283"/>
      <c r="M10" s="275"/>
      <c r="N10" s="284"/>
      <c r="O10" s="285"/>
      <c r="P10" s="285"/>
      <c r="Q10" s="262"/>
      <c r="R10" s="263"/>
      <c r="S10" s="264"/>
      <c r="T10" s="264"/>
      <c r="U10" s="276" t="str">
        <f>[12]Birók!P24</f>
        <v xml:space="preserve"> </v>
      </c>
      <c r="V10" s="264"/>
      <c r="W10" s="264"/>
      <c r="X10" s="264"/>
      <c r="Y10" s="221"/>
      <c r="Z10" s="221"/>
      <c r="AA10" s="221" t="s">
        <v>73</v>
      </c>
      <c r="AB10" s="222">
        <v>40</v>
      </c>
      <c r="AC10" s="222">
        <v>25</v>
      </c>
      <c r="AD10" s="222">
        <v>15</v>
      </c>
      <c r="AE10" s="222">
        <v>7</v>
      </c>
      <c r="AF10" s="222">
        <v>4</v>
      </c>
      <c r="AG10" s="222">
        <v>1</v>
      </c>
      <c r="AH10" s="222">
        <v>0</v>
      </c>
      <c r="AI10" s="219"/>
      <c r="AJ10" s="219"/>
      <c r="AK10" s="219"/>
      <c r="AL10" s="264"/>
      <c r="AM10" s="264"/>
      <c r="AN10" s="264"/>
      <c r="AO10" s="264"/>
      <c r="AP10" s="264"/>
      <c r="AQ10" s="264"/>
      <c r="AR10" s="264"/>
      <c r="AS10" s="264"/>
    </row>
    <row r="11" spans="1:45" s="266" customFormat="1" ht="13.05" customHeight="1" x14ac:dyDescent="0.25">
      <c r="A11" s="267">
        <v>3</v>
      </c>
      <c r="B11" s="254" t="str">
        <f>IF($E11="","",VLOOKUP($E11,'[12]1MD ELO'!$A$7:$O$22,14))</f>
        <v/>
      </c>
      <c r="C11" s="255" t="str">
        <f>IF($E11="","",VLOOKUP($E11,'[12]1MD ELO'!$A$7:$O$22,15))</f>
        <v/>
      </c>
      <c r="D11" s="255" t="str">
        <f>IF($E11="","",VLOOKUP($E11,'[12]1MD ELO'!$A$7:$O$22,5))</f>
        <v/>
      </c>
      <c r="E11" s="277"/>
      <c r="F11" s="278" t="s">
        <v>443</v>
      </c>
      <c r="G11" s="278" t="str">
        <f>IF($E11="","",VLOOKUP($E11,'[12]1MD ELO'!$A$7:$O$22,3))</f>
        <v/>
      </c>
      <c r="H11" s="278" t="s">
        <v>470</v>
      </c>
      <c r="I11" s="278" t="str">
        <f>IF($E11="","",VLOOKUP($E11,'[12]1MD ELO'!$A$7:$O$22,4))</f>
        <v/>
      </c>
      <c r="J11" s="258"/>
      <c r="K11" s="259"/>
      <c r="L11" s="286"/>
      <c r="M11" s="259"/>
      <c r="N11" s="288"/>
      <c r="O11" s="285"/>
      <c r="P11" s="285"/>
      <c r="Q11" s="262"/>
      <c r="R11" s="263"/>
      <c r="S11" s="264"/>
      <c r="T11" s="264"/>
      <c r="U11" s="276" t="str">
        <f>[12]Birók!P25</f>
        <v xml:space="preserve"> </v>
      </c>
      <c r="V11" s="264"/>
      <c r="W11" s="264"/>
      <c r="X11" s="264"/>
      <c r="Y11" s="221"/>
      <c r="Z11" s="221"/>
      <c r="AA11" s="221" t="s">
        <v>74</v>
      </c>
      <c r="AB11" s="222">
        <v>25</v>
      </c>
      <c r="AC11" s="222">
        <v>15</v>
      </c>
      <c r="AD11" s="222">
        <v>10</v>
      </c>
      <c r="AE11" s="222">
        <v>6</v>
      </c>
      <c r="AF11" s="222">
        <v>3</v>
      </c>
      <c r="AG11" s="222">
        <v>1</v>
      </c>
      <c r="AH11" s="222">
        <v>0</v>
      </c>
      <c r="AI11" s="219"/>
      <c r="AJ11" s="219"/>
      <c r="AK11" s="219"/>
      <c r="AL11" s="264"/>
      <c r="AM11" s="264"/>
      <c r="AN11" s="264"/>
      <c r="AO11" s="264"/>
      <c r="AP11" s="264"/>
      <c r="AQ11" s="264"/>
      <c r="AR11" s="264"/>
      <c r="AS11" s="264"/>
    </row>
    <row r="12" spans="1:45" s="266" customFormat="1" ht="13.05" customHeight="1" x14ac:dyDescent="0.25">
      <c r="A12" s="267"/>
      <c r="B12" s="268"/>
      <c r="C12" s="269"/>
      <c r="D12" s="269"/>
      <c r="E12" s="281"/>
      <c r="F12" s="271"/>
      <c r="G12" s="271"/>
      <c r="H12" s="272"/>
      <c r="I12" s="273" t="s">
        <v>99</v>
      </c>
      <c r="J12" s="274"/>
      <c r="K12" s="275" t="str">
        <f>UPPER(IF(OR(J12="a",J12="as"),F11,IF(OR(J12="b",J12="bs"),F13,)))</f>
        <v/>
      </c>
      <c r="L12" s="289"/>
      <c r="M12" s="259"/>
      <c r="N12" s="288"/>
      <c r="O12" s="285"/>
      <c r="P12" s="285"/>
      <c r="Q12" s="262"/>
      <c r="R12" s="263"/>
      <c r="S12" s="264"/>
      <c r="T12" s="264"/>
      <c r="U12" s="276" t="str">
        <f>[12]Birók!P26</f>
        <v xml:space="preserve"> </v>
      </c>
      <c r="V12" s="264"/>
      <c r="W12" s="264"/>
      <c r="X12" s="264"/>
      <c r="Y12" s="221"/>
      <c r="Z12" s="221"/>
      <c r="AA12" s="221" t="s">
        <v>79</v>
      </c>
      <c r="AB12" s="222">
        <v>15</v>
      </c>
      <c r="AC12" s="222">
        <v>10</v>
      </c>
      <c r="AD12" s="222">
        <v>6</v>
      </c>
      <c r="AE12" s="222">
        <v>3</v>
      </c>
      <c r="AF12" s="222">
        <v>1</v>
      </c>
      <c r="AG12" s="222">
        <v>0</v>
      </c>
      <c r="AH12" s="222">
        <v>0</v>
      </c>
      <c r="AI12" s="219"/>
      <c r="AJ12" s="219"/>
      <c r="AK12" s="219"/>
      <c r="AL12" s="264"/>
      <c r="AM12" s="264"/>
      <c r="AN12" s="264"/>
      <c r="AO12" s="264"/>
      <c r="AP12" s="264"/>
      <c r="AQ12" s="264"/>
      <c r="AR12" s="264"/>
      <c r="AS12" s="264"/>
    </row>
    <row r="13" spans="1:45" s="266" customFormat="1" ht="13.05" customHeight="1" x14ac:dyDescent="0.25">
      <c r="A13" s="267">
        <v>4</v>
      </c>
      <c r="B13" s="254" t="str">
        <f>IF($E13="","",VLOOKUP($E13,'[12]1MD ELO'!$A$7:$O$22,14))</f>
        <v/>
      </c>
      <c r="C13" s="255" t="str">
        <f>IF($E13="","",VLOOKUP($E13,'[12]1MD ELO'!$A$7:$O$22,15))</f>
        <v/>
      </c>
      <c r="D13" s="255" t="str">
        <f>IF($E13="","",VLOOKUP($E13,'[12]1MD ELO'!$A$7:$O$22,5))</f>
        <v/>
      </c>
      <c r="E13" s="277"/>
      <c r="F13" s="278" t="s">
        <v>447</v>
      </c>
      <c r="G13" s="278" t="str">
        <f>IF($E13="","",VLOOKUP($E13,'[12]1MD ELO'!$A$7:$O$22,3))</f>
        <v/>
      </c>
      <c r="H13" s="278" t="s">
        <v>480</v>
      </c>
      <c r="I13" s="278" t="str">
        <f>IF($E13="","",VLOOKUP($E13,'[12]1MD ELO'!$A$7:$O$22,4))</f>
        <v/>
      </c>
      <c r="J13" s="290"/>
      <c r="K13" s="259"/>
      <c r="L13" s="259"/>
      <c r="M13" s="259"/>
      <c r="N13" s="288"/>
      <c r="O13" s="285"/>
      <c r="P13" s="285"/>
      <c r="Q13" s="262"/>
      <c r="R13" s="263"/>
      <c r="S13" s="264"/>
      <c r="T13" s="264"/>
      <c r="U13" s="276" t="str">
        <f>[12]Birók!P27</f>
        <v xml:space="preserve"> </v>
      </c>
      <c r="V13" s="264"/>
      <c r="W13" s="264"/>
      <c r="X13" s="264"/>
      <c r="Y13" s="221"/>
      <c r="Z13" s="221"/>
      <c r="AA13" s="221" t="s">
        <v>75</v>
      </c>
      <c r="AB13" s="222">
        <v>10</v>
      </c>
      <c r="AC13" s="222">
        <v>6</v>
      </c>
      <c r="AD13" s="222">
        <v>3</v>
      </c>
      <c r="AE13" s="222">
        <v>1</v>
      </c>
      <c r="AF13" s="222">
        <v>0</v>
      </c>
      <c r="AG13" s="222">
        <v>0</v>
      </c>
      <c r="AH13" s="222">
        <v>0</v>
      </c>
      <c r="AI13" s="219"/>
      <c r="AJ13" s="219"/>
      <c r="AK13" s="219"/>
      <c r="AL13" s="264"/>
      <c r="AM13" s="264"/>
      <c r="AN13" s="264"/>
      <c r="AO13" s="264"/>
      <c r="AP13" s="264"/>
      <c r="AQ13" s="264"/>
      <c r="AR13" s="264"/>
      <c r="AS13" s="264"/>
    </row>
    <row r="14" spans="1:45" s="266" customFormat="1" ht="13.05" customHeight="1" x14ac:dyDescent="0.25">
      <c r="A14" s="267"/>
      <c r="B14" s="268"/>
      <c r="C14" s="269"/>
      <c r="D14" s="269"/>
      <c r="E14" s="281"/>
      <c r="F14" s="271"/>
      <c r="G14" s="271"/>
      <c r="H14" s="272"/>
      <c r="I14" s="271"/>
      <c r="J14" s="282"/>
      <c r="K14" s="259"/>
      <c r="L14" s="259"/>
      <c r="M14" s="273" t="s">
        <v>99</v>
      </c>
      <c r="N14" s="283"/>
      <c r="O14" s="275" t="str">
        <f>UPPER(IF(OR(N14="a",N14="as"),M10,IF(OR(N14="b",N14="bs"),M18,)))</f>
        <v/>
      </c>
      <c r="P14" s="284"/>
      <c r="Q14" s="262"/>
      <c r="R14" s="263"/>
      <c r="S14" s="264"/>
      <c r="T14" s="264"/>
      <c r="U14" s="276" t="str">
        <f>[12]Birók!P28</f>
        <v xml:space="preserve"> </v>
      </c>
      <c r="V14" s="264"/>
      <c r="W14" s="264"/>
      <c r="X14" s="264"/>
      <c r="Y14" s="221"/>
      <c r="Z14" s="221"/>
      <c r="AA14" s="221" t="s">
        <v>76</v>
      </c>
      <c r="AB14" s="222">
        <v>3</v>
      </c>
      <c r="AC14" s="222">
        <v>2</v>
      </c>
      <c r="AD14" s="222">
        <v>1</v>
      </c>
      <c r="AE14" s="222">
        <v>0</v>
      </c>
      <c r="AF14" s="222">
        <v>0</v>
      </c>
      <c r="AG14" s="222">
        <v>0</v>
      </c>
      <c r="AH14" s="222">
        <v>0</v>
      </c>
      <c r="AI14" s="219"/>
      <c r="AJ14" s="219"/>
      <c r="AK14" s="219"/>
      <c r="AL14" s="264"/>
      <c r="AM14" s="264"/>
      <c r="AN14" s="264"/>
      <c r="AO14" s="264"/>
      <c r="AP14" s="264"/>
      <c r="AQ14" s="264"/>
      <c r="AR14" s="264"/>
      <c r="AS14" s="264"/>
    </row>
    <row r="15" spans="1:45" s="266" customFormat="1" ht="13.05" customHeight="1" x14ac:dyDescent="0.25">
      <c r="A15" s="291">
        <v>5</v>
      </c>
      <c r="B15" s="254" t="str">
        <f>IF($E15="","",VLOOKUP($E15,'[12]1MD ELO'!$A$7:$O$22,14))</f>
        <v/>
      </c>
      <c r="C15" s="255" t="str">
        <f>IF($E15="","",VLOOKUP($E15,'[12]1MD ELO'!$A$7:$O$22,15))</f>
        <v/>
      </c>
      <c r="D15" s="255" t="str">
        <f>IF($E15="","",VLOOKUP($E15,'[12]1MD ELO'!$A$7:$O$22,5))</f>
        <v/>
      </c>
      <c r="E15" s="277"/>
      <c r="F15" s="278" t="s">
        <v>451</v>
      </c>
      <c r="G15" s="278" t="str">
        <f>IF($E15="","",VLOOKUP($E15,'[12]1MD ELO'!$A$7:$O$22,3))</f>
        <v/>
      </c>
      <c r="H15" s="278" t="s">
        <v>477</v>
      </c>
      <c r="I15" s="278" t="str">
        <f>IF($E15="","",VLOOKUP($E15,'[12]1MD ELO'!$A$7:$O$22,4))</f>
        <v/>
      </c>
      <c r="J15" s="292"/>
      <c r="K15" s="259"/>
      <c r="L15" s="259"/>
      <c r="M15" s="259"/>
      <c r="N15" s="288"/>
      <c r="O15" s="259"/>
      <c r="P15" s="285"/>
      <c r="Q15" s="262"/>
      <c r="R15" s="263"/>
      <c r="S15" s="264"/>
      <c r="T15" s="264"/>
      <c r="U15" s="276" t="str">
        <f>[12]Birók!P29</f>
        <v xml:space="preserve"> </v>
      </c>
      <c r="V15" s="264"/>
      <c r="W15" s="264"/>
      <c r="X15" s="264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19"/>
      <c r="AJ15" s="219"/>
      <c r="AK15" s="219"/>
      <c r="AL15" s="264"/>
      <c r="AM15" s="264"/>
      <c r="AN15" s="264"/>
      <c r="AO15" s="264"/>
      <c r="AP15" s="264"/>
      <c r="AQ15" s="264"/>
      <c r="AR15" s="264"/>
      <c r="AS15" s="264"/>
    </row>
    <row r="16" spans="1:45" s="266" customFormat="1" ht="13.05" customHeight="1" thickBot="1" x14ac:dyDescent="0.3">
      <c r="A16" s="267"/>
      <c r="B16" s="268"/>
      <c r="C16" s="269"/>
      <c r="D16" s="269"/>
      <c r="E16" s="281"/>
      <c r="F16" s="271"/>
      <c r="G16" s="271"/>
      <c r="H16" s="272"/>
      <c r="I16" s="273" t="s">
        <v>99</v>
      </c>
      <c r="J16" s="274"/>
      <c r="K16" s="275" t="str">
        <f>UPPER(IF(OR(J16="a",J16="as"),F15,IF(OR(J16="b",J16="bs"),F17,)))</f>
        <v/>
      </c>
      <c r="L16" s="275"/>
      <c r="M16" s="259"/>
      <c r="N16" s="288"/>
      <c r="O16" s="273"/>
      <c r="P16" s="285"/>
      <c r="Q16" s="262"/>
      <c r="R16" s="263"/>
      <c r="S16" s="264"/>
      <c r="T16" s="264"/>
      <c r="U16" s="293" t="str">
        <f>[12]Birók!P30</f>
        <v>Egyik sem</v>
      </c>
      <c r="V16" s="264"/>
      <c r="W16" s="264"/>
      <c r="X16" s="264"/>
      <c r="Y16" s="221"/>
      <c r="Z16" s="221"/>
      <c r="AA16" s="221" t="s">
        <v>43</v>
      </c>
      <c r="AB16" s="222">
        <v>150</v>
      </c>
      <c r="AC16" s="222">
        <v>120</v>
      </c>
      <c r="AD16" s="222">
        <v>90</v>
      </c>
      <c r="AE16" s="222">
        <v>60</v>
      </c>
      <c r="AF16" s="222">
        <v>40</v>
      </c>
      <c r="AG16" s="222">
        <v>25</v>
      </c>
      <c r="AH16" s="222">
        <v>15</v>
      </c>
      <c r="AI16" s="219"/>
      <c r="AJ16" s="219"/>
      <c r="AK16" s="219"/>
      <c r="AL16" s="264"/>
      <c r="AM16" s="264"/>
      <c r="AN16" s="264"/>
      <c r="AO16" s="264"/>
      <c r="AP16" s="264"/>
      <c r="AQ16" s="264"/>
      <c r="AR16" s="264"/>
      <c r="AS16" s="264"/>
    </row>
    <row r="17" spans="1:45" s="266" customFormat="1" ht="13.05" customHeight="1" x14ac:dyDescent="0.25">
      <c r="A17" s="267">
        <v>6</v>
      </c>
      <c r="B17" s="254" t="str">
        <f>IF($E17="","",VLOOKUP($E17,'[12]1MD ELO'!$A$7:$O$22,14))</f>
        <v/>
      </c>
      <c r="C17" s="255" t="str">
        <f>IF($E17="","",VLOOKUP($E17,'[12]1MD ELO'!$A$7:$O$22,15))</f>
        <v/>
      </c>
      <c r="D17" s="255" t="str">
        <f>IF($E17="","",VLOOKUP($E17,'[12]1MD ELO'!$A$7:$O$22,5))</f>
        <v/>
      </c>
      <c r="E17" s="277"/>
      <c r="F17" s="278" t="s">
        <v>448</v>
      </c>
      <c r="G17" s="278" t="str">
        <f>IF($E17="","",VLOOKUP($E17,'[12]1MD ELO'!$A$7:$O$22,3))</f>
        <v/>
      </c>
      <c r="H17" s="278" t="s">
        <v>479</v>
      </c>
      <c r="I17" s="278" t="str">
        <f>IF($E17="","",VLOOKUP($E17,'[12]1MD ELO'!$A$7:$O$22,4))</f>
        <v/>
      </c>
      <c r="J17" s="279"/>
      <c r="K17" s="259"/>
      <c r="L17" s="280"/>
      <c r="M17" s="259"/>
      <c r="N17" s="288"/>
      <c r="O17" s="285"/>
      <c r="P17" s="285"/>
      <c r="Q17" s="262"/>
      <c r="R17" s="263"/>
      <c r="S17" s="264"/>
      <c r="T17" s="264"/>
      <c r="U17" s="264"/>
      <c r="V17" s="264"/>
      <c r="W17" s="264"/>
      <c r="X17" s="264"/>
      <c r="Y17" s="221"/>
      <c r="Z17" s="221"/>
      <c r="AA17" s="221" t="s">
        <v>67</v>
      </c>
      <c r="AB17" s="222">
        <v>120</v>
      </c>
      <c r="AC17" s="222">
        <v>90</v>
      </c>
      <c r="AD17" s="222">
        <v>60</v>
      </c>
      <c r="AE17" s="222">
        <v>40</v>
      </c>
      <c r="AF17" s="222">
        <v>25</v>
      </c>
      <c r="AG17" s="222">
        <v>15</v>
      </c>
      <c r="AH17" s="222">
        <v>8</v>
      </c>
      <c r="AI17" s="219"/>
      <c r="AJ17" s="219"/>
      <c r="AK17" s="219"/>
      <c r="AL17" s="264"/>
      <c r="AM17" s="264"/>
      <c r="AN17" s="264"/>
      <c r="AO17" s="264"/>
      <c r="AP17" s="264"/>
      <c r="AQ17" s="264"/>
      <c r="AR17" s="264"/>
      <c r="AS17" s="264"/>
    </row>
    <row r="18" spans="1:45" s="266" customFormat="1" ht="13.05" customHeight="1" x14ac:dyDescent="0.25">
      <c r="A18" s="267"/>
      <c r="B18" s="268"/>
      <c r="C18" s="269"/>
      <c r="D18" s="269"/>
      <c r="E18" s="281"/>
      <c r="F18" s="271"/>
      <c r="G18" s="271"/>
      <c r="H18" s="272"/>
      <c r="I18" s="271"/>
      <c r="J18" s="282"/>
      <c r="K18" s="273" t="s">
        <v>99</v>
      </c>
      <c r="L18" s="283"/>
      <c r="M18" s="275"/>
      <c r="N18" s="294"/>
      <c r="O18" s="285"/>
      <c r="P18" s="285"/>
      <c r="Q18" s="262"/>
      <c r="R18" s="263"/>
      <c r="S18" s="264"/>
      <c r="T18" s="264"/>
      <c r="U18" s="264"/>
      <c r="V18" s="264"/>
      <c r="W18" s="264"/>
      <c r="X18" s="264"/>
      <c r="Y18" s="221"/>
      <c r="Z18" s="221"/>
      <c r="AA18" s="221" t="s">
        <v>68</v>
      </c>
      <c r="AB18" s="222">
        <v>90</v>
      </c>
      <c r="AC18" s="222">
        <v>60</v>
      </c>
      <c r="AD18" s="222">
        <v>40</v>
      </c>
      <c r="AE18" s="222">
        <v>25</v>
      </c>
      <c r="AF18" s="222">
        <v>15</v>
      </c>
      <c r="AG18" s="222">
        <v>8</v>
      </c>
      <c r="AH18" s="222">
        <v>4</v>
      </c>
      <c r="AI18" s="219"/>
      <c r="AJ18" s="219"/>
      <c r="AK18" s="219"/>
      <c r="AL18" s="264"/>
      <c r="AM18" s="264"/>
      <c r="AN18" s="264"/>
      <c r="AO18" s="264"/>
      <c r="AP18" s="264"/>
      <c r="AQ18" s="264"/>
      <c r="AR18" s="264"/>
      <c r="AS18" s="264"/>
    </row>
    <row r="19" spans="1:45" s="266" customFormat="1" ht="13.05" customHeight="1" x14ac:dyDescent="0.25">
      <c r="A19" s="267">
        <v>7</v>
      </c>
      <c r="B19" s="254" t="str">
        <f>IF($E19="","",VLOOKUP($E19,'[12]1MD ELO'!$A$7:$O$22,14))</f>
        <v/>
      </c>
      <c r="C19" s="255" t="str">
        <f>IF($E19="","",VLOOKUP($E19,'[12]1MD ELO'!$A$7:$O$22,15))</f>
        <v/>
      </c>
      <c r="D19" s="255" t="str">
        <f>IF($E19="","",VLOOKUP($E19,'[12]1MD ELO'!$A$7:$O$22,5))</f>
        <v/>
      </c>
      <c r="E19" s="277"/>
      <c r="F19" s="278" t="s">
        <v>452</v>
      </c>
      <c r="G19" s="278" t="str">
        <f>IF($E19="","",VLOOKUP($E19,'[12]1MD ELO'!$A$7:$O$22,3))</f>
        <v/>
      </c>
      <c r="H19" s="278" t="s">
        <v>481</v>
      </c>
      <c r="I19" s="278" t="str">
        <f>IF($E19="","",VLOOKUP($E19,'[12]1MD ELO'!$A$7:$O$22,4))</f>
        <v/>
      </c>
      <c r="J19" s="258"/>
      <c r="K19" s="259"/>
      <c r="L19" s="286"/>
      <c r="M19" s="259"/>
      <c r="N19" s="285"/>
      <c r="O19" s="285"/>
      <c r="P19" s="285"/>
      <c r="Q19" s="262"/>
      <c r="R19" s="263"/>
      <c r="S19" s="264"/>
      <c r="T19" s="264"/>
      <c r="U19" s="264"/>
      <c r="V19" s="264"/>
      <c r="W19" s="264"/>
      <c r="X19" s="264"/>
      <c r="Y19" s="221"/>
      <c r="Z19" s="221"/>
      <c r="AA19" s="221" t="s">
        <v>69</v>
      </c>
      <c r="AB19" s="222">
        <v>60</v>
      </c>
      <c r="AC19" s="222">
        <v>40</v>
      </c>
      <c r="AD19" s="222">
        <v>25</v>
      </c>
      <c r="AE19" s="222">
        <v>15</v>
      </c>
      <c r="AF19" s="222">
        <v>8</v>
      </c>
      <c r="AG19" s="222">
        <v>4</v>
      </c>
      <c r="AH19" s="222">
        <v>2</v>
      </c>
      <c r="AI19" s="219"/>
      <c r="AJ19" s="219"/>
      <c r="AK19" s="219"/>
      <c r="AL19" s="264"/>
      <c r="AM19" s="264"/>
      <c r="AN19" s="264"/>
      <c r="AO19" s="264"/>
      <c r="AP19" s="264"/>
      <c r="AQ19" s="264"/>
      <c r="AR19" s="264"/>
      <c r="AS19" s="264"/>
    </row>
    <row r="20" spans="1:45" s="266" customFormat="1" ht="13.05" customHeight="1" x14ac:dyDescent="0.25">
      <c r="A20" s="267"/>
      <c r="B20" s="268"/>
      <c r="C20" s="269"/>
      <c r="D20" s="269"/>
      <c r="E20" s="270"/>
      <c r="F20" s="271"/>
      <c r="G20" s="271"/>
      <c r="H20" s="272"/>
      <c r="I20" s="273" t="s">
        <v>99</v>
      </c>
      <c r="J20" s="274"/>
      <c r="K20" s="275" t="str">
        <f>UPPER(IF(OR(J20="a",J20="as"),F19,IF(OR(J20="b",J20="bs"),F21,)))</f>
        <v/>
      </c>
      <c r="L20" s="289"/>
      <c r="M20" s="259"/>
      <c r="N20" s="285"/>
      <c r="O20" s="285"/>
      <c r="P20" s="285"/>
      <c r="Q20" s="262"/>
      <c r="R20" s="263"/>
      <c r="S20" s="264"/>
      <c r="T20" s="264"/>
      <c r="U20" s="264"/>
      <c r="V20" s="264"/>
      <c r="W20" s="264"/>
      <c r="X20" s="264"/>
      <c r="Y20" s="221"/>
      <c r="Z20" s="221"/>
      <c r="AA20" s="221" t="s">
        <v>70</v>
      </c>
      <c r="AB20" s="222">
        <v>40</v>
      </c>
      <c r="AC20" s="222">
        <v>25</v>
      </c>
      <c r="AD20" s="222">
        <v>15</v>
      </c>
      <c r="AE20" s="222">
        <v>8</v>
      </c>
      <c r="AF20" s="222">
        <v>4</v>
      </c>
      <c r="AG20" s="222">
        <v>2</v>
      </c>
      <c r="AH20" s="222">
        <v>1</v>
      </c>
      <c r="AI20" s="219"/>
      <c r="AJ20" s="219"/>
      <c r="AK20" s="219"/>
      <c r="AL20" s="264"/>
      <c r="AM20" s="264"/>
      <c r="AN20" s="264"/>
      <c r="AO20" s="264"/>
      <c r="AP20" s="264"/>
      <c r="AQ20" s="264"/>
      <c r="AR20" s="264"/>
      <c r="AS20" s="264"/>
    </row>
    <row r="21" spans="1:45" s="266" customFormat="1" ht="13.05" customHeight="1" x14ac:dyDescent="0.25">
      <c r="A21" s="295">
        <v>8</v>
      </c>
      <c r="B21" s="254" t="str">
        <f>IF($E21="","",VLOOKUP($E21,'[12]1MD ELO'!$A$7:$O$22,14))</f>
        <v/>
      </c>
      <c r="C21" s="255" t="str">
        <f>IF($E21="","",VLOOKUP($E21,'[12]1MD ELO'!$A$7:$O$22,15))</f>
        <v/>
      </c>
      <c r="D21" s="255" t="str">
        <f>IF($E21="","",VLOOKUP($E21,'[12]1MD ELO'!$A$7:$O$22,5))</f>
        <v/>
      </c>
      <c r="E21" s="256"/>
      <c r="F21" s="296" t="s">
        <v>449</v>
      </c>
      <c r="G21" s="296" t="str">
        <f>IF($E21="","",VLOOKUP($E21,'[12]1MD ELO'!$A$7:$O$22,3))</f>
        <v/>
      </c>
      <c r="H21" s="296" t="s">
        <v>479</v>
      </c>
      <c r="I21" s="296" t="str">
        <f>IF($E21="","",VLOOKUP($E21,'[12]1MD ELO'!$A$7:$O$22,4))</f>
        <v/>
      </c>
      <c r="J21" s="290"/>
      <c r="K21" s="259"/>
      <c r="L21" s="259"/>
      <c r="M21" s="259"/>
      <c r="N21" s="285"/>
      <c r="O21" s="285"/>
      <c r="P21" s="285"/>
      <c r="Q21" s="262"/>
      <c r="R21" s="263"/>
      <c r="S21" s="264"/>
      <c r="T21" s="264"/>
      <c r="U21" s="264"/>
      <c r="V21" s="264"/>
      <c r="W21" s="264"/>
      <c r="X21" s="264"/>
      <c r="Y21" s="221"/>
      <c r="Z21" s="221"/>
      <c r="AA21" s="221" t="s">
        <v>71</v>
      </c>
      <c r="AB21" s="222">
        <v>25</v>
      </c>
      <c r="AC21" s="222">
        <v>15</v>
      </c>
      <c r="AD21" s="222">
        <v>10</v>
      </c>
      <c r="AE21" s="222">
        <v>6</v>
      </c>
      <c r="AF21" s="222">
        <v>3</v>
      </c>
      <c r="AG21" s="222">
        <v>1</v>
      </c>
      <c r="AH21" s="222">
        <v>0</v>
      </c>
      <c r="AI21" s="219"/>
      <c r="AJ21" s="219"/>
      <c r="AK21" s="219"/>
      <c r="AL21" s="264"/>
      <c r="AM21" s="264"/>
      <c r="AN21" s="264"/>
      <c r="AO21" s="264"/>
      <c r="AP21" s="264"/>
      <c r="AQ21" s="264"/>
      <c r="AR21" s="264"/>
      <c r="AS21" s="264"/>
    </row>
    <row r="22" spans="1:45" s="266" customFormat="1" ht="9.4499999999999993" customHeight="1" x14ac:dyDescent="0.25">
      <c r="A22" s="297"/>
      <c r="B22" s="260"/>
      <c r="C22" s="260"/>
      <c r="D22" s="260"/>
      <c r="E22" s="270"/>
      <c r="F22" s="260"/>
      <c r="G22" s="260"/>
      <c r="H22" s="260"/>
      <c r="I22" s="260"/>
      <c r="J22" s="270"/>
      <c r="K22" s="260"/>
      <c r="L22" s="260"/>
      <c r="M22" s="260"/>
      <c r="N22" s="262"/>
      <c r="O22" s="262"/>
      <c r="P22" s="262"/>
      <c r="Q22" s="262"/>
      <c r="R22" s="263"/>
      <c r="S22" s="264"/>
      <c r="T22" s="264"/>
      <c r="U22" s="264"/>
      <c r="V22" s="264"/>
      <c r="W22" s="264"/>
      <c r="X22" s="264"/>
      <c r="Y22" s="221"/>
      <c r="Z22" s="221"/>
      <c r="AA22" s="221" t="s">
        <v>72</v>
      </c>
      <c r="AB22" s="222">
        <v>15</v>
      </c>
      <c r="AC22" s="222">
        <v>10</v>
      </c>
      <c r="AD22" s="222">
        <v>6</v>
      </c>
      <c r="AE22" s="222">
        <v>3</v>
      </c>
      <c r="AF22" s="222">
        <v>1</v>
      </c>
      <c r="AG22" s="222">
        <v>0</v>
      </c>
      <c r="AH22" s="222">
        <v>0</v>
      </c>
      <c r="AI22" s="219"/>
      <c r="AJ22" s="219"/>
      <c r="AK22" s="219"/>
      <c r="AL22" s="264"/>
      <c r="AM22" s="264"/>
      <c r="AN22" s="264"/>
      <c r="AO22" s="264"/>
      <c r="AP22" s="264"/>
      <c r="AQ22" s="264"/>
      <c r="AR22" s="264"/>
      <c r="AS22" s="264"/>
    </row>
    <row r="23" spans="1:45" s="266" customFormat="1" ht="9.4499999999999993" customHeight="1" x14ac:dyDescent="0.25">
      <c r="A23" s="298"/>
      <c r="B23" s="270"/>
      <c r="C23" s="270"/>
      <c r="D23" s="270"/>
      <c r="E23" s="270"/>
      <c r="F23" s="260"/>
      <c r="G23" s="260"/>
      <c r="H23" s="264"/>
      <c r="I23" s="299"/>
      <c r="J23" s="270"/>
      <c r="K23" s="260"/>
      <c r="L23" s="260"/>
      <c r="M23" s="260"/>
      <c r="N23" s="262"/>
      <c r="O23" s="262"/>
      <c r="P23" s="262"/>
      <c r="Q23" s="262"/>
      <c r="R23" s="263"/>
      <c r="S23" s="264"/>
      <c r="T23" s="264"/>
      <c r="U23" s="264"/>
      <c r="V23" s="264"/>
      <c r="W23" s="264"/>
      <c r="X23" s="264"/>
      <c r="Y23" s="221"/>
      <c r="Z23" s="221"/>
      <c r="AA23" s="221" t="s">
        <v>73</v>
      </c>
      <c r="AB23" s="222">
        <v>10</v>
      </c>
      <c r="AC23" s="222">
        <v>6</v>
      </c>
      <c r="AD23" s="222">
        <v>3</v>
      </c>
      <c r="AE23" s="222">
        <v>1</v>
      </c>
      <c r="AF23" s="222">
        <v>0</v>
      </c>
      <c r="AG23" s="222">
        <v>0</v>
      </c>
      <c r="AH23" s="222">
        <v>0</v>
      </c>
      <c r="AI23" s="219"/>
      <c r="AJ23" s="219"/>
      <c r="AK23" s="219"/>
      <c r="AL23" s="264"/>
      <c r="AM23" s="264"/>
      <c r="AN23" s="264"/>
      <c r="AO23" s="264"/>
      <c r="AP23" s="264"/>
      <c r="AQ23" s="264"/>
      <c r="AR23" s="264"/>
      <c r="AS23" s="264"/>
    </row>
    <row r="24" spans="1:45" s="266" customFormat="1" ht="9.4499999999999993" customHeight="1" x14ac:dyDescent="0.25">
      <c r="A24" s="298"/>
      <c r="B24" s="260"/>
      <c r="C24" s="260"/>
      <c r="D24" s="260"/>
      <c r="E24" s="270"/>
      <c r="F24" s="260"/>
      <c r="G24" s="260"/>
      <c r="H24" s="260"/>
      <c r="I24" s="260"/>
      <c r="J24" s="270"/>
      <c r="K24" s="260"/>
      <c r="L24" s="300"/>
      <c r="M24" s="260"/>
      <c r="N24" s="262"/>
      <c r="O24" s="262"/>
      <c r="P24" s="262"/>
      <c r="Q24" s="262"/>
      <c r="R24" s="263"/>
      <c r="S24" s="264"/>
      <c r="T24" s="264"/>
      <c r="U24" s="264"/>
      <c r="V24" s="264"/>
      <c r="W24" s="264"/>
      <c r="X24" s="264"/>
      <c r="Y24" s="221"/>
      <c r="Z24" s="221"/>
      <c r="AA24" s="221" t="s">
        <v>74</v>
      </c>
      <c r="AB24" s="222">
        <v>6</v>
      </c>
      <c r="AC24" s="222">
        <v>3</v>
      </c>
      <c r="AD24" s="222">
        <v>1</v>
      </c>
      <c r="AE24" s="222">
        <v>0</v>
      </c>
      <c r="AF24" s="222">
        <v>0</v>
      </c>
      <c r="AG24" s="222">
        <v>0</v>
      </c>
      <c r="AH24" s="222">
        <v>0</v>
      </c>
      <c r="AI24" s="219"/>
      <c r="AJ24" s="219"/>
      <c r="AK24" s="219"/>
      <c r="AL24" s="264"/>
      <c r="AM24" s="264"/>
      <c r="AN24" s="264"/>
      <c r="AO24" s="264"/>
      <c r="AP24" s="264"/>
      <c r="AQ24" s="264"/>
      <c r="AR24" s="264"/>
      <c r="AS24" s="264"/>
    </row>
    <row r="25" spans="1:45" s="266" customFormat="1" ht="9.4499999999999993" customHeight="1" x14ac:dyDescent="0.25">
      <c r="A25" s="298"/>
      <c r="B25" s="270"/>
      <c r="C25" s="270"/>
      <c r="D25" s="270"/>
      <c r="E25" s="270"/>
      <c r="F25" s="260"/>
      <c r="G25" s="260"/>
      <c r="H25" s="264"/>
      <c r="I25" s="260"/>
      <c r="J25" s="270"/>
      <c r="K25" s="299"/>
      <c r="L25" s="270"/>
      <c r="M25" s="260"/>
      <c r="N25" s="262"/>
      <c r="O25" s="262"/>
      <c r="P25" s="262"/>
      <c r="Q25" s="262"/>
      <c r="R25" s="263"/>
      <c r="S25" s="264"/>
      <c r="T25" s="264"/>
      <c r="U25" s="264"/>
      <c r="V25" s="264"/>
      <c r="W25" s="264"/>
      <c r="X25" s="264"/>
      <c r="Y25" s="221"/>
      <c r="Z25" s="221"/>
      <c r="AA25" s="221" t="s">
        <v>79</v>
      </c>
      <c r="AB25" s="222">
        <v>3</v>
      </c>
      <c r="AC25" s="222">
        <v>2</v>
      </c>
      <c r="AD25" s="222">
        <v>1</v>
      </c>
      <c r="AE25" s="222">
        <v>0</v>
      </c>
      <c r="AF25" s="222">
        <v>0</v>
      </c>
      <c r="AG25" s="222">
        <v>0</v>
      </c>
      <c r="AH25" s="222">
        <v>0</v>
      </c>
      <c r="AI25" s="219"/>
      <c r="AJ25" s="219"/>
      <c r="AK25" s="219"/>
      <c r="AL25" s="264"/>
      <c r="AM25" s="264"/>
      <c r="AN25" s="264"/>
      <c r="AO25" s="264"/>
      <c r="AP25" s="264"/>
      <c r="AQ25" s="264"/>
      <c r="AR25" s="264"/>
      <c r="AS25" s="264"/>
    </row>
    <row r="26" spans="1:45" s="266" customFormat="1" ht="9.4499999999999993" customHeight="1" x14ac:dyDescent="0.25">
      <c r="A26" s="298"/>
      <c r="B26" s="260"/>
      <c r="C26" s="260"/>
      <c r="D26" s="260"/>
      <c r="E26" s="270"/>
      <c r="F26" s="260"/>
      <c r="G26" s="260"/>
      <c r="H26" s="260"/>
      <c r="I26" s="260"/>
      <c r="J26" s="270"/>
      <c r="K26" s="260"/>
      <c r="L26" s="260"/>
      <c r="M26" s="260"/>
      <c r="N26" s="262"/>
      <c r="O26" s="262"/>
      <c r="P26" s="262"/>
      <c r="Q26" s="262"/>
      <c r="R26" s="263"/>
      <c r="S26" s="301"/>
      <c r="T26" s="264"/>
      <c r="U26" s="264"/>
      <c r="V26" s="264"/>
      <c r="W26" s="264"/>
      <c r="X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19"/>
      <c r="AJ26" s="219"/>
      <c r="AK26" s="219"/>
      <c r="AL26" s="264"/>
      <c r="AM26" s="264"/>
      <c r="AN26" s="264"/>
      <c r="AO26" s="264"/>
      <c r="AP26" s="264"/>
      <c r="AQ26" s="264"/>
      <c r="AR26" s="264"/>
      <c r="AS26" s="264"/>
    </row>
    <row r="27" spans="1:45" s="266" customFormat="1" ht="9.4499999999999993" customHeight="1" x14ac:dyDescent="0.25">
      <c r="A27" s="298"/>
      <c r="B27" s="270"/>
      <c r="C27" s="270"/>
      <c r="D27" s="270"/>
      <c r="E27" s="270"/>
      <c r="F27" s="260"/>
      <c r="G27" s="260"/>
      <c r="H27" s="264"/>
      <c r="I27" s="299"/>
      <c r="J27" s="270"/>
      <c r="K27" s="260"/>
      <c r="L27" s="260"/>
      <c r="M27" s="260"/>
      <c r="N27" s="262"/>
      <c r="O27" s="262"/>
      <c r="P27" s="262"/>
      <c r="Q27" s="262"/>
      <c r="R27" s="263"/>
      <c r="S27" s="264"/>
      <c r="T27" s="264"/>
      <c r="U27" s="264"/>
      <c r="V27" s="264"/>
      <c r="W27" s="264"/>
      <c r="X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19"/>
      <c r="AJ27" s="219"/>
      <c r="AK27" s="219"/>
      <c r="AL27" s="264"/>
      <c r="AM27" s="264"/>
      <c r="AN27" s="264"/>
      <c r="AO27" s="264"/>
      <c r="AP27" s="264"/>
      <c r="AQ27" s="264"/>
      <c r="AR27" s="264"/>
      <c r="AS27" s="264"/>
    </row>
    <row r="28" spans="1:45" s="266" customFormat="1" ht="9.4499999999999993" customHeight="1" x14ac:dyDescent="0.25">
      <c r="A28" s="298"/>
      <c r="B28" s="260"/>
      <c r="C28" s="260"/>
      <c r="D28" s="260"/>
      <c r="E28" s="270"/>
      <c r="F28" s="260"/>
      <c r="G28" s="260"/>
      <c r="H28" s="260"/>
      <c r="I28" s="260"/>
      <c r="J28" s="270"/>
      <c r="K28" s="260"/>
      <c r="L28" s="260"/>
      <c r="M28" s="260"/>
      <c r="N28" s="262"/>
      <c r="O28" s="262"/>
      <c r="P28" s="262"/>
      <c r="Q28" s="262"/>
      <c r="R28" s="263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</row>
    <row r="29" spans="1:45" s="266" customFormat="1" ht="9.4499999999999993" customHeight="1" x14ac:dyDescent="0.25">
      <c r="A29" s="298"/>
      <c r="B29" s="270"/>
      <c r="C29" s="270"/>
      <c r="D29" s="270"/>
      <c r="E29" s="270"/>
      <c r="F29" s="260"/>
      <c r="G29" s="260"/>
      <c r="H29" s="264"/>
      <c r="I29" s="260"/>
      <c r="J29" s="270"/>
      <c r="K29" s="260"/>
      <c r="L29" s="260"/>
      <c r="M29" s="299"/>
      <c r="N29" s="270"/>
      <c r="O29" s="260"/>
      <c r="P29" s="262"/>
      <c r="Q29" s="262"/>
      <c r="R29" s="263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</row>
    <row r="30" spans="1:45" s="266" customFormat="1" ht="9.4499999999999993" customHeight="1" x14ac:dyDescent="0.25">
      <c r="A30" s="298"/>
      <c r="B30" s="260"/>
      <c r="C30" s="260"/>
      <c r="D30" s="260"/>
      <c r="E30" s="270"/>
      <c r="F30" s="260"/>
      <c r="G30" s="260"/>
      <c r="H30" s="260"/>
      <c r="I30" s="260"/>
      <c r="J30" s="270"/>
      <c r="K30" s="260"/>
      <c r="L30" s="260"/>
      <c r="M30" s="260"/>
      <c r="N30" s="262"/>
      <c r="O30" s="260"/>
      <c r="P30" s="262"/>
      <c r="Q30" s="262"/>
      <c r="R30" s="263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</row>
    <row r="31" spans="1:45" s="266" customFormat="1" ht="9.4499999999999993" customHeight="1" x14ac:dyDescent="0.25">
      <c r="A31" s="298"/>
      <c r="B31" s="270"/>
      <c r="C31" s="270"/>
      <c r="D31" s="270"/>
      <c r="E31" s="270"/>
      <c r="F31" s="260"/>
      <c r="G31" s="260"/>
      <c r="H31" s="264"/>
      <c r="I31" s="299"/>
      <c r="J31" s="270"/>
      <c r="K31" s="260"/>
      <c r="L31" s="260"/>
      <c r="M31" s="260"/>
      <c r="N31" s="262"/>
      <c r="O31" s="262"/>
      <c r="P31" s="262"/>
      <c r="Q31" s="262"/>
      <c r="R31" s="263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</row>
    <row r="32" spans="1:45" s="266" customFormat="1" ht="9.4499999999999993" customHeight="1" x14ac:dyDescent="0.25">
      <c r="A32" s="298"/>
      <c r="B32" s="260"/>
      <c r="C32" s="260"/>
      <c r="D32" s="260"/>
      <c r="E32" s="270"/>
      <c r="F32" s="260"/>
      <c r="G32" s="260"/>
      <c r="H32" s="260"/>
      <c r="I32" s="260"/>
      <c r="J32" s="270"/>
      <c r="K32" s="260"/>
      <c r="L32" s="300"/>
      <c r="M32" s="260"/>
      <c r="N32" s="262"/>
      <c r="O32" s="262"/>
      <c r="P32" s="262"/>
      <c r="Q32" s="262"/>
      <c r="R32" s="263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</row>
    <row r="33" spans="1:45" s="266" customFormat="1" ht="9.4499999999999993" customHeight="1" x14ac:dyDescent="0.25">
      <c r="A33" s="298"/>
      <c r="B33" s="270"/>
      <c r="C33" s="270"/>
      <c r="D33" s="270"/>
      <c r="E33" s="270"/>
      <c r="F33" s="260"/>
      <c r="G33" s="260"/>
      <c r="H33" s="264"/>
      <c r="I33" s="260"/>
      <c r="J33" s="270"/>
      <c r="K33" s="299"/>
      <c r="L33" s="270"/>
      <c r="M33" s="260"/>
      <c r="N33" s="262"/>
      <c r="O33" s="262"/>
      <c r="P33" s="262"/>
      <c r="Q33" s="262"/>
      <c r="R33" s="26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</row>
    <row r="34" spans="1:45" s="266" customFormat="1" ht="9.4499999999999993" customHeight="1" x14ac:dyDescent="0.25">
      <c r="A34" s="298"/>
      <c r="B34" s="260"/>
      <c r="C34" s="260"/>
      <c r="D34" s="260"/>
      <c r="E34" s="270"/>
      <c r="F34" s="260"/>
      <c r="G34" s="260"/>
      <c r="H34" s="260"/>
      <c r="I34" s="260"/>
      <c r="J34" s="270"/>
      <c r="K34" s="260"/>
      <c r="L34" s="260"/>
      <c r="M34" s="260"/>
      <c r="N34" s="262"/>
      <c r="O34" s="262"/>
      <c r="P34" s="262"/>
      <c r="Q34" s="262"/>
      <c r="R34" s="263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</row>
    <row r="35" spans="1:45" s="266" customFormat="1" ht="9.4499999999999993" customHeight="1" x14ac:dyDescent="0.25">
      <c r="A35" s="298"/>
      <c r="B35" s="270"/>
      <c r="C35" s="270"/>
      <c r="D35" s="270"/>
      <c r="E35" s="270"/>
      <c r="F35" s="260"/>
      <c r="G35" s="260"/>
      <c r="H35" s="264"/>
      <c r="I35" s="299"/>
      <c r="J35" s="270"/>
      <c r="K35" s="260"/>
      <c r="L35" s="260"/>
      <c r="M35" s="260"/>
      <c r="N35" s="262"/>
      <c r="O35" s="262"/>
      <c r="P35" s="262"/>
      <c r="Q35" s="262"/>
      <c r="R35" s="263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</row>
    <row r="36" spans="1:45" s="266" customFormat="1" ht="9.4499999999999993" customHeight="1" x14ac:dyDescent="0.25">
      <c r="A36" s="297"/>
      <c r="B36" s="260"/>
      <c r="C36" s="260"/>
      <c r="D36" s="260"/>
      <c r="E36" s="270"/>
      <c r="F36" s="260"/>
      <c r="G36" s="260"/>
      <c r="H36" s="260"/>
      <c r="I36" s="260"/>
      <c r="J36" s="270"/>
      <c r="K36" s="260"/>
      <c r="L36" s="260"/>
      <c r="M36" s="260"/>
      <c r="N36" s="260"/>
      <c r="O36" s="260"/>
      <c r="P36" s="260"/>
      <c r="Q36" s="262"/>
      <c r="R36" s="263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</row>
    <row r="37" spans="1:45" s="266" customFormat="1" ht="9.4499999999999993" customHeight="1" x14ac:dyDescent="0.25">
      <c r="A37" s="298"/>
      <c r="B37" s="270"/>
      <c r="C37" s="270"/>
      <c r="D37" s="270"/>
      <c r="E37" s="270"/>
      <c r="F37" s="302"/>
      <c r="G37" s="302"/>
      <c r="H37" s="303"/>
      <c r="I37" s="259"/>
      <c r="J37" s="282"/>
      <c r="K37" s="259"/>
      <c r="L37" s="259"/>
      <c r="M37" s="259"/>
      <c r="N37" s="285"/>
      <c r="O37" s="285"/>
      <c r="P37" s="285"/>
      <c r="Q37" s="262"/>
      <c r="R37" s="263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</row>
    <row r="38" spans="1:45" s="266" customFormat="1" ht="9.4499999999999993" customHeight="1" x14ac:dyDescent="0.25">
      <c r="A38" s="297"/>
      <c r="B38" s="260"/>
      <c r="C38" s="260"/>
      <c r="D38" s="260"/>
      <c r="E38" s="270"/>
      <c r="F38" s="260"/>
      <c r="G38" s="260"/>
      <c r="H38" s="260"/>
      <c r="I38" s="260"/>
      <c r="J38" s="270"/>
      <c r="K38" s="260"/>
      <c r="L38" s="260"/>
      <c r="M38" s="260"/>
      <c r="N38" s="262"/>
      <c r="O38" s="262"/>
      <c r="P38" s="262"/>
      <c r="Q38" s="262"/>
      <c r="R38" s="263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</row>
    <row r="39" spans="1:45" s="266" customFormat="1" ht="9.4499999999999993" customHeight="1" x14ac:dyDescent="0.25">
      <c r="A39" s="298"/>
      <c r="B39" s="270"/>
      <c r="C39" s="270"/>
      <c r="D39" s="270"/>
      <c r="E39" s="270"/>
      <c r="F39" s="260"/>
      <c r="G39" s="260"/>
      <c r="H39" s="264"/>
      <c r="I39" s="299"/>
      <c r="J39" s="270"/>
      <c r="K39" s="260"/>
      <c r="L39" s="260"/>
      <c r="M39" s="260"/>
      <c r="N39" s="262"/>
      <c r="O39" s="262"/>
      <c r="P39" s="262"/>
      <c r="Q39" s="262"/>
      <c r="R39" s="263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</row>
    <row r="40" spans="1:45" s="266" customFormat="1" ht="9.4499999999999993" customHeight="1" x14ac:dyDescent="0.25">
      <c r="A40" s="298"/>
      <c r="B40" s="260"/>
      <c r="C40" s="260"/>
      <c r="D40" s="260"/>
      <c r="E40" s="270"/>
      <c r="F40" s="260"/>
      <c r="G40" s="260"/>
      <c r="H40" s="260"/>
      <c r="I40" s="260"/>
      <c r="J40" s="270"/>
      <c r="K40" s="260"/>
      <c r="L40" s="300"/>
      <c r="M40" s="260"/>
      <c r="N40" s="262"/>
      <c r="O40" s="262"/>
      <c r="P40" s="262"/>
      <c r="Q40" s="262"/>
      <c r="R40" s="263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</row>
    <row r="41" spans="1:45" s="266" customFormat="1" ht="9.4499999999999993" customHeight="1" x14ac:dyDescent="0.25">
      <c r="A41" s="298"/>
      <c r="B41" s="270"/>
      <c r="C41" s="270"/>
      <c r="D41" s="270"/>
      <c r="E41" s="270"/>
      <c r="F41" s="260"/>
      <c r="G41" s="260"/>
      <c r="H41" s="264"/>
      <c r="I41" s="260"/>
      <c r="J41" s="270"/>
      <c r="K41" s="299"/>
      <c r="L41" s="270"/>
      <c r="M41" s="260"/>
      <c r="N41" s="262"/>
      <c r="O41" s="262"/>
      <c r="P41" s="262"/>
      <c r="Q41" s="262"/>
      <c r="R41" s="263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</row>
    <row r="42" spans="1:45" s="266" customFormat="1" ht="9.4499999999999993" customHeight="1" x14ac:dyDescent="0.25">
      <c r="A42" s="298"/>
      <c r="B42" s="260"/>
      <c r="C42" s="260"/>
      <c r="D42" s="260"/>
      <c r="E42" s="270"/>
      <c r="F42" s="260"/>
      <c r="G42" s="260"/>
      <c r="H42" s="260"/>
      <c r="I42" s="260"/>
      <c r="J42" s="270"/>
      <c r="K42" s="260"/>
      <c r="L42" s="260"/>
      <c r="M42" s="260"/>
      <c r="N42" s="262"/>
      <c r="O42" s="262"/>
      <c r="P42" s="262"/>
      <c r="Q42" s="262"/>
      <c r="R42" s="263"/>
      <c r="S42" s="301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</row>
    <row r="43" spans="1:45" s="266" customFormat="1" ht="9.4499999999999993" customHeight="1" x14ac:dyDescent="0.25">
      <c r="A43" s="298"/>
      <c r="B43" s="270"/>
      <c r="C43" s="270"/>
      <c r="D43" s="270"/>
      <c r="E43" s="270"/>
      <c r="F43" s="260"/>
      <c r="G43" s="260"/>
      <c r="H43" s="264"/>
      <c r="I43" s="299"/>
      <c r="J43" s="270"/>
      <c r="K43" s="260"/>
      <c r="L43" s="260"/>
      <c r="M43" s="260"/>
      <c r="N43" s="262"/>
      <c r="O43" s="262"/>
      <c r="P43" s="262"/>
      <c r="Q43" s="262"/>
      <c r="R43" s="263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</row>
    <row r="44" spans="1:45" s="266" customFormat="1" ht="9.4499999999999993" customHeight="1" x14ac:dyDescent="0.25">
      <c r="A44" s="298"/>
      <c r="B44" s="260"/>
      <c r="C44" s="260"/>
      <c r="D44" s="260"/>
      <c r="E44" s="270"/>
      <c r="F44" s="260"/>
      <c r="G44" s="260"/>
      <c r="H44" s="260"/>
      <c r="I44" s="260"/>
      <c r="J44" s="270"/>
      <c r="K44" s="260"/>
      <c r="L44" s="260"/>
      <c r="M44" s="260"/>
      <c r="N44" s="262"/>
      <c r="O44" s="262"/>
      <c r="P44" s="262"/>
      <c r="Q44" s="262"/>
      <c r="R44" s="263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</row>
    <row r="45" spans="1:45" s="266" customFormat="1" ht="9.4499999999999993" customHeight="1" x14ac:dyDescent="0.25">
      <c r="A45" s="298"/>
      <c r="B45" s="270"/>
      <c r="C45" s="270"/>
      <c r="D45" s="270"/>
      <c r="E45" s="270"/>
      <c r="F45" s="260"/>
      <c r="G45" s="260"/>
      <c r="H45" s="264"/>
      <c r="I45" s="260"/>
      <c r="J45" s="270"/>
      <c r="K45" s="260"/>
      <c r="L45" s="260"/>
      <c r="M45" s="299"/>
      <c r="N45" s="270"/>
      <c r="O45" s="260"/>
      <c r="P45" s="262"/>
      <c r="Q45" s="262"/>
      <c r="R45" s="263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</row>
    <row r="46" spans="1:45" s="266" customFormat="1" ht="9.4499999999999993" customHeight="1" x14ac:dyDescent="0.25">
      <c r="A46" s="298"/>
      <c r="B46" s="260"/>
      <c r="C46" s="260"/>
      <c r="D46" s="260"/>
      <c r="E46" s="270"/>
      <c r="F46" s="260"/>
      <c r="G46" s="260"/>
      <c r="H46" s="260"/>
      <c r="I46" s="260"/>
      <c r="J46" s="270"/>
      <c r="K46" s="260"/>
      <c r="L46" s="260"/>
      <c r="M46" s="260"/>
      <c r="N46" s="262"/>
      <c r="O46" s="260"/>
      <c r="P46" s="262"/>
      <c r="Q46" s="262"/>
      <c r="R46" s="263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</row>
    <row r="47" spans="1:45" s="266" customFormat="1" ht="9.4499999999999993" customHeight="1" x14ac:dyDescent="0.25">
      <c r="A47" s="298"/>
      <c r="B47" s="270"/>
      <c r="C47" s="270"/>
      <c r="D47" s="270"/>
      <c r="E47" s="270"/>
      <c r="F47" s="260"/>
      <c r="G47" s="260"/>
      <c r="H47" s="264"/>
      <c r="I47" s="299"/>
      <c r="J47" s="270"/>
      <c r="K47" s="260"/>
      <c r="L47" s="260"/>
      <c r="M47" s="260"/>
      <c r="N47" s="262"/>
      <c r="O47" s="262"/>
      <c r="P47" s="262"/>
      <c r="Q47" s="262"/>
      <c r="R47" s="263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</row>
    <row r="48" spans="1:45" s="266" customFormat="1" ht="9.4499999999999993" customHeight="1" x14ac:dyDescent="0.25">
      <c r="A48" s="298"/>
      <c r="B48" s="260"/>
      <c r="C48" s="260"/>
      <c r="D48" s="260"/>
      <c r="E48" s="270"/>
      <c r="F48" s="260"/>
      <c r="G48" s="260"/>
      <c r="H48" s="260"/>
      <c r="I48" s="260"/>
      <c r="J48" s="270"/>
      <c r="K48" s="260"/>
      <c r="L48" s="300"/>
      <c r="M48" s="260"/>
      <c r="N48" s="262"/>
      <c r="O48" s="262"/>
      <c r="P48" s="262"/>
      <c r="Q48" s="262"/>
      <c r="R48" s="263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</row>
    <row r="49" spans="1:45" s="266" customFormat="1" ht="9.4499999999999993" customHeight="1" x14ac:dyDescent="0.25">
      <c r="A49" s="298"/>
      <c r="B49" s="270"/>
      <c r="C49" s="270"/>
      <c r="D49" s="270"/>
      <c r="E49" s="270"/>
      <c r="F49" s="260"/>
      <c r="G49" s="260"/>
      <c r="H49" s="264"/>
      <c r="I49" s="260"/>
      <c r="J49" s="270"/>
      <c r="K49" s="299"/>
      <c r="L49" s="270"/>
      <c r="M49" s="260"/>
      <c r="N49" s="262"/>
      <c r="O49" s="262"/>
      <c r="P49" s="262"/>
      <c r="Q49" s="262"/>
      <c r="R49" s="263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</row>
    <row r="50" spans="1:45" s="266" customFormat="1" ht="9.4499999999999993" customHeight="1" x14ac:dyDescent="0.25">
      <c r="A50" s="298"/>
      <c r="B50" s="260"/>
      <c r="C50" s="260"/>
      <c r="D50" s="260"/>
      <c r="E50" s="270"/>
      <c r="F50" s="260"/>
      <c r="G50" s="260"/>
      <c r="H50" s="260"/>
      <c r="I50" s="260"/>
      <c r="J50" s="270"/>
      <c r="K50" s="260"/>
      <c r="L50" s="260"/>
      <c r="M50" s="260"/>
      <c r="N50" s="262"/>
      <c r="O50" s="262"/>
      <c r="P50" s="262"/>
      <c r="Q50" s="262"/>
      <c r="R50" s="263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</row>
    <row r="51" spans="1:45" s="266" customFormat="1" ht="9.4499999999999993" customHeight="1" x14ac:dyDescent="0.25">
      <c r="A51" s="298"/>
      <c r="B51" s="270"/>
      <c r="C51" s="270"/>
      <c r="D51" s="270"/>
      <c r="E51" s="270"/>
      <c r="F51" s="260"/>
      <c r="G51" s="260"/>
      <c r="H51" s="264"/>
      <c r="I51" s="299"/>
      <c r="J51" s="270"/>
      <c r="K51" s="260"/>
      <c r="L51" s="260"/>
      <c r="M51" s="260"/>
      <c r="N51" s="262"/>
      <c r="O51" s="262"/>
      <c r="P51" s="262"/>
      <c r="Q51" s="262"/>
      <c r="R51" s="263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</row>
    <row r="52" spans="1:45" s="266" customFormat="1" ht="9.4499999999999993" customHeight="1" x14ac:dyDescent="0.25">
      <c r="A52" s="297"/>
      <c r="B52" s="260"/>
      <c r="C52" s="260"/>
      <c r="D52" s="260"/>
      <c r="E52" s="270"/>
      <c r="F52" s="304"/>
      <c r="G52" s="304"/>
      <c r="H52" s="304"/>
      <c r="I52" s="304"/>
      <c r="J52" s="270"/>
      <c r="K52" s="260"/>
      <c r="L52" s="260"/>
      <c r="M52" s="260"/>
      <c r="N52" s="260"/>
      <c r="O52" s="260"/>
      <c r="P52" s="260"/>
      <c r="Q52" s="262"/>
      <c r="R52" s="263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</row>
    <row r="53" spans="1:45" s="311" customFormat="1" ht="6.75" customHeight="1" x14ac:dyDescent="0.25">
      <c r="A53" s="305"/>
      <c r="B53" s="305"/>
      <c r="C53" s="305"/>
      <c r="D53" s="305"/>
      <c r="E53" s="305"/>
      <c r="F53" s="306"/>
      <c r="G53" s="306"/>
      <c r="H53" s="306"/>
      <c r="I53" s="306"/>
      <c r="J53" s="307"/>
      <c r="K53" s="308"/>
      <c r="L53" s="309"/>
      <c r="M53" s="308"/>
      <c r="N53" s="309"/>
      <c r="O53" s="308"/>
      <c r="P53" s="309"/>
      <c r="Q53" s="308"/>
      <c r="R53" s="309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264"/>
      <c r="AJ53" s="264"/>
      <c r="AK53" s="264"/>
      <c r="AL53" s="310"/>
      <c r="AM53" s="310"/>
      <c r="AN53" s="310"/>
      <c r="AO53" s="310"/>
      <c r="AP53" s="310"/>
      <c r="AQ53" s="310"/>
      <c r="AR53" s="310"/>
      <c r="AS53" s="310"/>
    </row>
    <row r="54" spans="1:45" s="324" customFormat="1" ht="10.5" customHeight="1" x14ac:dyDescent="0.25">
      <c r="A54" s="312" t="s">
        <v>26</v>
      </c>
      <c r="B54" s="313"/>
      <c r="C54" s="313"/>
      <c r="D54" s="314"/>
      <c r="E54" s="315" t="s">
        <v>0</v>
      </c>
      <c r="F54" s="316" t="s">
        <v>28</v>
      </c>
      <c r="G54" s="315"/>
      <c r="H54" s="317"/>
      <c r="I54" s="318"/>
      <c r="J54" s="315" t="s">
        <v>0</v>
      </c>
      <c r="K54" s="316" t="s">
        <v>35</v>
      </c>
      <c r="L54" s="319"/>
      <c r="M54" s="316" t="s">
        <v>36</v>
      </c>
      <c r="N54" s="320"/>
      <c r="O54" s="321" t="s">
        <v>37</v>
      </c>
      <c r="P54" s="321"/>
      <c r="Q54" s="322"/>
      <c r="R54" s="323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6"/>
      <c r="AJ54" s="326"/>
      <c r="AK54" s="326"/>
      <c r="AL54" s="325"/>
      <c r="AM54" s="325"/>
      <c r="AN54" s="325"/>
      <c r="AO54" s="325"/>
      <c r="AP54" s="325"/>
      <c r="AQ54" s="325"/>
      <c r="AR54" s="325"/>
      <c r="AS54" s="325"/>
    </row>
    <row r="55" spans="1:45" s="324" customFormat="1" ht="9" customHeight="1" x14ac:dyDescent="0.25">
      <c r="A55" s="327" t="s">
        <v>27</v>
      </c>
      <c r="B55" s="328"/>
      <c r="C55" s="329"/>
      <c r="D55" s="330"/>
      <c r="E55" s="331">
        <v>1</v>
      </c>
      <c r="F55" s="325" t="str">
        <f>IF(E55&gt;$R$62,,UPPER(VLOOKUP(E55,'[12]1MD ELO'!$A$7:$Q$134,2)))</f>
        <v/>
      </c>
      <c r="G55" s="331"/>
      <c r="H55" s="325"/>
      <c r="I55" s="332"/>
      <c r="J55" s="333" t="s">
        <v>1</v>
      </c>
      <c r="K55" s="334"/>
      <c r="L55" s="335"/>
      <c r="M55" s="334"/>
      <c r="N55" s="336"/>
      <c r="O55" s="337" t="s">
        <v>29</v>
      </c>
      <c r="P55" s="338"/>
      <c r="Q55" s="338"/>
      <c r="R55" s="336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6"/>
      <c r="AJ55" s="326"/>
      <c r="AK55" s="326"/>
      <c r="AL55" s="325"/>
      <c r="AM55" s="325"/>
      <c r="AN55" s="325"/>
      <c r="AO55" s="325"/>
      <c r="AP55" s="325"/>
      <c r="AQ55" s="325"/>
      <c r="AR55" s="325"/>
      <c r="AS55" s="325"/>
    </row>
    <row r="56" spans="1:45" s="324" customFormat="1" ht="9" customHeight="1" x14ac:dyDescent="0.25">
      <c r="A56" s="339" t="s">
        <v>34</v>
      </c>
      <c r="B56" s="340"/>
      <c r="C56" s="341"/>
      <c r="D56" s="342"/>
      <c r="E56" s="331">
        <v>2</v>
      </c>
      <c r="F56" s="325" t="str">
        <f>IF(E56&gt;$R$62,,UPPER(VLOOKUP(E56,'[12]1MD ELO'!$A$7:$Q$134,2)))</f>
        <v/>
      </c>
      <c r="G56" s="331"/>
      <c r="H56" s="325"/>
      <c r="I56" s="332"/>
      <c r="J56" s="333" t="s">
        <v>2</v>
      </c>
      <c r="K56" s="334"/>
      <c r="L56" s="335"/>
      <c r="M56" s="334"/>
      <c r="N56" s="336"/>
      <c r="O56" s="343"/>
      <c r="P56" s="344"/>
      <c r="Q56" s="340"/>
      <c r="R56" s="34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6"/>
      <c r="AJ56" s="326"/>
      <c r="AK56" s="326"/>
      <c r="AL56" s="325"/>
      <c r="AM56" s="325"/>
      <c r="AN56" s="325"/>
      <c r="AO56" s="325"/>
      <c r="AP56" s="325"/>
      <c r="AQ56" s="325"/>
      <c r="AR56" s="325"/>
      <c r="AS56" s="325"/>
    </row>
    <row r="57" spans="1:45" s="324" customFormat="1" ht="9" customHeight="1" x14ac:dyDescent="0.25">
      <c r="A57" s="346"/>
      <c r="B57" s="347"/>
      <c r="C57" s="348"/>
      <c r="D57" s="349"/>
      <c r="E57" s="331"/>
      <c r="F57" s="325"/>
      <c r="G57" s="331"/>
      <c r="H57" s="325"/>
      <c r="I57" s="332"/>
      <c r="J57" s="333" t="s">
        <v>3</v>
      </c>
      <c r="K57" s="334"/>
      <c r="L57" s="335"/>
      <c r="M57" s="334"/>
      <c r="N57" s="336"/>
      <c r="O57" s="337" t="s">
        <v>30</v>
      </c>
      <c r="P57" s="338"/>
      <c r="Q57" s="338"/>
      <c r="R57" s="336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6"/>
      <c r="AJ57" s="326"/>
      <c r="AK57" s="326"/>
      <c r="AL57" s="325"/>
      <c r="AM57" s="325"/>
      <c r="AN57" s="325"/>
      <c r="AO57" s="325"/>
      <c r="AP57" s="325"/>
      <c r="AQ57" s="325"/>
      <c r="AR57" s="325"/>
      <c r="AS57" s="325"/>
    </row>
    <row r="58" spans="1:45" s="324" customFormat="1" ht="9" customHeight="1" x14ac:dyDescent="0.25">
      <c r="A58" s="350"/>
      <c r="B58" s="236"/>
      <c r="C58" s="236"/>
      <c r="D58" s="351"/>
      <c r="E58" s="331"/>
      <c r="F58" s="325"/>
      <c r="G58" s="331"/>
      <c r="H58" s="325"/>
      <c r="I58" s="332"/>
      <c r="J58" s="333" t="s">
        <v>4</v>
      </c>
      <c r="K58" s="334"/>
      <c r="L58" s="335"/>
      <c r="M58" s="334"/>
      <c r="N58" s="336"/>
      <c r="O58" s="334"/>
      <c r="P58" s="335"/>
      <c r="Q58" s="334"/>
      <c r="R58" s="336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6"/>
      <c r="AJ58" s="326"/>
      <c r="AK58" s="326"/>
      <c r="AL58" s="325"/>
      <c r="AM58" s="325"/>
      <c r="AN58" s="325"/>
      <c r="AO58" s="325"/>
      <c r="AP58" s="325"/>
      <c r="AQ58" s="325"/>
      <c r="AR58" s="325"/>
      <c r="AS58" s="325"/>
    </row>
    <row r="59" spans="1:45" s="324" customFormat="1" ht="9" customHeight="1" x14ac:dyDescent="0.25">
      <c r="A59" s="352"/>
      <c r="B59" s="353"/>
      <c r="C59" s="353"/>
      <c r="D59" s="354"/>
      <c r="E59" s="331"/>
      <c r="F59" s="325"/>
      <c r="G59" s="331"/>
      <c r="H59" s="325"/>
      <c r="I59" s="332"/>
      <c r="J59" s="333" t="s">
        <v>5</v>
      </c>
      <c r="K59" s="334"/>
      <c r="L59" s="335"/>
      <c r="M59" s="334"/>
      <c r="N59" s="336"/>
      <c r="O59" s="340"/>
      <c r="P59" s="344"/>
      <c r="Q59" s="340"/>
      <c r="R59" s="34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6"/>
      <c r="AJ59" s="326"/>
      <c r="AK59" s="326"/>
      <c r="AL59" s="325"/>
      <c r="AM59" s="325"/>
      <c r="AN59" s="325"/>
      <c r="AO59" s="325"/>
      <c r="AP59" s="325"/>
      <c r="AQ59" s="325"/>
      <c r="AR59" s="325"/>
      <c r="AS59" s="325"/>
    </row>
    <row r="60" spans="1:45" s="324" customFormat="1" ht="9" customHeight="1" x14ac:dyDescent="0.25">
      <c r="A60" s="355"/>
      <c r="B60" s="356"/>
      <c r="C60" s="236"/>
      <c r="D60" s="351"/>
      <c r="E60" s="331"/>
      <c r="F60" s="325"/>
      <c r="G60" s="331"/>
      <c r="H60" s="325"/>
      <c r="I60" s="332"/>
      <c r="J60" s="333" t="s">
        <v>6</v>
      </c>
      <c r="K60" s="334"/>
      <c r="L60" s="335"/>
      <c r="M60" s="334"/>
      <c r="N60" s="336"/>
      <c r="O60" s="337" t="s">
        <v>25</v>
      </c>
      <c r="P60" s="338"/>
      <c r="Q60" s="338"/>
      <c r="R60" s="336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6"/>
      <c r="AJ60" s="326"/>
      <c r="AK60" s="326"/>
      <c r="AL60" s="325"/>
      <c r="AM60" s="325"/>
      <c r="AN60" s="325"/>
      <c r="AO60" s="325"/>
      <c r="AP60" s="325"/>
      <c r="AQ60" s="325"/>
      <c r="AR60" s="325"/>
      <c r="AS60" s="325"/>
    </row>
    <row r="61" spans="1:45" s="324" customFormat="1" ht="9" customHeight="1" x14ac:dyDescent="0.25">
      <c r="A61" s="355"/>
      <c r="B61" s="356"/>
      <c r="C61" s="357"/>
      <c r="D61" s="358"/>
      <c r="E61" s="331"/>
      <c r="F61" s="325"/>
      <c r="G61" s="331"/>
      <c r="H61" s="325"/>
      <c r="I61" s="332"/>
      <c r="J61" s="333" t="s">
        <v>7</v>
      </c>
      <c r="K61" s="334"/>
      <c r="L61" s="335"/>
      <c r="M61" s="334"/>
      <c r="N61" s="336"/>
      <c r="O61" s="334"/>
      <c r="P61" s="335"/>
      <c r="Q61" s="334"/>
      <c r="R61" s="336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6"/>
      <c r="AJ61" s="326"/>
      <c r="AK61" s="326"/>
      <c r="AL61" s="325"/>
      <c r="AM61" s="325"/>
      <c r="AN61" s="325"/>
      <c r="AO61" s="325"/>
      <c r="AP61" s="325"/>
      <c r="AQ61" s="325"/>
      <c r="AR61" s="325"/>
      <c r="AS61" s="325"/>
    </row>
    <row r="62" spans="1:45" s="324" customFormat="1" ht="9" customHeight="1" x14ac:dyDescent="0.25">
      <c r="A62" s="359"/>
      <c r="B62" s="360"/>
      <c r="C62" s="361"/>
      <c r="D62" s="362"/>
      <c r="E62" s="363"/>
      <c r="F62" s="343"/>
      <c r="G62" s="363"/>
      <c r="H62" s="343"/>
      <c r="I62" s="364"/>
      <c r="J62" s="365" t="s">
        <v>8</v>
      </c>
      <c r="K62" s="340"/>
      <c r="L62" s="344"/>
      <c r="M62" s="340"/>
      <c r="N62" s="345"/>
      <c r="O62" s="340">
        <f>R4</f>
        <v>0</v>
      </c>
      <c r="P62" s="344"/>
      <c r="Q62" s="340"/>
      <c r="R62" s="366">
        <f>MIN(4,'[12]1MD ELO'!Q5)</f>
        <v>4</v>
      </c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6"/>
      <c r="AJ62" s="326"/>
      <c r="AK62" s="326"/>
      <c r="AL62" s="325"/>
      <c r="AM62" s="325"/>
      <c r="AN62" s="325"/>
      <c r="AO62" s="325"/>
      <c r="AP62" s="325"/>
      <c r="AQ62" s="325"/>
      <c r="AR62" s="325"/>
      <c r="AS62" s="325"/>
    </row>
    <row r="63" spans="1:45" x14ac:dyDescent="0.25"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L63" s="369"/>
      <c r="AM63" s="369"/>
      <c r="AN63" s="369"/>
      <c r="AO63" s="369"/>
      <c r="AP63" s="369"/>
      <c r="AQ63" s="369"/>
      <c r="AR63" s="369"/>
      <c r="AS63" s="369"/>
    </row>
    <row r="64" spans="1:45" x14ac:dyDescent="0.25"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L64" s="369"/>
      <c r="AM64" s="369"/>
      <c r="AN64" s="369"/>
      <c r="AO64" s="369"/>
      <c r="AP64" s="369"/>
      <c r="AQ64" s="369"/>
      <c r="AR64" s="369"/>
      <c r="AS64" s="369"/>
    </row>
    <row r="65" spans="20:45" x14ac:dyDescent="0.25"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L65" s="369"/>
      <c r="AM65" s="369"/>
      <c r="AN65" s="369"/>
      <c r="AO65" s="369"/>
      <c r="AP65" s="369"/>
      <c r="AQ65" s="369"/>
      <c r="AR65" s="369"/>
      <c r="AS65" s="369"/>
    </row>
    <row r="66" spans="20:45" x14ac:dyDescent="0.25"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L66" s="369"/>
      <c r="AM66" s="369"/>
      <c r="AN66" s="369"/>
      <c r="AO66" s="369"/>
      <c r="AP66" s="369"/>
      <c r="AQ66" s="369"/>
      <c r="AR66" s="369"/>
      <c r="AS66" s="369"/>
    </row>
    <row r="67" spans="20:45" x14ac:dyDescent="0.25"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L67" s="369"/>
      <c r="AM67" s="369"/>
      <c r="AN67" s="369"/>
      <c r="AO67" s="369"/>
      <c r="AP67" s="369"/>
      <c r="AQ67" s="369"/>
      <c r="AR67" s="369"/>
      <c r="AS67" s="369"/>
    </row>
    <row r="68" spans="20:45" x14ac:dyDescent="0.25"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L68" s="369"/>
      <c r="AM68" s="369"/>
      <c r="AN68" s="369"/>
      <c r="AO68" s="369"/>
      <c r="AP68" s="369"/>
      <c r="AQ68" s="369"/>
      <c r="AR68" s="369"/>
      <c r="AS68" s="369"/>
    </row>
    <row r="69" spans="20:45" x14ac:dyDescent="0.25"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L69" s="369"/>
      <c r="AM69" s="369"/>
      <c r="AN69" s="369"/>
      <c r="AO69" s="369"/>
      <c r="AP69" s="369"/>
      <c r="AQ69" s="369"/>
      <c r="AR69" s="369"/>
      <c r="AS69" s="369"/>
    </row>
    <row r="70" spans="20:45" x14ac:dyDescent="0.25"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L70" s="369"/>
      <c r="AM70" s="369"/>
      <c r="AN70" s="369"/>
      <c r="AO70" s="369"/>
      <c r="AP70" s="369"/>
      <c r="AQ70" s="369"/>
      <c r="AR70" s="369"/>
      <c r="AS70" s="369"/>
    </row>
    <row r="71" spans="20:45" x14ac:dyDescent="0.25"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L71" s="369"/>
      <c r="AM71" s="369"/>
      <c r="AN71" s="369"/>
      <c r="AO71" s="369"/>
      <c r="AP71" s="369"/>
      <c r="AQ71" s="369"/>
      <c r="AR71" s="369"/>
      <c r="AS71" s="369"/>
    </row>
    <row r="72" spans="20:45" x14ac:dyDescent="0.25"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L72" s="369"/>
      <c r="AM72" s="369"/>
      <c r="AN72" s="369"/>
      <c r="AO72" s="369"/>
      <c r="AP72" s="369"/>
      <c r="AQ72" s="369"/>
      <c r="AR72" s="369"/>
      <c r="AS72" s="369"/>
    </row>
    <row r="73" spans="20:45" x14ac:dyDescent="0.25"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L73" s="369"/>
      <c r="AM73" s="369"/>
      <c r="AN73" s="369"/>
      <c r="AO73" s="369"/>
      <c r="AP73" s="369"/>
      <c r="AQ73" s="369"/>
      <c r="AR73" s="369"/>
      <c r="AS73" s="369"/>
    </row>
    <row r="74" spans="20:45" x14ac:dyDescent="0.25"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L74" s="369"/>
      <c r="AM74" s="369"/>
      <c r="AN74" s="369"/>
      <c r="AO74" s="369"/>
      <c r="AP74" s="369"/>
      <c r="AQ74" s="369"/>
      <c r="AR74" s="369"/>
      <c r="AS74" s="369"/>
    </row>
    <row r="75" spans="20:45" x14ac:dyDescent="0.25"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L75" s="369"/>
      <c r="AM75" s="369"/>
      <c r="AN75" s="369"/>
      <c r="AO75" s="369"/>
      <c r="AP75" s="369"/>
      <c r="AQ75" s="369"/>
      <c r="AR75" s="369"/>
      <c r="AS75" s="369"/>
    </row>
    <row r="76" spans="20:45" x14ac:dyDescent="0.25"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L76" s="369"/>
      <c r="AM76" s="369"/>
      <c r="AN76" s="369"/>
      <c r="AO76" s="369"/>
      <c r="AP76" s="369"/>
      <c r="AQ76" s="369"/>
      <c r="AR76" s="369"/>
      <c r="AS76" s="369"/>
    </row>
    <row r="77" spans="20:45" x14ac:dyDescent="0.25"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L77" s="369"/>
      <c r="AM77" s="369"/>
      <c r="AN77" s="369"/>
      <c r="AO77" s="369"/>
      <c r="AP77" s="369"/>
      <c r="AQ77" s="369"/>
      <c r="AR77" s="369"/>
      <c r="AS77" s="369"/>
    </row>
    <row r="78" spans="20:45" x14ac:dyDescent="0.25"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L78" s="369"/>
      <c r="AM78" s="369"/>
      <c r="AN78" s="369"/>
      <c r="AO78" s="369"/>
      <c r="AP78" s="369"/>
      <c r="AQ78" s="369"/>
      <c r="AR78" s="369"/>
      <c r="AS78" s="369"/>
    </row>
    <row r="79" spans="20:45" x14ac:dyDescent="0.25"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L79" s="369"/>
      <c r="AM79" s="369"/>
      <c r="AN79" s="369"/>
      <c r="AO79" s="369"/>
      <c r="AP79" s="369"/>
      <c r="AQ79" s="369"/>
      <c r="AR79" s="369"/>
      <c r="AS79" s="369"/>
    </row>
    <row r="80" spans="20:45" x14ac:dyDescent="0.25"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L80" s="369"/>
      <c r="AM80" s="369"/>
      <c r="AN80" s="369"/>
      <c r="AO80" s="369"/>
      <c r="AP80" s="369"/>
      <c r="AQ80" s="369"/>
      <c r="AR80" s="369"/>
      <c r="AS80" s="369"/>
    </row>
    <row r="81" spans="20:45" x14ac:dyDescent="0.25"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L81" s="369"/>
      <c r="AM81" s="369"/>
      <c r="AN81" s="369"/>
      <c r="AO81" s="369"/>
      <c r="AP81" s="369"/>
      <c r="AQ81" s="369"/>
      <c r="AR81" s="369"/>
      <c r="AS81" s="369"/>
    </row>
    <row r="82" spans="20:45" x14ac:dyDescent="0.25"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L82" s="369"/>
      <c r="AM82" s="369"/>
      <c r="AN82" s="369"/>
      <c r="AO82" s="369"/>
      <c r="AP82" s="369"/>
      <c r="AQ82" s="369"/>
      <c r="AR82" s="369"/>
      <c r="AS82" s="369"/>
    </row>
    <row r="83" spans="20:45" x14ac:dyDescent="0.25"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L83" s="369"/>
      <c r="AM83" s="369"/>
      <c r="AN83" s="369"/>
      <c r="AO83" s="369"/>
      <c r="AP83" s="369"/>
      <c r="AQ83" s="369"/>
      <c r="AR83" s="369"/>
      <c r="AS83" s="369"/>
    </row>
    <row r="84" spans="20:45" x14ac:dyDescent="0.25"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L84" s="369"/>
      <c r="AM84" s="369"/>
      <c r="AN84" s="369"/>
      <c r="AO84" s="369"/>
      <c r="AP84" s="369"/>
      <c r="AQ84" s="369"/>
      <c r="AR84" s="369"/>
      <c r="AS84" s="369"/>
    </row>
    <row r="85" spans="20:45" x14ac:dyDescent="0.25"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L85" s="369"/>
      <c r="AM85" s="369"/>
      <c r="AN85" s="369"/>
      <c r="AO85" s="369"/>
      <c r="AP85" s="369"/>
      <c r="AQ85" s="369"/>
      <c r="AR85" s="369"/>
      <c r="AS85" s="369"/>
    </row>
    <row r="86" spans="20:45" x14ac:dyDescent="0.25"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L86" s="369"/>
      <c r="AM86" s="369"/>
      <c r="AN86" s="369"/>
      <c r="AO86" s="369"/>
      <c r="AP86" s="369"/>
      <c r="AQ86" s="369"/>
      <c r="AR86" s="369"/>
      <c r="AS86" s="369"/>
    </row>
    <row r="87" spans="20:45" x14ac:dyDescent="0.25"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L87" s="369"/>
      <c r="AM87" s="369"/>
      <c r="AN87" s="369"/>
      <c r="AO87" s="369"/>
      <c r="AP87" s="369"/>
      <c r="AQ87" s="369"/>
      <c r="AR87" s="369"/>
      <c r="AS87" s="369"/>
    </row>
    <row r="88" spans="20:45" x14ac:dyDescent="0.25"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L88" s="369"/>
      <c r="AM88" s="369"/>
      <c r="AN88" s="369"/>
      <c r="AO88" s="369"/>
      <c r="AP88" s="369"/>
      <c r="AQ88" s="369"/>
      <c r="AR88" s="369"/>
      <c r="AS88" s="369"/>
    </row>
    <row r="89" spans="20:45" x14ac:dyDescent="0.25"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L89" s="369"/>
      <c r="AM89" s="369"/>
      <c r="AN89" s="369"/>
      <c r="AO89" s="369"/>
      <c r="AP89" s="369"/>
      <c r="AQ89" s="369"/>
      <c r="AR89" s="369"/>
      <c r="AS89" s="369"/>
    </row>
    <row r="90" spans="20:45" x14ac:dyDescent="0.25"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L90" s="369"/>
      <c r="AM90" s="369"/>
      <c r="AN90" s="369"/>
      <c r="AO90" s="369"/>
      <c r="AP90" s="369"/>
      <c r="AQ90" s="369"/>
      <c r="AR90" s="369"/>
      <c r="AS90" s="369"/>
    </row>
    <row r="91" spans="20:45" x14ac:dyDescent="0.25"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L91" s="369"/>
      <c r="AM91" s="369"/>
      <c r="AN91" s="369"/>
      <c r="AO91" s="369"/>
      <c r="AP91" s="369"/>
      <c r="AQ91" s="369"/>
      <c r="AR91" s="369"/>
      <c r="AS91" s="369"/>
    </row>
    <row r="92" spans="20:45" x14ac:dyDescent="0.25"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L92" s="369"/>
      <c r="AM92" s="369"/>
      <c r="AN92" s="369"/>
      <c r="AO92" s="369"/>
      <c r="AP92" s="369"/>
      <c r="AQ92" s="369"/>
      <c r="AR92" s="369"/>
      <c r="AS92" s="369"/>
    </row>
    <row r="93" spans="20:45" x14ac:dyDescent="0.25"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L93" s="369"/>
      <c r="AM93" s="369"/>
      <c r="AN93" s="369"/>
      <c r="AO93" s="369"/>
      <c r="AP93" s="369"/>
      <c r="AQ93" s="369"/>
      <c r="AR93" s="369"/>
      <c r="AS93" s="369"/>
    </row>
    <row r="94" spans="20:45" x14ac:dyDescent="0.25"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L94" s="369"/>
      <c r="AM94" s="369"/>
      <c r="AN94" s="369"/>
      <c r="AO94" s="369"/>
      <c r="AP94" s="369"/>
      <c r="AQ94" s="369"/>
      <c r="AR94" s="369"/>
      <c r="AS94" s="369"/>
    </row>
    <row r="95" spans="20:45" x14ac:dyDescent="0.25"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L95" s="369"/>
      <c r="AM95" s="369"/>
      <c r="AN95" s="369"/>
      <c r="AO95" s="369"/>
      <c r="AP95" s="369"/>
      <c r="AQ95" s="369"/>
      <c r="AR95" s="369"/>
      <c r="AS95" s="369"/>
    </row>
    <row r="96" spans="20:45" x14ac:dyDescent="0.25"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L96" s="369"/>
      <c r="AM96" s="369"/>
      <c r="AN96" s="369"/>
      <c r="AO96" s="369"/>
      <c r="AP96" s="369"/>
      <c r="AQ96" s="369"/>
      <c r="AR96" s="369"/>
      <c r="AS96" s="369"/>
    </row>
    <row r="97" spans="20:45" x14ac:dyDescent="0.25"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L97" s="369"/>
      <c r="AM97" s="369"/>
      <c r="AN97" s="369"/>
      <c r="AO97" s="369"/>
      <c r="AP97" s="369"/>
      <c r="AQ97" s="369"/>
      <c r="AR97" s="369"/>
      <c r="AS97" s="369"/>
    </row>
    <row r="98" spans="20:45" x14ac:dyDescent="0.25"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L98" s="369"/>
      <c r="AM98" s="369"/>
      <c r="AN98" s="369"/>
      <c r="AO98" s="369"/>
      <c r="AP98" s="369"/>
      <c r="AQ98" s="369"/>
      <c r="AR98" s="369"/>
      <c r="AS98" s="369"/>
    </row>
    <row r="99" spans="20:45" x14ac:dyDescent="0.25"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L99" s="369"/>
      <c r="AM99" s="369"/>
      <c r="AN99" s="369"/>
      <c r="AO99" s="369"/>
      <c r="AP99" s="369"/>
      <c r="AQ99" s="369"/>
      <c r="AR99" s="369"/>
      <c r="AS99" s="369"/>
    </row>
    <row r="100" spans="20:45" x14ac:dyDescent="0.25"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L100" s="369"/>
      <c r="AM100" s="369"/>
      <c r="AN100" s="369"/>
      <c r="AO100" s="369"/>
      <c r="AP100" s="369"/>
      <c r="AQ100" s="369"/>
      <c r="AR100" s="369"/>
      <c r="AS100" s="369"/>
    </row>
    <row r="101" spans="20:45" x14ac:dyDescent="0.25"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L101" s="369"/>
      <c r="AM101" s="369"/>
      <c r="AN101" s="369"/>
      <c r="AO101" s="369"/>
      <c r="AP101" s="369"/>
      <c r="AQ101" s="369"/>
      <c r="AR101" s="369"/>
      <c r="AS101" s="369"/>
    </row>
    <row r="102" spans="20:45" x14ac:dyDescent="0.25"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L102" s="369"/>
      <c r="AM102" s="369"/>
      <c r="AN102" s="369"/>
      <c r="AO102" s="369"/>
      <c r="AP102" s="369"/>
      <c r="AQ102" s="369"/>
      <c r="AR102" s="369"/>
      <c r="AS102" s="369"/>
    </row>
    <row r="103" spans="20:45" x14ac:dyDescent="0.25"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L103" s="369"/>
      <c r="AM103" s="369"/>
      <c r="AN103" s="369"/>
      <c r="AO103" s="369"/>
      <c r="AP103" s="369"/>
      <c r="AQ103" s="369"/>
      <c r="AR103" s="369"/>
      <c r="AS103" s="369"/>
    </row>
    <row r="104" spans="20:45" x14ac:dyDescent="0.25"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L104" s="369"/>
      <c r="AM104" s="369"/>
      <c r="AN104" s="369"/>
      <c r="AO104" s="369"/>
      <c r="AP104" s="369"/>
      <c r="AQ104" s="369"/>
      <c r="AR104" s="369"/>
      <c r="AS104" s="369"/>
    </row>
    <row r="105" spans="20:45" x14ac:dyDescent="0.25"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L105" s="369"/>
      <c r="AM105" s="369"/>
      <c r="AN105" s="369"/>
      <c r="AO105" s="369"/>
      <c r="AP105" s="369"/>
      <c r="AQ105" s="369"/>
      <c r="AR105" s="369"/>
      <c r="AS105" s="369"/>
    </row>
    <row r="106" spans="20:45" x14ac:dyDescent="0.25"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L106" s="369"/>
      <c r="AM106" s="369"/>
      <c r="AN106" s="369"/>
      <c r="AO106" s="369"/>
      <c r="AP106" s="369"/>
      <c r="AQ106" s="369"/>
      <c r="AR106" s="369"/>
      <c r="AS106" s="369"/>
    </row>
    <row r="107" spans="20:45" x14ac:dyDescent="0.25"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L107" s="369"/>
      <c r="AM107" s="369"/>
      <c r="AN107" s="369"/>
      <c r="AO107" s="369"/>
      <c r="AP107" s="369"/>
      <c r="AQ107" s="369"/>
      <c r="AR107" s="369"/>
      <c r="AS107" s="369"/>
    </row>
    <row r="108" spans="20:45" x14ac:dyDescent="0.25"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L108" s="369"/>
      <c r="AM108" s="369"/>
      <c r="AN108" s="369"/>
      <c r="AO108" s="369"/>
      <c r="AP108" s="369"/>
      <c r="AQ108" s="369"/>
      <c r="AR108" s="369"/>
      <c r="AS108" s="369"/>
    </row>
    <row r="109" spans="20:45" x14ac:dyDescent="0.25"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L109" s="369"/>
      <c r="AM109" s="369"/>
      <c r="AN109" s="369"/>
      <c r="AO109" s="369"/>
      <c r="AP109" s="369"/>
      <c r="AQ109" s="369"/>
      <c r="AR109" s="369"/>
      <c r="AS109" s="369"/>
    </row>
    <row r="110" spans="20:45" x14ac:dyDescent="0.25"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L110" s="369"/>
      <c r="AM110" s="369"/>
      <c r="AN110" s="369"/>
      <c r="AO110" s="369"/>
      <c r="AP110" s="369"/>
      <c r="AQ110" s="369"/>
      <c r="AR110" s="369"/>
      <c r="AS110" s="369"/>
    </row>
    <row r="111" spans="20:45" x14ac:dyDescent="0.25"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L111" s="369"/>
      <c r="AM111" s="369"/>
      <c r="AN111" s="369"/>
      <c r="AO111" s="369"/>
      <c r="AP111" s="369"/>
      <c r="AQ111" s="369"/>
      <c r="AR111" s="369"/>
      <c r="AS111" s="369"/>
    </row>
    <row r="112" spans="20:45" x14ac:dyDescent="0.25"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L112" s="369"/>
      <c r="AM112" s="369"/>
      <c r="AN112" s="369"/>
      <c r="AO112" s="369"/>
      <c r="AP112" s="369"/>
      <c r="AQ112" s="369"/>
      <c r="AR112" s="369"/>
      <c r="AS112" s="369"/>
    </row>
    <row r="113" spans="20:45" x14ac:dyDescent="0.25"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L113" s="369"/>
      <c r="AM113" s="369"/>
      <c r="AN113" s="369"/>
      <c r="AO113" s="369"/>
      <c r="AP113" s="369"/>
      <c r="AQ113" s="369"/>
      <c r="AR113" s="369"/>
      <c r="AS113" s="369"/>
    </row>
    <row r="114" spans="20:45" x14ac:dyDescent="0.25"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L114" s="369"/>
      <c r="AM114" s="369"/>
      <c r="AN114" s="369"/>
      <c r="AO114" s="369"/>
      <c r="AP114" s="369"/>
      <c r="AQ114" s="369"/>
      <c r="AR114" s="369"/>
      <c r="AS114" s="369"/>
    </row>
    <row r="115" spans="20:45" x14ac:dyDescent="0.25"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L115" s="369"/>
      <c r="AM115" s="369"/>
      <c r="AN115" s="369"/>
      <c r="AO115" s="369"/>
      <c r="AP115" s="369"/>
      <c r="AQ115" s="369"/>
      <c r="AR115" s="369"/>
      <c r="AS115" s="369"/>
    </row>
    <row r="116" spans="20:45" x14ac:dyDescent="0.25"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L116" s="369"/>
      <c r="AM116" s="369"/>
      <c r="AN116" s="369"/>
      <c r="AO116" s="369"/>
      <c r="AP116" s="369"/>
      <c r="AQ116" s="369"/>
      <c r="AR116" s="369"/>
      <c r="AS116" s="369"/>
    </row>
    <row r="117" spans="20:45" x14ac:dyDescent="0.25"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L117" s="369"/>
      <c r="AM117" s="369"/>
      <c r="AN117" s="369"/>
      <c r="AO117" s="369"/>
      <c r="AP117" s="369"/>
      <c r="AQ117" s="369"/>
      <c r="AR117" s="369"/>
      <c r="AS117" s="369"/>
    </row>
    <row r="118" spans="20:45" x14ac:dyDescent="0.25"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L118" s="369"/>
      <c r="AM118" s="369"/>
      <c r="AN118" s="369"/>
      <c r="AO118" s="369"/>
      <c r="AP118" s="369"/>
      <c r="AQ118" s="369"/>
      <c r="AR118" s="369"/>
      <c r="AS118" s="369"/>
    </row>
    <row r="119" spans="20:45" x14ac:dyDescent="0.25"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L119" s="369"/>
      <c r="AM119" s="369"/>
      <c r="AN119" s="369"/>
      <c r="AO119" s="369"/>
      <c r="AP119" s="369"/>
      <c r="AQ119" s="369"/>
      <c r="AR119" s="369"/>
      <c r="AS119" s="369"/>
    </row>
    <row r="120" spans="20:45" x14ac:dyDescent="0.25"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L120" s="369"/>
      <c r="AM120" s="369"/>
      <c r="AN120" s="369"/>
      <c r="AO120" s="369"/>
      <c r="AP120" s="369"/>
      <c r="AQ120" s="369"/>
      <c r="AR120" s="369"/>
      <c r="AS120" s="369"/>
    </row>
    <row r="121" spans="20:45" x14ac:dyDescent="0.25"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L121" s="369"/>
      <c r="AM121" s="369"/>
      <c r="AN121" s="369"/>
      <c r="AO121" s="369"/>
      <c r="AP121" s="369"/>
      <c r="AQ121" s="369"/>
      <c r="AR121" s="369"/>
      <c r="AS121" s="369"/>
    </row>
    <row r="122" spans="20:45" x14ac:dyDescent="0.25"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L122" s="369"/>
      <c r="AM122" s="369"/>
      <c r="AN122" s="369"/>
      <c r="AO122" s="369"/>
      <c r="AP122" s="369"/>
      <c r="AQ122" s="369"/>
      <c r="AR122" s="369"/>
      <c r="AS122" s="369"/>
    </row>
    <row r="123" spans="20:45" x14ac:dyDescent="0.25"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L123" s="369"/>
      <c r="AM123" s="369"/>
      <c r="AN123" s="369"/>
      <c r="AO123" s="369"/>
      <c r="AP123" s="369"/>
      <c r="AQ123" s="369"/>
      <c r="AR123" s="369"/>
      <c r="AS123" s="369"/>
    </row>
    <row r="124" spans="20:45" x14ac:dyDescent="0.25"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L124" s="369"/>
      <c r="AM124" s="369"/>
      <c r="AN124" s="369"/>
      <c r="AO124" s="369"/>
      <c r="AP124" s="369"/>
      <c r="AQ124" s="369"/>
      <c r="AR124" s="369"/>
      <c r="AS124" s="369"/>
    </row>
    <row r="125" spans="20:45" x14ac:dyDescent="0.25"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L125" s="369"/>
      <c r="AM125" s="369"/>
      <c r="AN125" s="369"/>
      <c r="AO125" s="369"/>
      <c r="AP125" s="369"/>
      <c r="AQ125" s="369"/>
      <c r="AR125" s="369"/>
      <c r="AS125" s="369"/>
    </row>
    <row r="126" spans="20:45" x14ac:dyDescent="0.25"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L126" s="369"/>
      <c r="AM126" s="369"/>
      <c r="AN126" s="369"/>
      <c r="AO126" s="369"/>
      <c r="AP126" s="369"/>
      <c r="AQ126" s="369"/>
      <c r="AR126" s="369"/>
      <c r="AS126" s="369"/>
    </row>
    <row r="127" spans="20:45" x14ac:dyDescent="0.25"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L127" s="369"/>
      <c r="AM127" s="369"/>
      <c r="AN127" s="369"/>
      <c r="AO127" s="369"/>
      <c r="AP127" s="369"/>
      <c r="AQ127" s="369"/>
      <c r="AR127" s="369"/>
      <c r="AS127" s="369"/>
    </row>
    <row r="128" spans="20:45" x14ac:dyDescent="0.25">
      <c r="T128" s="369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L128" s="369"/>
      <c r="AM128" s="369"/>
      <c r="AN128" s="369"/>
      <c r="AO128" s="369"/>
      <c r="AP128" s="369"/>
      <c r="AQ128" s="369"/>
      <c r="AR128" s="369"/>
      <c r="AS128" s="369"/>
    </row>
    <row r="129" spans="20:45" x14ac:dyDescent="0.25"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L129" s="369"/>
      <c r="AM129" s="369"/>
      <c r="AN129" s="369"/>
      <c r="AO129" s="369"/>
      <c r="AP129" s="369"/>
      <c r="AQ129" s="369"/>
      <c r="AR129" s="369"/>
      <c r="AS129" s="369"/>
    </row>
    <row r="130" spans="20:45" x14ac:dyDescent="0.25"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L130" s="369"/>
      <c r="AM130" s="369"/>
      <c r="AN130" s="369"/>
      <c r="AO130" s="369"/>
      <c r="AP130" s="369"/>
      <c r="AQ130" s="369"/>
      <c r="AR130" s="369"/>
      <c r="AS130" s="369"/>
    </row>
    <row r="131" spans="20:45" x14ac:dyDescent="0.25"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L131" s="369"/>
      <c r="AM131" s="369"/>
      <c r="AN131" s="369"/>
      <c r="AO131" s="369"/>
      <c r="AP131" s="369"/>
      <c r="AQ131" s="369"/>
      <c r="AR131" s="369"/>
      <c r="AS131" s="369"/>
    </row>
    <row r="132" spans="20:45" x14ac:dyDescent="0.25">
      <c r="T132" s="369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L132" s="369"/>
      <c r="AM132" s="369"/>
      <c r="AN132" s="369"/>
      <c r="AO132" s="369"/>
      <c r="AP132" s="369"/>
      <c r="AQ132" s="369"/>
      <c r="AR132" s="369"/>
      <c r="AS132" s="369"/>
    </row>
    <row r="133" spans="20:45" x14ac:dyDescent="0.25"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L133" s="369"/>
      <c r="AM133" s="369"/>
      <c r="AN133" s="369"/>
      <c r="AO133" s="369"/>
      <c r="AP133" s="369"/>
      <c r="AQ133" s="369"/>
      <c r="AR133" s="369"/>
      <c r="AS133" s="369"/>
    </row>
    <row r="134" spans="20:45" x14ac:dyDescent="0.25"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L134" s="369"/>
      <c r="AM134" s="369"/>
      <c r="AN134" s="369"/>
      <c r="AO134" s="369"/>
      <c r="AP134" s="369"/>
      <c r="AQ134" s="369"/>
      <c r="AR134" s="369"/>
      <c r="AS134" s="369"/>
    </row>
    <row r="135" spans="20:45" x14ac:dyDescent="0.25"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L135" s="369"/>
      <c r="AM135" s="369"/>
      <c r="AN135" s="369"/>
      <c r="AO135" s="369"/>
      <c r="AP135" s="369"/>
      <c r="AQ135" s="369"/>
      <c r="AR135" s="369"/>
      <c r="AS135" s="369"/>
    </row>
    <row r="136" spans="20:45" x14ac:dyDescent="0.25"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L136" s="369"/>
      <c r="AM136" s="369"/>
      <c r="AN136" s="369"/>
      <c r="AO136" s="369"/>
      <c r="AP136" s="369"/>
      <c r="AQ136" s="369"/>
      <c r="AR136" s="369"/>
      <c r="AS136" s="369"/>
    </row>
    <row r="137" spans="20:45" x14ac:dyDescent="0.25"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L137" s="369"/>
      <c r="AM137" s="369"/>
      <c r="AN137" s="369"/>
      <c r="AO137" s="369"/>
      <c r="AP137" s="369"/>
      <c r="AQ137" s="369"/>
      <c r="AR137" s="369"/>
      <c r="AS137" s="369"/>
    </row>
    <row r="138" spans="20:45" x14ac:dyDescent="0.25"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L138" s="369"/>
      <c r="AM138" s="369"/>
      <c r="AN138" s="369"/>
      <c r="AO138" s="369"/>
      <c r="AP138" s="369"/>
      <c r="AQ138" s="369"/>
      <c r="AR138" s="369"/>
      <c r="AS138" s="369"/>
    </row>
    <row r="139" spans="20:45" x14ac:dyDescent="0.25"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L139" s="369"/>
      <c r="AM139" s="369"/>
      <c r="AN139" s="369"/>
      <c r="AO139" s="369"/>
      <c r="AP139" s="369"/>
      <c r="AQ139" s="369"/>
      <c r="AR139" s="369"/>
      <c r="AS139" s="369"/>
    </row>
    <row r="140" spans="20:45" x14ac:dyDescent="0.25"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L140" s="369"/>
      <c r="AM140" s="369"/>
      <c r="AN140" s="369"/>
      <c r="AO140" s="369"/>
      <c r="AP140" s="369"/>
      <c r="AQ140" s="369"/>
      <c r="AR140" s="369"/>
      <c r="AS140" s="369"/>
    </row>
  </sheetData>
  <mergeCells count="1">
    <mergeCell ref="A4:C4"/>
  </mergeCells>
  <conditionalFormatting sqref="B22 B24 B26 B28 B30 B32 B34 B36 B38 B40 B42 B44 B46 B48 B50 B52">
    <cfRule type="cellIs" dxfId="47" priority="13" stopIfTrue="1" operator="equal">
      <formula>"QA"</formula>
    </cfRule>
    <cfRule type="cellIs" dxfId="46" priority="14" stopIfTrue="1" operator="equal">
      <formula>"DA"</formula>
    </cfRule>
  </conditionalFormatting>
  <conditionalFormatting sqref="E7 E21">
    <cfRule type="expression" dxfId="45" priority="16" stopIfTrue="1">
      <formula>$E7&lt;5</formula>
    </cfRule>
  </conditionalFormatting>
  <conditionalFormatting sqref="E22 E24 E26 E28 E30 E32 E34 E36 E38 E40 E42 E44 E46 E48 E50 E52">
    <cfRule type="expression" dxfId="44" priority="8" stopIfTrue="1">
      <formula>AND($E22&lt;9,$C22&gt;0)</formula>
    </cfRule>
  </conditionalFormatting>
  <conditionalFormatting sqref="F7 F9 F11 F13 F15 F17 F19">
    <cfRule type="cellIs" dxfId="43" priority="17" stopIfTrue="1" operator="equal">
      <formula>"Bye"</formula>
    </cfRule>
  </conditionalFormatting>
  <conditionalFormatting sqref="F21:F22 F24 F26 F28 F30 F32 F34 F36 F38 F40 F42 F44 F46 F48 F50">
    <cfRule type="cellIs" dxfId="42" priority="9" stopIfTrue="1" operator="equal">
      <formula>"Bye"</formula>
    </cfRule>
  </conditionalFormatting>
  <conditionalFormatting sqref="F22 F24 F26 F28 F30 F32 F34 F36 F38 F40 F42 F44 F46 F48 F50">
    <cfRule type="expression" dxfId="41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40" priority="4" stopIfTrue="1">
      <formula>AND($E7&lt;9,$C7&gt;0)</formula>
    </cfRule>
  </conditionalFormatting>
  <conditionalFormatting sqref="I8 K10 I12 M14 I16 K18 I20 I23 K25 I27 M29 I31 K33 I35 I39 K41 I43 M45 I47 K49 I51">
    <cfRule type="expression" dxfId="39" priority="5" stopIfTrue="1">
      <formula>AND($O$1="CU",I8="Umpire")</formula>
    </cfRule>
    <cfRule type="expression" dxfId="38" priority="6" stopIfTrue="1">
      <formula>AND($O$1="CU",I8&lt;&gt;"Umpire",J8&lt;&gt;"")</formula>
    </cfRule>
    <cfRule type="expression" dxfId="37" priority="7" stopIfTrue="1">
      <formula>AND($O$1="CU",I8&lt;&gt;"Umpire")</formula>
    </cfRule>
  </conditionalFormatting>
  <conditionalFormatting sqref="J8 L10 J12 N14 J16 L18 J20 R62">
    <cfRule type="expression" dxfId="36" priority="15" stopIfTrue="1">
      <formula>$O$1="CU"</formula>
    </cfRule>
  </conditionalFormatting>
  <conditionalFormatting sqref="K8 M10 K12 O14 K16 M18 K20 K23 M25 K27 O29 K31 M33 K35 K39 M41 K43 O45 K47 M49 K51">
    <cfRule type="expression" dxfId="35" priority="11" stopIfTrue="1">
      <formula>J8="as"</formula>
    </cfRule>
    <cfRule type="expression" dxfId="34" priority="12" stopIfTrue="1">
      <formula>J8="bs"</formula>
    </cfRule>
  </conditionalFormatting>
  <conditionalFormatting sqref="O16">
    <cfRule type="expression" dxfId="33" priority="1" stopIfTrue="1">
      <formula>AND($O$1="CU",O16="Umpire")</formula>
    </cfRule>
    <cfRule type="expression" dxfId="32" priority="2" stopIfTrue="1">
      <formula>AND($O$1="CU",O16&lt;&gt;"Umpire",P16&lt;&gt;"")</formula>
    </cfRule>
    <cfRule type="expression" dxfId="31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FB746EC-3EEB-44C4-845A-751876DD8437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ColWidth="8.77734375" defaultRowHeight="13.2" x14ac:dyDescent="0.25"/>
  <cols>
    <col min="1" max="1" width="27.777343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8" customWidth="1"/>
    <col min="15" max="15" width="8.44140625" customWidth="1"/>
    <col min="16" max="16" width="11.44140625" hidden="1" customWidth="1"/>
  </cols>
  <sheetData>
    <row r="1" spans="1:14" ht="24.6" x14ac:dyDescent="0.3">
      <c r="A1" s="39" t="str">
        <f>Altalanos!$A$6</f>
        <v>OB</v>
      </c>
      <c r="B1" s="40"/>
      <c r="C1" s="40"/>
      <c r="D1" s="31"/>
      <c r="E1" s="31"/>
      <c r="F1" s="41"/>
      <c r="G1" s="31"/>
      <c r="H1" s="31"/>
      <c r="I1" s="31"/>
      <c r="J1" s="31"/>
      <c r="K1" s="31"/>
      <c r="L1" s="31"/>
      <c r="M1" s="31"/>
      <c r="N1" s="42"/>
    </row>
    <row r="2" spans="1:14" x14ac:dyDescent="0.25">
      <c r="A2" s="43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1"/>
    </row>
    <row r="3" spans="1:14" s="2" customFormat="1" ht="39.75" customHeight="1" thickBot="1" x14ac:dyDescent="0.3">
      <c r="A3" s="44"/>
      <c r="B3" s="45" t="s">
        <v>16</v>
      </c>
      <c r="C3" s="46"/>
      <c r="D3" s="47"/>
      <c r="E3" s="47"/>
      <c r="F3" s="48"/>
      <c r="G3" s="47"/>
      <c r="H3" s="49"/>
      <c r="I3" s="48"/>
      <c r="J3" s="47"/>
      <c r="K3" s="47"/>
      <c r="L3" s="47"/>
      <c r="M3" s="47"/>
      <c r="N3" s="49"/>
    </row>
    <row r="4" spans="1:14" s="18" customFormat="1" ht="9.6" x14ac:dyDescent="0.25">
      <c r="A4" s="48" t="s">
        <v>17</v>
      </c>
      <c r="B4" s="46" t="s">
        <v>14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2" customFormat="1" ht="12.75" customHeight="1" x14ac:dyDescent="0.25">
      <c r="A5" s="51">
        <f>Altalanos!$A$10</f>
        <v>0</v>
      </c>
      <c r="B5" s="52">
        <f>Altalanos!$C$10</f>
        <v>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</row>
    <row r="6" spans="1:14" s="2" customFormat="1" ht="60" customHeight="1" thickBot="1" x14ac:dyDescent="0.3">
      <c r="A6" s="529" t="s">
        <v>18</v>
      </c>
      <c r="B6" s="529"/>
      <c r="C6" s="55"/>
      <c r="D6" s="55"/>
      <c r="E6" s="55"/>
      <c r="F6" s="56"/>
      <c r="G6" s="57"/>
      <c r="H6" s="55"/>
      <c r="I6" s="56"/>
      <c r="J6" s="55"/>
      <c r="K6" s="55"/>
      <c r="L6" s="55"/>
      <c r="M6" s="55"/>
      <c r="N6" s="58"/>
    </row>
    <row r="7" spans="1:14" s="18" customFormat="1" ht="13.5" hidden="1" customHeight="1" x14ac:dyDescent="0.25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50"/>
    </row>
    <row r="8" spans="1:14" s="11" customFormat="1" ht="12.75" hidden="1" customHeight="1" x14ac:dyDescent="0.25">
      <c r="A8" s="6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/>
    </row>
    <row r="9" spans="1:14" s="18" customFormat="1" hidden="1" x14ac:dyDescent="0.25">
      <c r="A9" s="62"/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  <c r="M9" s="63"/>
      <c r="N9" s="65"/>
    </row>
    <row r="10" spans="1:14" s="18" customFormat="1" ht="9.6" hidden="1" x14ac:dyDescent="0.25">
      <c r="A10" s="59"/>
      <c r="B10" s="6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32" customFormat="1" ht="12.75" hidden="1" customHeight="1" x14ac:dyDescent="0.25">
      <c r="A11" s="66"/>
      <c r="B11" s="3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0"/>
    </row>
    <row r="12" spans="1:14" s="18" customFormat="1" ht="9.6" hidden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0"/>
    </row>
    <row r="13" spans="1:14" s="11" customFormat="1" ht="12.75" hidden="1" customHeight="1" x14ac:dyDescent="0.25">
      <c r="A13" s="6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2"/>
      <c r="B14" s="63"/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18" customFormat="1" ht="9.6" hidden="1" x14ac:dyDescent="0.25">
      <c r="A15" s="59"/>
      <c r="B15" s="6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18" customFormat="1" hidden="1" x14ac:dyDescent="0.25">
      <c r="A16" s="66"/>
      <c r="B16" s="3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0"/>
    </row>
    <row r="17" spans="1:16" s="18" customFormat="1" ht="9.6" hidden="1" x14ac:dyDescent="0.2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</row>
    <row r="18" spans="1:16" s="11" customFormat="1" ht="12.75" hidden="1" customHeight="1" x14ac:dyDescent="0.25">
      <c r="A18" s="6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7"/>
      <c r="B19" s="6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06" t="s">
        <v>19</v>
      </c>
      <c r="B20" s="107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1:16" s="18" customFormat="1" ht="9.6" x14ac:dyDescent="0.25">
      <c r="A21" s="68" t="s">
        <v>20</v>
      </c>
      <c r="B21" s="69" t="s">
        <v>21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70" t="s">
        <v>38</v>
      </c>
    </row>
    <row r="22" spans="1:16" s="18" customFormat="1" ht="19.5" customHeight="1" x14ac:dyDescent="0.25">
      <c r="A22" s="71"/>
      <c r="B22" s="7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0"/>
      <c r="P22" s="73" t="str">
        <f t="shared" ref="P22:P29" si="0">LEFT(B22,1)&amp;" "&amp;A22</f>
        <v xml:space="preserve"> </v>
      </c>
    </row>
    <row r="23" spans="1:16" s="18" customFormat="1" ht="19.5" customHeight="1" x14ac:dyDescent="0.25">
      <c r="A23" s="71"/>
      <c r="B23" s="7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0"/>
      <c r="P23" s="73" t="str">
        <f t="shared" si="0"/>
        <v xml:space="preserve"> </v>
      </c>
    </row>
    <row r="24" spans="1:16" s="18" customFormat="1" ht="19.5" customHeight="1" x14ac:dyDescent="0.25">
      <c r="A24" s="71"/>
      <c r="B24" s="7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0"/>
      <c r="P24" s="73" t="str">
        <f t="shared" si="0"/>
        <v xml:space="preserve"> </v>
      </c>
    </row>
    <row r="25" spans="1:16" s="2" customFormat="1" ht="19.5" customHeight="1" x14ac:dyDescent="0.25">
      <c r="A25" s="71"/>
      <c r="B25" s="7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0"/>
      <c r="P25" s="73" t="str">
        <f t="shared" si="0"/>
        <v xml:space="preserve"> </v>
      </c>
    </row>
    <row r="26" spans="1:16" s="2" customFormat="1" ht="19.5" customHeight="1" x14ac:dyDescent="0.25">
      <c r="A26" s="71"/>
      <c r="B26" s="7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0"/>
      <c r="P26" s="73" t="str">
        <f t="shared" si="0"/>
        <v xml:space="preserve"> </v>
      </c>
    </row>
    <row r="27" spans="1:16" s="2" customFormat="1" ht="19.5" customHeight="1" x14ac:dyDescent="0.25">
      <c r="A27" s="71"/>
      <c r="B27" s="7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0"/>
      <c r="P27" s="73" t="str">
        <f t="shared" si="0"/>
        <v xml:space="preserve"> </v>
      </c>
    </row>
    <row r="28" spans="1:16" s="2" customFormat="1" ht="19.5" customHeight="1" x14ac:dyDescent="0.25">
      <c r="A28" s="71"/>
      <c r="B28" s="7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0"/>
      <c r="P28" s="73" t="str">
        <f t="shared" si="0"/>
        <v xml:space="preserve"> </v>
      </c>
    </row>
    <row r="29" spans="1:16" s="2" customFormat="1" ht="19.5" customHeight="1" thickBot="1" x14ac:dyDescent="0.3">
      <c r="A29" s="74"/>
      <c r="B29" s="7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50"/>
      <c r="P29" s="73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6"/>
      <c r="P30" s="77" t="s">
        <v>39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6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6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6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6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6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6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6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6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6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6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6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6"/>
    </row>
  </sheetData>
  <mergeCells count="1">
    <mergeCell ref="A6:B6"/>
  </mergeCells>
  <phoneticPr fontId="41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1A364-80C1-46C5-BB70-339EE32ABA14}">
  <dimension ref="A1:L137"/>
  <sheetViews>
    <sheetView workbookViewId="0"/>
  </sheetViews>
  <sheetFormatPr defaultRowHeight="14.4" x14ac:dyDescent="0.3"/>
  <cols>
    <col min="1" max="1" width="26.21875" style="457" bestFit="1" customWidth="1"/>
    <col min="2" max="2" width="30.109375" style="457" bestFit="1" customWidth="1"/>
    <col min="3" max="3" width="15.88671875" style="457" bestFit="1" customWidth="1"/>
    <col min="4" max="4" width="7.5546875" style="457" bestFit="1" customWidth="1"/>
    <col min="5" max="5" width="38" style="457" bestFit="1" customWidth="1"/>
    <col min="6" max="6" width="5" style="457" bestFit="1" customWidth="1"/>
    <col min="7" max="7" width="9.109375" style="457" customWidth="1"/>
    <col min="8" max="8" width="136.44140625" style="457" bestFit="1" customWidth="1"/>
    <col min="9" max="9" width="16.44140625" style="457" bestFit="1" customWidth="1"/>
    <col min="10" max="10" width="20" style="457" bestFit="1" customWidth="1"/>
    <col min="11" max="11" width="25.21875" style="457" bestFit="1" customWidth="1"/>
    <col min="12" max="12" width="22.21875" style="457" bestFit="1" customWidth="1"/>
    <col min="13" max="16384" width="8.88671875" style="457"/>
  </cols>
  <sheetData>
    <row r="1" spans="1:12" ht="45" customHeight="1" x14ac:dyDescent="0.3">
      <c r="A1" s="469" t="s">
        <v>257</v>
      </c>
      <c r="B1" s="469" t="s">
        <v>258</v>
      </c>
      <c r="C1" s="469" t="s">
        <v>259</v>
      </c>
      <c r="D1" s="469" t="s">
        <v>260</v>
      </c>
      <c r="E1" s="469" t="s">
        <v>261</v>
      </c>
      <c r="F1" s="469" t="s">
        <v>262</v>
      </c>
      <c r="G1" s="469" t="s">
        <v>22</v>
      </c>
      <c r="H1" s="469" t="s">
        <v>263</v>
      </c>
      <c r="I1" s="469" t="s">
        <v>264</v>
      </c>
      <c r="J1" s="469" t="s">
        <v>265</v>
      </c>
      <c r="K1" s="469" t="s">
        <v>266</v>
      </c>
      <c r="L1" s="469" t="s">
        <v>267</v>
      </c>
    </row>
    <row r="2" spans="1:12" x14ac:dyDescent="0.3">
      <c r="A2" s="457" t="s">
        <v>268</v>
      </c>
      <c r="B2" s="457" t="s">
        <v>269</v>
      </c>
      <c r="C2" s="457" t="s">
        <v>270</v>
      </c>
      <c r="D2" s="457" t="s">
        <v>271</v>
      </c>
      <c r="E2" s="457" t="s">
        <v>272</v>
      </c>
      <c r="F2" s="457" t="s">
        <v>273</v>
      </c>
      <c r="G2" s="457" t="s">
        <v>44</v>
      </c>
      <c r="H2" s="457" t="s">
        <v>274</v>
      </c>
      <c r="I2" s="457" t="s">
        <v>275</v>
      </c>
      <c r="J2" s="457" t="s">
        <v>276</v>
      </c>
      <c r="K2" s="457" t="s">
        <v>277</v>
      </c>
      <c r="L2" s="457" t="s">
        <v>9</v>
      </c>
    </row>
    <row r="3" spans="1:12" x14ac:dyDescent="0.3">
      <c r="A3" s="457" t="s">
        <v>268</v>
      </c>
      <c r="B3" s="457" t="s">
        <v>269</v>
      </c>
      <c r="C3" s="457" t="s">
        <v>270</v>
      </c>
      <c r="D3" s="457" t="s">
        <v>271</v>
      </c>
      <c r="E3" s="457" t="s">
        <v>272</v>
      </c>
      <c r="F3" s="457" t="s">
        <v>273</v>
      </c>
      <c r="G3" s="457" t="s">
        <v>44</v>
      </c>
      <c r="H3" s="457" t="s">
        <v>115</v>
      </c>
      <c r="I3" s="457" t="s">
        <v>278</v>
      </c>
      <c r="J3" s="457" t="s">
        <v>279</v>
      </c>
      <c r="K3" s="457" t="s">
        <v>280</v>
      </c>
      <c r="L3" s="457" t="s">
        <v>9</v>
      </c>
    </row>
    <row r="4" spans="1:12" x14ac:dyDescent="0.3">
      <c r="A4" s="457" t="s">
        <v>268</v>
      </c>
      <c r="B4" s="457" t="s">
        <v>269</v>
      </c>
      <c r="C4" s="457" t="s">
        <v>270</v>
      </c>
      <c r="D4" s="457" t="s">
        <v>271</v>
      </c>
      <c r="E4" s="457" t="s">
        <v>272</v>
      </c>
      <c r="F4" s="457" t="s">
        <v>273</v>
      </c>
      <c r="G4" s="457" t="s">
        <v>44</v>
      </c>
      <c r="H4" s="457" t="s">
        <v>115</v>
      </c>
      <c r="I4" s="457" t="s">
        <v>278</v>
      </c>
      <c r="J4" s="457" t="s">
        <v>281</v>
      </c>
      <c r="K4" s="457" t="s">
        <v>280</v>
      </c>
      <c r="L4" s="457" t="s">
        <v>9</v>
      </c>
    </row>
    <row r="5" spans="1:12" x14ac:dyDescent="0.3">
      <c r="A5" s="457" t="s">
        <v>268</v>
      </c>
      <c r="B5" s="457" t="s">
        <v>269</v>
      </c>
      <c r="C5" s="457" t="s">
        <v>270</v>
      </c>
      <c r="D5" s="457" t="s">
        <v>271</v>
      </c>
      <c r="E5" s="457" t="s">
        <v>272</v>
      </c>
      <c r="F5" s="457" t="s">
        <v>273</v>
      </c>
      <c r="G5" s="457" t="s">
        <v>44</v>
      </c>
      <c r="H5" s="457" t="s">
        <v>115</v>
      </c>
      <c r="I5" s="457" t="s">
        <v>278</v>
      </c>
      <c r="J5" s="457" t="s">
        <v>282</v>
      </c>
      <c r="K5" s="457" t="s">
        <v>280</v>
      </c>
      <c r="L5" s="457" t="s">
        <v>9</v>
      </c>
    </row>
    <row r="6" spans="1:12" x14ac:dyDescent="0.3">
      <c r="A6" s="457" t="s">
        <v>268</v>
      </c>
      <c r="B6" s="457" t="s">
        <v>283</v>
      </c>
      <c r="C6" s="457" t="s">
        <v>270</v>
      </c>
      <c r="D6" s="457" t="s">
        <v>271</v>
      </c>
      <c r="E6" s="457" t="s">
        <v>272</v>
      </c>
      <c r="F6" s="457" t="s">
        <v>284</v>
      </c>
      <c r="G6" s="457" t="s">
        <v>44</v>
      </c>
      <c r="H6" s="457" t="s">
        <v>285</v>
      </c>
      <c r="I6" s="457" t="s">
        <v>286</v>
      </c>
      <c r="J6" s="457" t="s">
        <v>287</v>
      </c>
      <c r="K6" s="457" t="s">
        <v>288</v>
      </c>
      <c r="L6" s="457" t="s">
        <v>9</v>
      </c>
    </row>
    <row r="7" spans="1:12" x14ac:dyDescent="0.3">
      <c r="A7" s="457" t="s">
        <v>268</v>
      </c>
      <c r="B7" s="457" t="s">
        <v>269</v>
      </c>
      <c r="C7" s="457" t="s">
        <v>270</v>
      </c>
      <c r="D7" s="457" t="s">
        <v>271</v>
      </c>
      <c r="E7" s="457" t="s">
        <v>272</v>
      </c>
      <c r="F7" s="457" t="s">
        <v>284</v>
      </c>
      <c r="G7" s="457" t="s">
        <v>44</v>
      </c>
      <c r="H7" s="457" t="s">
        <v>289</v>
      </c>
      <c r="I7" s="457" t="s">
        <v>290</v>
      </c>
      <c r="J7" s="457" t="s">
        <v>291</v>
      </c>
      <c r="K7" s="457" t="s">
        <v>292</v>
      </c>
      <c r="L7" s="457" t="s">
        <v>9</v>
      </c>
    </row>
    <row r="8" spans="1:12" x14ac:dyDescent="0.3">
      <c r="A8" s="457" t="s">
        <v>268</v>
      </c>
      <c r="B8" s="457" t="s">
        <v>269</v>
      </c>
      <c r="C8" s="457" t="s">
        <v>270</v>
      </c>
      <c r="D8" s="457" t="s">
        <v>271</v>
      </c>
      <c r="E8" s="457" t="s">
        <v>272</v>
      </c>
      <c r="F8" s="457" t="s">
        <v>284</v>
      </c>
      <c r="G8" s="457" t="s">
        <v>44</v>
      </c>
      <c r="H8" s="457" t="s">
        <v>115</v>
      </c>
      <c r="I8" s="457" t="s">
        <v>278</v>
      </c>
      <c r="J8" s="457" t="s">
        <v>293</v>
      </c>
      <c r="K8" s="457" t="s">
        <v>280</v>
      </c>
      <c r="L8" s="457" t="s">
        <v>9</v>
      </c>
    </row>
    <row r="9" spans="1:12" x14ac:dyDescent="0.3">
      <c r="A9" s="457" t="s">
        <v>268</v>
      </c>
      <c r="B9" s="457" t="s">
        <v>269</v>
      </c>
      <c r="C9" s="457" t="s">
        <v>270</v>
      </c>
      <c r="D9" s="457" t="s">
        <v>271</v>
      </c>
      <c r="E9" s="457" t="s">
        <v>272</v>
      </c>
      <c r="F9" s="457" t="s">
        <v>273</v>
      </c>
      <c r="G9" s="457" t="s">
        <v>43</v>
      </c>
      <c r="H9" s="457" t="s">
        <v>92</v>
      </c>
      <c r="I9" s="457" t="s">
        <v>278</v>
      </c>
      <c r="J9" s="457" t="s">
        <v>294</v>
      </c>
      <c r="K9" s="457" t="s">
        <v>295</v>
      </c>
      <c r="L9" s="457" t="s">
        <v>9</v>
      </c>
    </row>
    <row r="10" spans="1:12" x14ac:dyDescent="0.3">
      <c r="A10" s="457" t="s">
        <v>268</v>
      </c>
      <c r="B10" s="457" t="s">
        <v>269</v>
      </c>
      <c r="C10" s="457" t="s">
        <v>270</v>
      </c>
      <c r="D10" s="457" t="s">
        <v>271</v>
      </c>
      <c r="E10" s="457" t="s">
        <v>296</v>
      </c>
      <c r="F10" s="457" t="s">
        <v>273</v>
      </c>
      <c r="G10" s="457" t="s">
        <v>44</v>
      </c>
      <c r="H10" s="457" t="s">
        <v>297</v>
      </c>
      <c r="I10" s="457" t="s">
        <v>278</v>
      </c>
      <c r="J10" s="457" t="s">
        <v>298</v>
      </c>
      <c r="K10" s="457" t="s">
        <v>299</v>
      </c>
      <c r="L10" s="457" t="s">
        <v>9</v>
      </c>
    </row>
    <row r="11" spans="1:12" x14ac:dyDescent="0.3">
      <c r="A11" s="457" t="s">
        <v>268</v>
      </c>
      <c r="B11" s="457" t="s">
        <v>269</v>
      </c>
      <c r="C11" s="457" t="s">
        <v>270</v>
      </c>
      <c r="D11" s="457" t="s">
        <v>271</v>
      </c>
      <c r="E11" s="457" t="s">
        <v>296</v>
      </c>
      <c r="F11" s="457" t="s">
        <v>273</v>
      </c>
      <c r="G11" s="457" t="s">
        <v>44</v>
      </c>
      <c r="H11" s="457" t="s">
        <v>297</v>
      </c>
      <c r="I11" s="457" t="s">
        <v>278</v>
      </c>
      <c r="J11" s="457" t="s">
        <v>300</v>
      </c>
      <c r="K11" s="457" t="s">
        <v>299</v>
      </c>
      <c r="L11" s="457" t="s">
        <v>9</v>
      </c>
    </row>
    <row r="12" spans="1:12" x14ac:dyDescent="0.3">
      <c r="A12" s="457" t="s">
        <v>268</v>
      </c>
      <c r="B12" s="457" t="s">
        <v>301</v>
      </c>
      <c r="C12" s="457" t="s">
        <v>270</v>
      </c>
      <c r="D12" s="457" t="s">
        <v>271</v>
      </c>
      <c r="E12" s="457" t="s">
        <v>296</v>
      </c>
      <c r="F12" s="457" t="s">
        <v>273</v>
      </c>
      <c r="G12" s="457" t="s">
        <v>44</v>
      </c>
      <c r="H12" s="457" t="s">
        <v>302</v>
      </c>
      <c r="I12" s="457" t="s">
        <v>303</v>
      </c>
      <c r="J12" s="457" t="s">
        <v>304</v>
      </c>
      <c r="K12" s="457" t="s">
        <v>305</v>
      </c>
      <c r="L12" s="457" t="s">
        <v>9</v>
      </c>
    </row>
    <row r="13" spans="1:12" x14ac:dyDescent="0.3">
      <c r="A13" s="457" t="s">
        <v>268</v>
      </c>
      <c r="B13" s="457" t="s">
        <v>301</v>
      </c>
      <c r="C13" s="457" t="s">
        <v>270</v>
      </c>
      <c r="D13" s="457" t="s">
        <v>271</v>
      </c>
      <c r="E13" s="457" t="s">
        <v>296</v>
      </c>
      <c r="F13" s="457" t="s">
        <v>273</v>
      </c>
      <c r="G13" s="457" t="s">
        <v>44</v>
      </c>
      <c r="H13" s="457" t="s">
        <v>302</v>
      </c>
      <c r="I13" s="457" t="s">
        <v>303</v>
      </c>
      <c r="J13" s="457" t="s">
        <v>306</v>
      </c>
      <c r="K13" s="457" t="s">
        <v>305</v>
      </c>
      <c r="L13" s="457" t="s">
        <v>9</v>
      </c>
    </row>
    <row r="14" spans="1:12" x14ac:dyDescent="0.3">
      <c r="A14" s="457" t="s">
        <v>268</v>
      </c>
      <c r="B14" s="457" t="s">
        <v>269</v>
      </c>
      <c r="C14" s="457" t="s">
        <v>270</v>
      </c>
      <c r="D14" s="457" t="s">
        <v>271</v>
      </c>
      <c r="E14" s="457" t="s">
        <v>296</v>
      </c>
      <c r="F14" s="457" t="s">
        <v>273</v>
      </c>
      <c r="G14" s="457" t="s">
        <v>44</v>
      </c>
      <c r="H14" s="457" t="s">
        <v>307</v>
      </c>
      <c r="I14" s="457" t="s">
        <v>278</v>
      </c>
      <c r="J14" s="457" t="s">
        <v>308</v>
      </c>
      <c r="K14" s="457" t="s">
        <v>309</v>
      </c>
      <c r="L14" s="457" t="s">
        <v>9</v>
      </c>
    </row>
    <row r="15" spans="1:12" x14ac:dyDescent="0.3">
      <c r="A15" s="457" t="s">
        <v>268</v>
      </c>
      <c r="B15" s="457" t="s">
        <v>301</v>
      </c>
      <c r="C15" s="457" t="s">
        <v>270</v>
      </c>
      <c r="D15" s="457" t="s">
        <v>271</v>
      </c>
      <c r="E15" s="457" t="s">
        <v>296</v>
      </c>
      <c r="F15" s="457" t="s">
        <v>273</v>
      </c>
      <c r="G15" s="457" t="s">
        <v>44</v>
      </c>
      <c r="H15" s="457" t="s">
        <v>123</v>
      </c>
      <c r="I15" s="457" t="s">
        <v>303</v>
      </c>
      <c r="J15" s="457" t="s">
        <v>310</v>
      </c>
      <c r="K15" s="457" t="s">
        <v>311</v>
      </c>
      <c r="L15" s="457" t="s">
        <v>312</v>
      </c>
    </row>
    <row r="16" spans="1:12" x14ac:dyDescent="0.3">
      <c r="A16" s="457" t="s">
        <v>268</v>
      </c>
      <c r="B16" s="457" t="s">
        <v>269</v>
      </c>
      <c r="C16" s="457" t="s">
        <v>270</v>
      </c>
      <c r="D16" s="457" t="s">
        <v>271</v>
      </c>
      <c r="E16" s="457" t="s">
        <v>296</v>
      </c>
      <c r="F16" s="457" t="s">
        <v>273</v>
      </c>
      <c r="G16" s="457" t="s">
        <v>44</v>
      </c>
      <c r="H16" s="457" t="s">
        <v>115</v>
      </c>
      <c r="I16" s="457" t="s">
        <v>278</v>
      </c>
      <c r="J16" s="457" t="s">
        <v>313</v>
      </c>
      <c r="K16" s="457" t="s">
        <v>280</v>
      </c>
      <c r="L16" s="457" t="s">
        <v>9</v>
      </c>
    </row>
    <row r="17" spans="1:12" x14ac:dyDescent="0.3">
      <c r="A17" s="457" t="s">
        <v>268</v>
      </c>
      <c r="B17" s="457" t="s">
        <v>269</v>
      </c>
      <c r="C17" s="457" t="s">
        <v>270</v>
      </c>
      <c r="D17" s="457" t="s">
        <v>271</v>
      </c>
      <c r="E17" s="457" t="s">
        <v>296</v>
      </c>
      <c r="F17" s="457" t="s">
        <v>273</v>
      </c>
      <c r="G17" s="457" t="s">
        <v>44</v>
      </c>
      <c r="H17" s="457" t="s">
        <v>115</v>
      </c>
      <c r="I17" s="457" t="s">
        <v>278</v>
      </c>
      <c r="J17" s="457" t="s">
        <v>314</v>
      </c>
      <c r="K17" s="457" t="s">
        <v>280</v>
      </c>
      <c r="L17" s="457" t="s">
        <v>9</v>
      </c>
    </row>
    <row r="18" spans="1:12" x14ac:dyDescent="0.3">
      <c r="A18" s="457" t="s">
        <v>268</v>
      </c>
      <c r="B18" s="457" t="s">
        <v>269</v>
      </c>
      <c r="C18" s="457" t="s">
        <v>270</v>
      </c>
      <c r="D18" s="457" t="s">
        <v>271</v>
      </c>
      <c r="E18" s="457" t="s">
        <v>296</v>
      </c>
      <c r="F18" s="457" t="s">
        <v>273</v>
      </c>
      <c r="G18" s="457" t="s">
        <v>44</v>
      </c>
      <c r="H18" s="457" t="s">
        <v>92</v>
      </c>
      <c r="I18" s="457" t="s">
        <v>278</v>
      </c>
      <c r="J18" s="457" t="s">
        <v>315</v>
      </c>
      <c r="K18" s="457" t="s">
        <v>295</v>
      </c>
      <c r="L18" s="457" t="s">
        <v>9</v>
      </c>
    </row>
    <row r="19" spans="1:12" x14ac:dyDescent="0.3">
      <c r="A19" s="457" t="s">
        <v>268</v>
      </c>
      <c r="B19" s="457" t="s">
        <v>269</v>
      </c>
      <c r="C19" s="457" t="s">
        <v>270</v>
      </c>
      <c r="D19" s="457" t="s">
        <v>271</v>
      </c>
      <c r="E19" s="457" t="s">
        <v>296</v>
      </c>
      <c r="F19" s="457" t="s">
        <v>273</v>
      </c>
      <c r="G19" s="457" t="s">
        <v>44</v>
      </c>
      <c r="H19" s="457" t="s">
        <v>101</v>
      </c>
      <c r="I19" s="457" t="s">
        <v>278</v>
      </c>
      <c r="J19" s="457" t="s">
        <v>316</v>
      </c>
      <c r="K19" s="457" t="s">
        <v>317</v>
      </c>
      <c r="L19" s="457" t="s">
        <v>9</v>
      </c>
    </row>
    <row r="20" spans="1:12" x14ac:dyDescent="0.3">
      <c r="A20" s="457" t="s">
        <v>268</v>
      </c>
      <c r="B20" s="457" t="s">
        <v>269</v>
      </c>
      <c r="C20" s="457" t="s">
        <v>270</v>
      </c>
      <c r="D20" s="457" t="s">
        <v>271</v>
      </c>
      <c r="E20" s="457" t="s">
        <v>296</v>
      </c>
      <c r="F20" s="457" t="s">
        <v>273</v>
      </c>
      <c r="G20" s="457" t="s">
        <v>44</v>
      </c>
      <c r="H20" s="457" t="s">
        <v>101</v>
      </c>
      <c r="I20" s="457" t="s">
        <v>278</v>
      </c>
      <c r="J20" s="457" t="s">
        <v>318</v>
      </c>
      <c r="K20" s="457" t="s">
        <v>317</v>
      </c>
      <c r="L20" s="457" t="s">
        <v>9</v>
      </c>
    </row>
    <row r="21" spans="1:12" x14ac:dyDescent="0.3">
      <c r="A21" s="457" t="s">
        <v>268</v>
      </c>
      <c r="B21" s="457" t="s">
        <v>283</v>
      </c>
      <c r="C21" s="457" t="s">
        <v>270</v>
      </c>
      <c r="D21" s="457" t="s">
        <v>271</v>
      </c>
      <c r="E21" s="457" t="s">
        <v>296</v>
      </c>
      <c r="F21" s="457" t="s">
        <v>284</v>
      </c>
      <c r="G21" s="457" t="s">
        <v>44</v>
      </c>
      <c r="H21" s="457" t="s">
        <v>285</v>
      </c>
      <c r="I21" s="457" t="s">
        <v>286</v>
      </c>
      <c r="J21" s="457" t="s">
        <v>319</v>
      </c>
      <c r="K21" s="457" t="s">
        <v>288</v>
      </c>
      <c r="L21" s="457" t="s">
        <v>9</v>
      </c>
    </row>
    <row r="22" spans="1:12" x14ac:dyDescent="0.3">
      <c r="A22" s="457" t="s">
        <v>268</v>
      </c>
      <c r="B22" s="457" t="s">
        <v>269</v>
      </c>
      <c r="C22" s="457" t="s">
        <v>270</v>
      </c>
      <c r="D22" s="457" t="s">
        <v>271</v>
      </c>
      <c r="E22" s="457" t="s">
        <v>296</v>
      </c>
      <c r="F22" s="457" t="s">
        <v>284</v>
      </c>
      <c r="G22" s="457" t="s">
        <v>44</v>
      </c>
      <c r="H22" s="457" t="s">
        <v>92</v>
      </c>
      <c r="I22" s="457" t="s">
        <v>278</v>
      </c>
      <c r="J22" s="457" t="s">
        <v>320</v>
      </c>
      <c r="K22" s="457" t="s">
        <v>295</v>
      </c>
      <c r="L22" s="457" t="s">
        <v>9</v>
      </c>
    </row>
    <row r="23" spans="1:12" x14ac:dyDescent="0.3">
      <c r="A23" s="457" t="s">
        <v>268</v>
      </c>
      <c r="B23" s="457" t="s">
        <v>269</v>
      </c>
      <c r="C23" s="457" t="s">
        <v>270</v>
      </c>
      <c r="D23" s="457" t="s">
        <v>271</v>
      </c>
      <c r="E23" s="457" t="s">
        <v>296</v>
      </c>
      <c r="F23" s="457" t="s">
        <v>284</v>
      </c>
      <c r="G23" s="457" t="s">
        <v>44</v>
      </c>
      <c r="H23" s="457" t="s">
        <v>92</v>
      </c>
      <c r="I23" s="457" t="s">
        <v>278</v>
      </c>
      <c r="J23" s="457" t="s">
        <v>321</v>
      </c>
      <c r="K23" s="457" t="s">
        <v>295</v>
      </c>
      <c r="L23" s="457" t="s">
        <v>9</v>
      </c>
    </row>
    <row r="24" spans="1:12" x14ac:dyDescent="0.3">
      <c r="A24" s="457" t="s">
        <v>268</v>
      </c>
      <c r="B24" s="457" t="s">
        <v>269</v>
      </c>
      <c r="C24" s="457" t="s">
        <v>270</v>
      </c>
      <c r="D24" s="457" t="s">
        <v>271</v>
      </c>
      <c r="E24" s="457" t="s">
        <v>296</v>
      </c>
      <c r="F24" s="457" t="s">
        <v>284</v>
      </c>
      <c r="G24" s="457" t="s">
        <v>44</v>
      </c>
      <c r="H24" s="457" t="s">
        <v>115</v>
      </c>
      <c r="I24" s="457" t="s">
        <v>278</v>
      </c>
      <c r="J24" s="457" t="s">
        <v>322</v>
      </c>
      <c r="K24" s="457" t="s">
        <v>280</v>
      </c>
      <c r="L24" s="457" t="s">
        <v>9</v>
      </c>
    </row>
    <row r="25" spans="1:12" x14ac:dyDescent="0.3">
      <c r="A25" s="457" t="s">
        <v>268</v>
      </c>
      <c r="B25" s="457" t="s">
        <v>301</v>
      </c>
      <c r="C25" s="457" t="s">
        <v>270</v>
      </c>
      <c r="D25" s="457" t="s">
        <v>271</v>
      </c>
      <c r="E25" s="457" t="s">
        <v>296</v>
      </c>
      <c r="F25" s="457" t="s">
        <v>284</v>
      </c>
      <c r="G25" s="457" t="s">
        <v>44</v>
      </c>
      <c r="H25" s="457" t="s">
        <v>302</v>
      </c>
      <c r="I25" s="457" t="s">
        <v>303</v>
      </c>
      <c r="J25" s="457" t="s">
        <v>323</v>
      </c>
      <c r="K25" s="457" t="s">
        <v>305</v>
      </c>
      <c r="L25" s="457" t="s">
        <v>9</v>
      </c>
    </row>
    <row r="26" spans="1:12" x14ac:dyDescent="0.3">
      <c r="A26" s="457" t="s">
        <v>268</v>
      </c>
      <c r="B26" s="457" t="s">
        <v>324</v>
      </c>
      <c r="C26" s="457" t="s">
        <v>270</v>
      </c>
      <c r="D26" s="457" t="s">
        <v>271</v>
      </c>
      <c r="E26" s="457" t="s">
        <v>296</v>
      </c>
      <c r="F26" s="457" t="s">
        <v>284</v>
      </c>
      <c r="G26" s="457" t="s">
        <v>44</v>
      </c>
      <c r="H26" s="457" t="s">
        <v>325</v>
      </c>
      <c r="I26" s="457" t="s">
        <v>326</v>
      </c>
      <c r="J26" s="457" t="s">
        <v>327</v>
      </c>
      <c r="K26" s="457" t="s">
        <v>328</v>
      </c>
      <c r="L26" s="457" t="s">
        <v>9</v>
      </c>
    </row>
    <row r="27" spans="1:12" x14ac:dyDescent="0.3">
      <c r="A27" s="457" t="s">
        <v>268</v>
      </c>
      <c r="B27" s="457" t="s">
        <v>269</v>
      </c>
      <c r="C27" s="457" t="s">
        <v>270</v>
      </c>
      <c r="D27" s="457" t="s">
        <v>271</v>
      </c>
      <c r="E27" s="457" t="s">
        <v>296</v>
      </c>
      <c r="F27" s="457" t="s">
        <v>273</v>
      </c>
      <c r="G27" s="457" t="s">
        <v>43</v>
      </c>
      <c r="H27" s="457" t="s">
        <v>329</v>
      </c>
      <c r="I27" s="457" t="s">
        <v>278</v>
      </c>
      <c r="J27" s="457" t="s">
        <v>330</v>
      </c>
      <c r="K27" s="457" t="s">
        <v>331</v>
      </c>
      <c r="L27" s="457" t="s">
        <v>9</v>
      </c>
    </row>
    <row r="28" spans="1:12" x14ac:dyDescent="0.3">
      <c r="A28" s="457" t="s">
        <v>268</v>
      </c>
      <c r="B28" s="457" t="s">
        <v>269</v>
      </c>
      <c r="C28" s="457" t="s">
        <v>270</v>
      </c>
      <c r="D28" s="457" t="s">
        <v>271</v>
      </c>
      <c r="E28" s="457" t="s">
        <v>296</v>
      </c>
      <c r="F28" s="457" t="s">
        <v>284</v>
      </c>
      <c r="G28" s="457" t="s">
        <v>43</v>
      </c>
      <c r="H28" s="457" t="s">
        <v>115</v>
      </c>
      <c r="I28" s="457" t="s">
        <v>278</v>
      </c>
      <c r="J28" s="457" t="s">
        <v>332</v>
      </c>
      <c r="K28" s="457" t="s">
        <v>280</v>
      </c>
      <c r="L28" s="457" t="s">
        <v>9</v>
      </c>
    </row>
    <row r="29" spans="1:12" x14ac:dyDescent="0.3">
      <c r="A29" s="457" t="s">
        <v>268</v>
      </c>
      <c r="B29" s="457" t="s">
        <v>283</v>
      </c>
      <c r="C29" s="457" t="s">
        <v>270</v>
      </c>
      <c r="D29" s="457" t="s">
        <v>271</v>
      </c>
      <c r="E29" s="457" t="s">
        <v>333</v>
      </c>
      <c r="F29" s="457" t="s">
        <v>273</v>
      </c>
      <c r="G29" s="457" t="s">
        <v>44</v>
      </c>
      <c r="H29" s="457" t="s">
        <v>285</v>
      </c>
      <c r="I29" s="457" t="s">
        <v>286</v>
      </c>
      <c r="J29" s="457" t="s">
        <v>334</v>
      </c>
      <c r="K29" s="457" t="s">
        <v>288</v>
      </c>
      <c r="L29" s="457" t="s">
        <v>9</v>
      </c>
    </row>
    <row r="30" spans="1:12" x14ac:dyDescent="0.3">
      <c r="A30" s="457" t="s">
        <v>268</v>
      </c>
      <c r="B30" s="457" t="s">
        <v>269</v>
      </c>
      <c r="C30" s="457" t="s">
        <v>270</v>
      </c>
      <c r="D30" s="457" t="s">
        <v>271</v>
      </c>
      <c r="E30" s="457" t="s">
        <v>333</v>
      </c>
      <c r="F30" s="457" t="s">
        <v>273</v>
      </c>
      <c r="G30" s="457" t="s">
        <v>44</v>
      </c>
      <c r="H30" s="457" t="s">
        <v>92</v>
      </c>
      <c r="I30" s="457" t="s">
        <v>278</v>
      </c>
      <c r="J30" s="457" t="s">
        <v>335</v>
      </c>
      <c r="K30" s="457" t="s">
        <v>295</v>
      </c>
      <c r="L30" s="457" t="s">
        <v>9</v>
      </c>
    </row>
    <row r="31" spans="1:12" x14ac:dyDescent="0.3">
      <c r="A31" s="457" t="s">
        <v>268</v>
      </c>
      <c r="B31" s="457" t="s">
        <v>269</v>
      </c>
      <c r="C31" s="457" t="s">
        <v>270</v>
      </c>
      <c r="D31" s="457" t="s">
        <v>271</v>
      </c>
      <c r="E31" s="457" t="s">
        <v>333</v>
      </c>
      <c r="F31" s="457" t="s">
        <v>273</v>
      </c>
      <c r="G31" s="457" t="s">
        <v>44</v>
      </c>
      <c r="H31" s="457" t="s">
        <v>92</v>
      </c>
      <c r="I31" s="457" t="s">
        <v>278</v>
      </c>
      <c r="J31" s="457" t="s">
        <v>336</v>
      </c>
      <c r="K31" s="457" t="s">
        <v>295</v>
      </c>
      <c r="L31" s="457" t="s">
        <v>9</v>
      </c>
    </row>
    <row r="32" spans="1:12" x14ac:dyDescent="0.3">
      <c r="A32" s="457" t="s">
        <v>268</v>
      </c>
      <c r="B32" s="457" t="s">
        <v>269</v>
      </c>
      <c r="C32" s="457" t="s">
        <v>270</v>
      </c>
      <c r="D32" s="457" t="s">
        <v>271</v>
      </c>
      <c r="E32" s="457" t="s">
        <v>333</v>
      </c>
      <c r="F32" s="457" t="s">
        <v>273</v>
      </c>
      <c r="G32" s="457" t="s">
        <v>44</v>
      </c>
      <c r="H32" s="457" t="s">
        <v>113</v>
      </c>
      <c r="I32" s="457" t="s">
        <v>278</v>
      </c>
      <c r="J32" s="457" t="s">
        <v>337</v>
      </c>
      <c r="K32" s="457" t="s">
        <v>338</v>
      </c>
      <c r="L32" s="457" t="s">
        <v>9</v>
      </c>
    </row>
    <row r="33" spans="1:12" x14ac:dyDescent="0.3">
      <c r="A33" s="457" t="s">
        <v>268</v>
      </c>
      <c r="B33" s="457" t="s">
        <v>269</v>
      </c>
      <c r="C33" s="457" t="s">
        <v>270</v>
      </c>
      <c r="D33" s="457" t="s">
        <v>271</v>
      </c>
      <c r="E33" s="457" t="s">
        <v>333</v>
      </c>
      <c r="F33" s="457" t="s">
        <v>273</v>
      </c>
      <c r="G33" s="457" t="s">
        <v>44</v>
      </c>
      <c r="H33" s="457" t="s">
        <v>115</v>
      </c>
      <c r="I33" s="457" t="s">
        <v>278</v>
      </c>
      <c r="J33" s="457" t="s">
        <v>339</v>
      </c>
      <c r="K33" s="457" t="s">
        <v>280</v>
      </c>
      <c r="L33" s="457" t="s">
        <v>9</v>
      </c>
    </row>
    <row r="34" spans="1:12" x14ac:dyDescent="0.3">
      <c r="A34" s="457" t="s">
        <v>268</v>
      </c>
      <c r="B34" s="457" t="s">
        <v>269</v>
      </c>
      <c r="C34" s="457" t="s">
        <v>270</v>
      </c>
      <c r="D34" s="457" t="s">
        <v>271</v>
      </c>
      <c r="E34" s="457" t="s">
        <v>333</v>
      </c>
      <c r="F34" s="457" t="s">
        <v>273</v>
      </c>
      <c r="G34" s="457" t="s">
        <v>44</v>
      </c>
      <c r="H34" s="457" t="s">
        <v>115</v>
      </c>
      <c r="I34" s="457" t="s">
        <v>278</v>
      </c>
      <c r="J34" s="457" t="s">
        <v>340</v>
      </c>
      <c r="K34" s="457" t="s">
        <v>280</v>
      </c>
      <c r="L34" s="457" t="s">
        <v>9</v>
      </c>
    </row>
    <row r="35" spans="1:12" x14ac:dyDescent="0.3">
      <c r="A35" s="457" t="s">
        <v>268</v>
      </c>
      <c r="B35" s="457" t="s">
        <v>269</v>
      </c>
      <c r="C35" s="457" t="s">
        <v>270</v>
      </c>
      <c r="D35" s="457" t="s">
        <v>271</v>
      </c>
      <c r="E35" s="457" t="s">
        <v>333</v>
      </c>
      <c r="F35" s="457" t="s">
        <v>273</v>
      </c>
      <c r="G35" s="457" t="s">
        <v>44</v>
      </c>
      <c r="H35" s="457" t="s">
        <v>115</v>
      </c>
      <c r="I35" s="457" t="s">
        <v>278</v>
      </c>
      <c r="J35" s="457" t="s">
        <v>341</v>
      </c>
      <c r="K35" s="457" t="s">
        <v>280</v>
      </c>
      <c r="L35" s="457" t="s">
        <v>9</v>
      </c>
    </row>
    <row r="36" spans="1:12" x14ac:dyDescent="0.3">
      <c r="A36" s="457" t="s">
        <v>268</v>
      </c>
      <c r="B36" s="457" t="s">
        <v>269</v>
      </c>
      <c r="C36" s="457" t="s">
        <v>270</v>
      </c>
      <c r="D36" s="457" t="s">
        <v>271</v>
      </c>
      <c r="E36" s="457" t="s">
        <v>333</v>
      </c>
      <c r="F36" s="457" t="s">
        <v>273</v>
      </c>
      <c r="G36" s="457" t="s">
        <v>44</v>
      </c>
      <c r="H36" s="457" t="s">
        <v>115</v>
      </c>
      <c r="I36" s="457" t="s">
        <v>278</v>
      </c>
      <c r="J36" s="457" t="s">
        <v>342</v>
      </c>
      <c r="K36" s="457" t="s">
        <v>280</v>
      </c>
      <c r="L36" s="457" t="s">
        <v>9</v>
      </c>
    </row>
    <row r="37" spans="1:12" x14ac:dyDescent="0.3">
      <c r="A37" s="457" t="s">
        <v>268</v>
      </c>
      <c r="B37" s="457" t="s">
        <v>269</v>
      </c>
      <c r="C37" s="457" t="s">
        <v>270</v>
      </c>
      <c r="D37" s="457" t="s">
        <v>271</v>
      </c>
      <c r="E37" s="457" t="s">
        <v>333</v>
      </c>
      <c r="F37" s="457" t="s">
        <v>273</v>
      </c>
      <c r="G37" s="457" t="s">
        <v>44</v>
      </c>
      <c r="H37" s="457" t="s">
        <v>343</v>
      </c>
      <c r="I37" s="457" t="s">
        <v>278</v>
      </c>
      <c r="J37" s="457" t="s">
        <v>344</v>
      </c>
      <c r="K37" s="457" t="s">
        <v>345</v>
      </c>
      <c r="L37" s="457" t="s">
        <v>346</v>
      </c>
    </row>
    <row r="38" spans="1:12" x14ac:dyDescent="0.3">
      <c r="A38" s="457" t="s">
        <v>268</v>
      </c>
      <c r="B38" s="457" t="s">
        <v>269</v>
      </c>
      <c r="C38" s="457" t="s">
        <v>270</v>
      </c>
      <c r="D38" s="457" t="s">
        <v>271</v>
      </c>
      <c r="E38" s="457" t="s">
        <v>333</v>
      </c>
      <c r="F38" s="457" t="s">
        <v>273</v>
      </c>
      <c r="G38" s="457" t="s">
        <v>44</v>
      </c>
      <c r="H38" s="457" t="s">
        <v>343</v>
      </c>
      <c r="I38" s="457" t="s">
        <v>278</v>
      </c>
      <c r="J38" s="457" t="s">
        <v>347</v>
      </c>
      <c r="K38" s="457" t="s">
        <v>345</v>
      </c>
      <c r="L38" s="457" t="s">
        <v>346</v>
      </c>
    </row>
    <row r="39" spans="1:12" x14ac:dyDescent="0.3">
      <c r="A39" s="457" t="s">
        <v>268</v>
      </c>
      <c r="B39" s="457" t="s">
        <v>301</v>
      </c>
      <c r="C39" s="457" t="s">
        <v>270</v>
      </c>
      <c r="D39" s="457" t="s">
        <v>271</v>
      </c>
      <c r="E39" s="457" t="s">
        <v>333</v>
      </c>
      <c r="F39" s="457" t="s">
        <v>284</v>
      </c>
      <c r="G39" s="457" t="s">
        <v>44</v>
      </c>
      <c r="H39" s="457" t="s">
        <v>123</v>
      </c>
      <c r="I39" s="457" t="s">
        <v>303</v>
      </c>
      <c r="J39" s="457" t="s">
        <v>348</v>
      </c>
      <c r="K39" s="457" t="s">
        <v>311</v>
      </c>
      <c r="L39" s="457" t="s">
        <v>349</v>
      </c>
    </row>
    <row r="40" spans="1:12" x14ac:dyDescent="0.3">
      <c r="A40" s="457" t="s">
        <v>268</v>
      </c>
      <c r="B40" s="457" t="s">
        <v>301</v>
      </c>
      <c r="C40" s="457" t="s">
        <v>270</v>
      </c>
      <c r="D40" s="457" t="s">
        <v>271</v>
      </c>
      <c r="E40" s="457" t="s">
        <v>333</v>
      </c>
      <c r="F40" s="457" t="s">
        <v>284</v>
      </c>
      <c r="G40" s="457" t="s">
        <v>44</v>
      </c>
      <c r="H40" s="457" t="s">
        <v>123</v>
      </c>
      <c r="I40" s="457" t="s">
        <v>303</v>
      </c>
      <c r="J40" s="457" t="s">
        <v>350</v>
      </c>
      <c r="K40" s="457" t="s">
        <v>311</v>
      </c>
      <c r="L40" s="457" t="s">
        <v>351</v>
      </c>
    </row>
    <row r="41" spans="1:12" x14ac:dyDescent="0.3">
      <c r="A41" s="457" t="s">
        <v>268</v>
      </c>
      <c r="B41" s="457" t="s">
        <v>301</v>
      </c>
      <c r="C41" s="457" t="s">
        <v>270</v>
      </c>
      <c r="D41" s="457" t="s">
        <v>271</v>
      </c>
      <c r="E41" s="457" t="s">
        <v>333</v>
      </c>
      <c r="F41" s="457" t="s">
        <v>284</v>
      </c>
      <c r="G41" s="457" t="s">
        <v>44</v>
      </c>
      <c r="H41" s="457" t="s">
        <v>123</v>
      </c>
      <c r="I41" s="457" t="s">
        <v>303</v>
      </c>
      <c r="J41" s="457" t="s">
        <v>352</v>
      </c>
      <c r="K41" s="457" t="s">
        <v>311</v>
      </c>
      <c r="L41" s="457" t="s">
        <v>312</v>
      </c>
    </row>
    <row r="42" spans="1:12" x14ac:dyDescent="0.3">
      <c r="A42" s="457" t="s">
        <v>268</v>
      </c>
      <c r="B42" s="457" t="s">
        <v>269</v>
      </c>
      <c r="C42" s="457" t="s">
        <v>270</v>
      </c>
      <c r="D42" s="457" t="s">
        <v>271</v>
      </c>
      <c r="E42" s="457" t="s">
        <v>333</v>
      </c>
      <c r="F42" s="457" t="s">
        <v>284</v>
      </c>
      <c r="G42" s="457" t="s">
        <v>44</v>
      </c>
      <c r="H42" s="457" t="s">
        <v>107</v>
      </c>
      <c r="I42" s="457" t="s">
        <v>278</v>
      </c>
      <c r="J42" s="457" t="s">
        <v>353</v>
      </c>
      <c r="K42" s="457" t="s">
        <v>354</v>
      </c>
      <c r="L42" s="457" t="s">
        <v>9</v>
      </c>
    </row>
    <row r="43" spans="1:12" x14ac:dyDescent="0.3">
      <c r="A43" s="457" t="s">
        <v>268</v>
      </c>
      <c r="B43" s="457" t="s">
        <v>269</v>
      </c>
      <c r="C43" s="457" t="s">
        <v>270</v>
      </c>
      <c r="D43" s="457" t="s">
        <v>271</v>
      </c>
      <c r="E43" s="457" t="s">
        <v>333</v>
      </c>
      <c r="F43" s="457" t="s">
        <v>284</v>
      </c>
      <c r="G43" s="457" t="s">
        <v>44</v>
      </c>
      <c r="H43" s="457" t="s">
        <v>297</v>
      </c>
      <c r="I43" s="457" t="s">
        <v>278</v>
      </c>
      <c r="J43" s="457" t="s">
        <v>355</v>
      </c>
      <c r="K43" s="457" t="s">
        <v>299</v>
      </c>
      <c r="L43" s="457" t="s">
        <v>9</v>
      </c>
    </row>
    <row r="44" spans="1:12" x14ac:dyDescent="0.3">
      <c r="A44" s="457" t="s">
        <v>268</v>
      </c>
      <c r="B44" s="457" t="s">
        <v>269</v>
      </c>
      <c r="C44" s="457" t="s">
        <v>270</v>
      </c>
      <c r="D44" s="457" t="s">
        <v>271</v>
      </c>
      <c r="E44" s="457" t="s">
        <v>333</v>
      </c>
      <c r="F44" s="457" t="s">
        <v>284</v>
      </c>
      <c r="G44" s="457" t="s">
        <v>44</v>
      </c>
      <c r="H44" s="457" t="s">
        <v>92</v>
      </c>
      <c r="I44" s="457" t="s">
        <v>278</v>
      </c>
      <c r="J44" s="457" t="s">
        <v>356</v>
      </c>
      <c r="K44" s="457" t="s">
        <v>295</v>
      </c>
      <c r="L44" s="457" t="s">
        <v>9</v>
      </c>
    </row>
    <row r="45" spans="1:12" x14ac:dyDescent="0.3">
      <c r="A45" s="457" t="s">
        <v>268</v>
      </c>
      <c r="B45" s="457" t="s">
        <v>301</v>
      </c>
      <c r="C45" s="457" t="s">
        <v>270</v>
      </c>
      <c r="D45" s="457" t="s">
        <v>271</v>
      </c>
      <c r="E45" s="457" t="s">
        <v>333</v>
      </c>
      <c r="F45" s="457" t="s">
        <v>284</v>
      </c>
      <c r="G45" s="457" t="s">
        <v>44</v>
      </c>
      <c r="H45" s="457" t="s">
        <v>357</v>
      </c>
      <c r="I45" s="457" t="s">
        <v>358</v>
      </c>
      <c r="J45" s="457" t="s">
        <v>359</v>
      </c>
      <c r="K45" s="457" t="s">
        <v>360</v>
      </c>
      <c r="L45" s="457" t="s">
        <v>9</v>
      </c>
    </row>
    <row r="46" spans="1:12" x14ac:dyDescent="0.3">
      <c r="A46" s="457" t="s">
        <v>268</v>
      </c>
      <c r="B46" s="457" t="s">
        <v>269</v>
      </c>
      <c r="C46" s="457" t="s">
        <v>270</v>
      </c>
      <c r="D46" s="457" t="s">
        <v>271</v>
      </c>
      <c r="E46" s="457" t="s">
        <v>333</v>
      </c>
      <c r="F46" s="457" t="s">
        <v>284</v>
      </c>
      <c r="G46" s="457" t="s">
        <v>44</v>
      </c>
      <c r="H46" s="457" t="s">
        <v>115</v>
      </c>
      <c r="I46" s="457" t="s">
        <v>278</v>
      </c>
      <c r="J46" s="457" t="s">
        <v>361</v>
      </c>
      <c r="K46" s="457" t="s">
        <v>280</v>
      </c>
      <c r="L46" s="457" t="s">
        <v>9</v>
      </c>
    </row>
    <row r="47" spans="1:12" x14ac:dyDescent="0.3">
      <c r="A47" s="457" t="s">
        <v>268</v>
      </c>
      <c r="B47" s="457" t="s">
        <v>269</v>
      </c>
      <c r="C47" s="457" t="s">
        <v>270</v>
      </c>
      <c r="D47" s="457" t="s">
        <v>271</v>
      </c>
      <c r="E47" s="457" t="s">
        <v>333</v>
      </c>
      <c r="F47" s="457" t="s">
        <v>284</v>
      </c>
      <c r="G47" s="457" t="s">
        <v>44</v>
      </c>
      <c r="H47" s="457" t="s">
        <v>115</v>
      </c>
      <c r="I47" s="457" t="s">
        <v>278</v>
      </c>
      <c r="J47" s="457" t="s">
        <v>362</v>
      </c>
      <c r="K47" s="457" t="s">
        <v>280</v>
      </c>
      <c r="L47" s="457" t="s">
        <v>9</v>
      </c>
    </row>
    <row r="48" spans="1:12" x14ac:dyDescent="0.3">
      <c r="A48" s="457" t="s">
        <v>268</v>
      </c>
      <c r="B48" s="457" t="s">
        <v>269</v>
      </c>
      <c r="C48" s="457" t="s">
        <v>270</v>
      </c>
      <c r="D48" s="457" t="s">
        <v>271</v>
      </c>
      <c r="E48" s="457" t="s">
        <v>333</v>
      </c>
      <c r="F48" s="457" t="s">
        <v>284</v>
      </c>
      <c r="G48" s="457" t="s">
        <v>44</v>
      </c>
      <c r="H48" s="457" t="s">
        <v>115</v>
      </c>
      <c r="I48" s="457" t="s">
        <v>278</v>
      </c>
      <c r="J48" s="457" t="s">
        <v>363</v>
      </c>
      <c r="K48" s="457" t="s">
        <v>280</v>
      </c>
      <c r="L48" s="457" t="s">
        <v>9</v>
      </c>
    </row>
    <row r="49" spans="1:12" x14ac:dyDescent="0.3">
      <c r="A49" s="457" t="s">
        <v>268</v>
      </c>
      <c r="B49" s="457" t="s">
        <v>269</v>
      </c>
      <c r="C49" s="457" t="s">
        <v>270</v>
      </c>
      <c r="D49" s="457" t="s">
        <v>271</v>
      </c>
      <c r="E49" s="457" t="s">
        <v>333</v>
      </c>
      <c r="F49" s="457" t="s">
        <v>284</v>
      </c>
      <c r="G49" s="457" t="s">
        <v>44</v>
      </c>
      <c r="H49" s="457" t="s">
        <v>325</v>
      </c>
      <c r="I49" s="457" t="s">
        <v>326</v>
      </c>
      <c r="J49" s="457" t="s">
        <v>364</v>
      </c>
      <c r="K49" s="457" t="s">
        <v>328</v>
      </c>
      <c r="L49" s="457" t="s">
        <v>9</v>
      </c>
    </row>
    <row r="50" spans="1:12" x14ac:dyDescent="0.3">
      <c r="A50" s="457" t="s">
        <v>268</v>
      </c>
      <c r="B50" s="457" t="s">
        <v>269</v>
      </c>
      <c r="C50" s="457" t="s">
        <v>270</v>
      </c>
      <c r="D50" s="457" t="s">
        <v>271</v>
      </c>
      <c r="E50" s="457" t="s">
        <v>333</v>
      </c>
      <c r="F50" s="457" t="s">
        <v>284</v>
      </c>
      <c r="G50" s="457" t="s">
        <v>44</v>
      </c>
      <c r="H50" s="457" t="s">
        <v>325</v>
      </c>
      <c r="I50" s="457" t="s">
        <v>326</v>
      </c>
      <c r="J50" s="457" t="s">
        <v>365</v>
      </c>
      <c r="K50" s="457" t="s">
        <v>328</v>
      </c>
      <c r="L50" s="457" t="s">
        <v>9</v>
      </c>
    </row>
    <row r="51" spans="1:12" x14ac:dyDescent="0.3">
      <c r="A51" s="457" t="s">
        <v>268</v>
      </c>
      <c r="B51" s="457" t="s">
        <v>269</v>
      </c>
      <c r="C51" s="457" t="s">
        <v>270</v>
      </c>
      <c r="D51" s="457" t="s">
        <v>271</v>
      </c>
      <c r="E51" s="457" t="s">
        <v>333</v>
      </c>
      <c r="F51" s="457" t="s">
        <v>284</v>
      </c>
      <c r="G51" s="457" t="s">
        <v>43</v>
      </c>
      <c r="H51" s="457" t="s">
        <v>92</v>
      </c>
      <c r="I51" s="457" t="s">
        <v>278</v>
      </c>
      <c r="J51" s="457" t="s">
        <v>366</v>
      </c>
      <c r="K51" s="457" t="s">
        <v>295</v>
      </c>
      <c r="L51" s="457" t="s">
        <v>9</v>
      </c>
    </row>
    <row r="52" spans="1:12" x14ac:dyDescent="0.3">
      <c r="A52" s="457" t="s">
        <v>268</v>
      </c>
      <c r="B52" s="457" t="s">
        <v>301</v>
      </c>
      <c r="C52" s="457" t="s">
        <v>270</v>
      </c>
      <c r="D52" s="457" t="s">
        <v>271</v>
      </c>
      <c r="E52" s="457" t="s">
        <v>333</v>
      </c>
      <c r="F52" s="457" t="s">
        <v>284</v>
      </c>
      <c r="G52" s="457" t="s">
        <v>43</v>
      </c>
      <c r="H52" s="457" t="s">
        <v>123</v>
      </c>
      <c r="I52" s="457" t="s">
        <v>303</v>
      </c>
      <c r="J52" s="457" t="s">
        <v>367</v>
      </c>
      <c r="K52" s="457" t="s">
        <v>311</v>
      </c>
      <c r="L52" s="457" t="s">
        <v>368</v>
      </c>
    </row>
    <row r="53" spans="1:12" x14ac:dyDescent="0.3">
      <c r="A53" s="457" t="s">
        <v>268</v>
      </c>
      <c r="B53" s="457" t="s">
        <v>301</v>
      </c>
      <c r="C53" s="457" t="s">
        <v>270</v>
      </c>
      <c r="D53" s="457" t="s">
        <v>271</v>
      </c>
      <c r="E53" s="457" t="s">
        <v>333</v>
      </c>
      <c r="F53" s="457" t="s">
        <v>284</v>
      </c>
      <c r="G53" s="457" t="s">
        <v>43</v>
      </c>
      <c r="H53" s="457" t="s">
        <v>123</v>
      </c>
      <c r="I53" s="457" t="s">
        <v>303</v>
      </c>
      <c r="J53" s="457" t="s">
        <v>369</v>
      </c>
      <c r="K53" s="457" t="s">
        <v>311</v>
      </c>
      <c r="L53" s="457" t="s">
        <v>368</v>
      </c>
    </row>
    <row r="54" spans="1:12" x14ac:dyDescent="0.3">
      <c r="A54" s="457" t="s">
        <v>268</v>
      </c>
      <c r="B54" s="457" t="s">
        <v>269</v>
      </c>
      <c r="C54" s="457" t="s">
        <v>270</v>
      </c>
      <c r="D54" s="457" t="s">
        <v>271</v>
      </c>
      <c r="E54" s="457" t="s">
        <v>333</v>
      </c>
      <c r="F54" s="457" t="s">
        <v>284</v>
      </c>
      <c r="G54" s="457" t="s">
        <v>43</v>
      </c>
      <c r="H54" s="457" t="s">
        <v>103</v>
      </c>
      <c r="I54" s="457" t="s">
        <v>278</v>
      </c>
      <c r="J54" s="457" t="s">
        <v>370</v>
      </c>
      <c r="K54" s="457" t="s">
        <v>371</v>
      </c>
      <c r="L54" s="457" t="s">
        <v>9</v>
      </c>
    </row>
    <row r="55" spans="1:12" x14ac:dyDescent="0.3">
      <c r="A55" s="457" t="s">
        <v>268</v>
      </c>
      <c r="B55" s="457" t="s">
        <v>283</v>
      </c>
      <c r="C55" s="457" t="s">
        <v>270</v>
      </c>
      <c r="D55" s="457" t="s">
        <v>271</v>
      </c>
      <c r="E55" s="457" t="s">
        <v>372</v>
      </c>
      <c r="F55" s="457" t="s">
        <v>273</v>
      </c>
      <c r="G55" s="457" t="s">
        <v>44</v>
      </c>
      <c r="H55" s="457" t="s">
        <v>285</v>
      </c>
      <c r="I55" s="457" t="s">
        <v>286</v>
      </c>
      <c r="J55" s="457" t="s">
        <v>373</v>
      </c>
      <c r="K55" s="457" t="s">
        <v>288</v>
      </c>
      <c r="L55" s="457" t="s">
        <v>9</v>
      </c>
    </row>
    <row r="56" spans="1:12" x14ac:dyDescent="0.3">
      <c r="A56" s="457" t="s">
        <v>268</v>
      </c>
      <c r="B56" s="457" t="s">
        <v>301</v>
      </c>
      <c r="C56" s="457" t="s">
        <v>270</v>
      </c>
      <c r="D56" s="457" t="s">
        <v>271</v>
      </c>
      <c r="E56" s="457" t="s">
        <v>372</v>
      </c>
      <c r="F56" s="457" t="s">
        <v>273</v>
      </c>
      <c r="G56" s="457" t="s">
        <v>44</v>
      </c>
      <c r="H56" s="457" t="s">
        <v>123</v>
      </c>
      <c r="I56" s="457" t="s">
        <v>303</v>
      </c>
      <c r="J56" s="457" t="s">
        <v>374</v>
      </c>
      <c r="K56" s="457" t="s">
        <v>311</v>
      </c>
      <c r="L56" s="457" t="s">
        <v>312</v>
      </c>
    </row>
    <row r="57" spans="1:12" x14ac:dyDescent="0.3">
      <c r="A57" s="457" t="s">
        <v>268</v>
      </c>
      <c r="B57" s="457" t="s">
        <v>269</v>
      </c>
      <c r="C57" s="457" t="s">
        <v>270</v>
      </c>
      <c r="D57" s="457" t="s">
        <v>271</v>
      </c>
      <c r="E57" s="457" t="s">
        <v>372</v>
      </c>
      <c r="F57" s="457" t="s">
        <v>273</v>
      </c>
      <c r="G57" s="457" t="s">
        <v>44</v>
      </c>
      <c r="H57" s="457" t="s">
        <v>115</v>
      </c>
      <c r="I57" s="457" t="s">
        <v>278</v>
      </c>
      <c r="J57" s="457" t="s">
        <v>375</v>
      </c>
      <c r="K57" s="457" t="s">
        <v>280</v>
      </c>
      <c r="L57" s="457" t="s">
        <v>9</v>
      </c>
    </row>
    <row r="58" spans="1:12" x14ac:dyDescent="0.3">
      <c r="A58" s="457" t="s">
        <v>268</v>
      </c>
      <c r="B58" s="457" t="s">
        <v>269</v>
      </c>
      <c r="C58" s="457" t="s">
        <v>270</v>
      </c>
      <c r="D58" s="457" t="s">
        <v>271</v>
      </c>
      <c r="E58" s="457" t="s">
        <v>372</v>
      </c>
      <c r="F58" s="457" t="s">
        <v>273</v>
      </c>
      <c r="G58" s="457" t="s">
        <v>44</v>
      </c>
      <c r="H58" s="457" t="s">
        <v>101</v>
      </c>
      <c r="I58" s="457" t="s">
        <v>278</v>
      </c>
      <c r="J58" s="457" t="s">
        <v>376</v>
      </c>
      <c r="K58" s="457" t="s">
        <v>377</v>
      </c>
      <c r="L58" s="457" t="s">
        <v>9</v>
      </c>
    </row>
    <row r="59" spans="1:12" x14ac:dyDescent="0.3">
      <c r="A59" s="457" t="s">
        <v>268</v>
      </c>
      <c r="B59" s="457" t="s">
        <v>269</v>
      </c>
      <c r="C59" s="457" t="s">
        <v>270</v>
      </c>
      <c r="D59" s="457" t="s">
        <v>271</v>
      </c>
      <c r="E59" s="457" t="s">
        <v>372</v>
      </c>
      <c r="F59" s="457" t="s">
        <v>273</v>
      </c>
      <c r="G59" s="457" t="s">
        <v>44</v>
      </c>
      <c r="H59" s="457" t="s">
        <v>378</v>
      </c>
      <c r="I59" s="457" t="s">
        <v>278</v>
      </c>
      <c r="J59" s="457" t="s">
        <v>379</v>
      </c>
      <c r="K59" s="457" t="s">
        <v>380</v>
      </c>
      <c r="L59" s="457" t="s">
        <v>9</v>
      </c>
    </row>
    <row r="60" spans="1:12" x14ac:dyDescent="0.3">
      <c r="A60" s="457" t="s">
        <v>268</v>
      </c>
      <c r="B60" s="457" t="s">
        <v>269</v>
      </c>
      <c r="C60" s="457" t="s">
        <v>270</v>
      </c>
      <c r="D60" s="457" t="s">
        <v>271</v>
      </c>
      <c r="E60" s="457" t="s">
        <v>372</v>
      </c>
      <c r="F60" s="457" t="s">
        <v>284</v>
      </c>
      <c r="G60" s="457" t="s">
        <v>44</v>
      </c>
      <c r="H60" s="457" t="s">
        <v>92</v>
      </c>
      <c r="I60" s="457" t="s">
        <v>278</v>
      </c>
      <c r="J60" s="457" t="s">
        <v>381</v>
      </c>
      <c r="K60" s="457" t="s">
        <v>295</v>
      </c>
      <c r="L60" s="457" t="s">
        <v>9</v>
      </c>
    </row>
    <row r="61" spans="1:12" x14ac:dyDescent="0.3">
      <c r="A61" s="457" t="s">
        <v>268</v>
      </c>
      <c r="B61" s="457" t="s">
        <v>269</v>
      </c>
      <c r="C61" s="457" t="s">
        <v>270</v>
      </c>
      <c r="D61" s="457" t="s">
        <v>271</v>
      </c>
      <c r="E61" s="457" t="s">
        <v>372</v>
      </c>
      <c r="F61" s="457" t="s">
        <v>284</v>
      </c>
      <c r="G61" s="457" t="s">
        <v>44</v>
      </c>
      <c r="H61" s="457" t="s">
        <v>378</v>
      </c>
      <c r="I61" s="457" t="s">
        <v>278</v>
      </c>
      <c r="J61" s="457" t="s">
        <v>382</v>
      </c>
      <c r="K61" s="457" t="s">
        <v>380</v>
      </c>
      <c r="L61" s="457" t="s">
        <v>9</v>
      </c>
    </row>
    <row r="62" spans="1:12" x14ac:dyDescent="0.3">
      <c r="A62" s="457" t="s">
        <v>268</v>
      </c>
      <c r="B62" s="457" t="s">
        <v>301</v>
      </c>
      <c r="C62" s="457" t="s">
        <v>270</v>
      </c>
      <c r="D62" s="457" t="s">
        <v>271</v>
      </c>
      <c r="E62" s="457" t="s">
        <v>372</v>
      </c>
      <c r="F62" s="457" t="s">
        <v>284</v>
      </c>
      <c r="G62" s="457" t="s">
        <v>44</v>
      </c>
      <c r="H62" s="457" t="s">
        <v>123</v>
      </c>
      <c r="I62" s="457" t="s">
        <v>303</v>
      </c>
      <c r="J62" s="457" t="s">
        <v>383</v>
      </c>
      <c r="K62" s="457" t="s">
        <v>311</v>
      </c>
      <c r="L62" s="457" t="s">
        <v>312</v>
      </c>
    </row>
    <row r="63" spans="1:12" x14ac:dyDescent="0.3">
      <c r="A63" s="457" t="s">
        <v>268</v>
      </c>
      <c r="B63" s="457" t="s">
        <v>269</v>
      </c>
      <c r="C63" s="457" t="s">
        <v>270</v>
      </c>
      <c r="D63" s="457" t="s">
        <v>271</v>
      </c>
      <c r="E63" s="457" t="s">
        <v>372</v>
      </c>
      <c r="F63" s="457" t="s">
        <v>284</v>
      </c>
      <c r="G63" s="457" t="s">
        <v>44</v>
      </c>
      <c r="H63" s="457" t="s">
        <v>115</v>
      </c>
      <c r="I63" s="457" t="s">
        <v>278</v>
      </c>
      <c r="J63" s="457" t="s">
        <v>384</v>
      </c>
      <c r="K63" s="457" t="s">
        <v>280</v>
      </c>
      <c r="L63" s="457" t="s">
        <v>9</v>
      </c>
    </row>
    <row r="64" spans="1:12" x14ac:dyDescent="0.3">
      <c r="A64" s="457" t="s">
        <v>268</v>
      </c>
      <c r="B64" s="457" t="s">
        <v>269</v>
      </c>
      <c r="C64" s="457" t="s">
        <v>270</v>
      </c>
      <c r="D64" s="457" t="s">
        <v>271</v>
      </c>
      <c r="E64" s="457" t="s">
        <v>372</v>
      </c>
      <c r="F64" s="457" t="s">
        <v>284</v>
      </c>
      <c r="G64" s="457" t="s">
        <v>44</v>
      </c>
      <c r="H64" s="457" t="s">
        <v>115</v>
      </c>
      <c r="I64" s="457" t="s">
        <v>278</v>
      </c>
      <c r="J64" s="457" t="s">
        <v>385</v>
      </c>
      <c r="K64" s="457" t="s">
        <v>280</v>
      </c>
      <c r="L64" s="457" t="s">
        <v>9</v>
      </c>
    </row>
    <row r="65" spans="1:12" x14ac:dyDescent="0.3">
      <c r="A65" s="457" t="s">
        <v>268</v>
      </c>
      <c r="B65" s="457" t="s">
        <v>269</v>
      </c>
      <c r="C65" s="457" t="s">
        <v>270</v>
      </c>
      <c r="D65" s="457" t="s">
        <v>271</v>
      </c>
      <c r="E65" s="457" t="s">
        <v>372</v>
      </c>
      <c r="F65" s="457" t="s">
        <v>284</v>
      </c>
      <c r="G65" s="457" t="s">
        <v>44</v>
      </c>
      <c r="H65" s="457" t="s">
        <v>115</v>
      </c>
      <c r="I65" s="457" t="s">
        <v>278</v>
      </c>
      <c r="J65" s="457" t="s">
        <v>386</v>
      </c>
      <c r="K65" s="457" t="s">
        <v>280</v>
      </c>
      <c r="L65" s="457" t="s">
        <v>9</v>
      </c>
    </row>
    <row r="66" spans="1:12" x14ac:dyDescent="0.3">
      <c r="A66" s="457" t="s">
        <v>268</v>
      </c>
      <c r="B66" s="457" t="s">
        <v>301</v>
      </c>
      <c r="C66" s="457" t="s">
        <v>270</v>
      </c>
      <c r="D66" s="457" t="s">
        <v>271</v>
      </c>
      <c r="E66" s="457" t="s">
        <v>372</v>
      </c>
      <c r="F66" s="457" t="s">
        <v>284</v>
      </c>
      <c r="G66" s="457" t="s">
        <v>44</v>
      </c>
      <c r="H66" s="457" t="s">
        <v>387</v>
      </c>
      <c r="I66" s="457" t="s">
        <v>303</v>
      </c>
      <c r="J66" s="457" t="s">
        <v>388</v>
      </c>
      <c r="K66" s="457" t="s">
        <v>389</v>
      </c>
      <c r="L66" s="457" t="s">
        <v>9</v>
      </c>
    </row>
    <row r="67" spans="1:12" x14ac:dyDescent="0.3">
      <c r="A67" s="457" t="s">
        <v>268</v>
      </c>
      <c r="B67" s="457" t="s">
        <v>301</v>
      </c>
      <c r="C67" s="457" t="s">
        <v>270</v>
      </c>
      <c r="D67" s="457" t="s">
        <v>271</v>
      </c>
      <c r="E67" s="457" t="s">
        <v>372</v>
      </c>
      <c r="F67" s="457" t="s">
        <v>273</v>
      </c>
      <c r="G67" s="457" t="s">
        <v>43</v>
      </c>
      <c r="H67" s="457" t="s">
        <v>302</v>
      </c>
      <c r="I67" s="457" t="s">
        <v>303</v>
      </c>
      <c r="J67" s="457" t="s">
        <v>390</v>
      </c>
      <c r="K67" s="457" t="s">
        <v>305</v>
      </c>
      <c r="L67" s="457" t="s">
        <v>9</v>
      </c>
    </row>
    <row r="68" spans="1:12" x14ac:dyDescent="0.3">
      <c r="A68" s="457" t="s">
        <v>268</v>
      </c>
      <c r="B68" s="457" t="s">
        <v>269</v>
      </c>
      <c r="C68" s="457" t="s">
        <v>270</v>
      </c>
      <c r="D68" s="457" t="s">
        <v>271</v>
      </c>
      <c r="E68" s="457" t="s">
        <v>372</v>
      </c>
      <c r="F68" s="457" t="s">
        <v>284</v>
      </c>
      <c r="G68" s="457" t="s">
        <v>43</v>
      </c>
      <c r="H68" s="457" t="s">
        <v>109</v>
      </c>
      <c r="I68" s="457" t="s">
        <v>278</v>
      </c>
      <c r="J68" s="457" t="s">
        <v>391</v>
      </c>
      <c r="K68" s="457" t="s">
        <v>392</v>
      </c>
      <c r="L68" s="457" t="s">
        <v>9</v>
      </c>
    </row>
    <row r="69" spans="1:12" x14ac:dyDescent="0.3">
      <c r="A69" s="457" t="s">
        <v>268</v>
      </c>
      <c r="B69" s="457" t="s">
        <v>269</v>
      </c>
      <c r="C69" s="457" t="s">
        <v>270</v>
      </c>
      <c r="D69" s="457" t="s">
        <v>271</v>
      </c>
      <c r="E69" s="457" t="s">
        <v>372</v>
      </c>
      <c r="F69" s="457" t="s">
        <v>284</v>
      </c>
      <c r="G69" s="457" t="s">
        <v>43</v>
      </c>
      <c r="H69" s="457" t="s">
        <v>92</v>
      </c>
      <c r="I69" s="457" t="s">
        <v>278</v>
      </c>
      <c r="J69" s="457" t="s">
        <v>393</v>
      </c>
      <c r="K69" s="457" t="s">
        <v>295</v>
      </c>
      <c r="L69" s="457" t="s">
        <v>9</v>
      </c>
    </row>
    <row r="70" spans="1:12" x14ac:dyDescent="0.3">
      <c r="A70" s="457" t="s">
        <v>268</v>
      </c>
      <c r="B70" s="457" t="s">
        <v>269</v>
      </c>
      <c r="C70" s="457" t="s">
        <v>270</v>
      </c>
      <c r="D70" s="457" t="s">
        <v>271</v>
      </c>
      <c r="E70" s="457" t="s">
        <v>394</v>
      </c>
      <c r="F70" s="457" t="s">
        <v>273</v>
      </c>
      <c r="G70" s="457" t="s">
        <v>44</v>
      </c>
      <c r="H70" s="457" t="s">
        <v>109</v>
      </c>
      <c r="I70" s="457" t="s">
        <v>278</v>
      </c>
      <c r="J70" s="457" t="s">
        <v>120</v>
      </c>
      <c r="K70" s="457" t="s">
        <v>392</v>
      </c>
      <c r="L70" s="457" t="s">
        <v>9</v>
      </c>
    </row>
    <row r="71" spans="1:12" x14ac:dyDescent="0.3">
      <c r="A71" s="457" t="s">
        <v>268</v>
      </c>
      <c r="B71" s="457" t="s">
        <v>269</v>
      </c>
      <c r="C71" s="457" t="s">
        <v>270</v>
      </c>
      <c r="D71" s="457" t="s">
        <v>271</v>
      </c>
      <c r="E71" s="457" t="s">
        <v>394</v>
      </c>
      <c r="F71" s="457" t="s">
        <v>273</v>
      </c>
      <c r="G71" s="457" t="s">
        <v>44</v>
      </c>
      <c r="H71" s="457" t="s">
        <v>109</v>
      </c>
      <c r="I71" s="457" t="s">
        <v>278</v>
      </c>
      <c r="J71" s="457" t="s">
        <v>108</v>
      </c>
      <c r="K71" s="457" t="s">
        <v>392</v>
      </c>
      <c r="L71" s="457" t="s">
        <v>9</v>
      </c>
    </row>
    <row r="72" spans="1:12" x14ac:dyDescent="0.3">
      <c r="A72" s="457" t="s">
        <v>268</v>
      </c>
      <c r="B72" s="457" t="s">
        <v>269</v>
      </c>
      <c r="C72" s="457" t="s">
        <v>270</v>
      </c>
      <c r="D72" s="457" t="s">
        <v>271</v>
      </c>
      <c r="E72" s="457" t="s">
        <v>394</v>
      </c>
      <c r="F72" s="457" t="s">
        <v>273</v>
      </c>
      <c r="G72" s="457" t="s">
        <v>44</v>
      </c>
      <c r="H72" s="457" t="s">
        <v>107</v>
      </c>
      <c r="I72" s="457" t="s">
        <v>278</v>
      </c>
      <c r="J72" s="457" t="s">
        <v>106</v>
      </c>
      <c r="K72" s="457" t="s">
        <v>395</v>
      </c>
      <c r="L72" s="457" t="s">
        <v>9</v>
      </c>
    </row>
    <row r="73" spans="1:12" x14ac:dyDescent="0.3">
      <c r="A73" s="457" t="s">
        <v>268</v>
      </c>
      <c r="B73" s="457" t="s">
        <v>269</v>
      </c>
      <c r="C73" s="457" t="s">
        <v>270</v>
      </c>
      <c r="D73" s="457" t="s">
        <v>271</v>
      </c>
      <c r="E73" s="457" t="s">
        <v>394</v>
      </c>
      <c r="F73" s="457" t="s">
        <v>273</v>
      </c>
      <c r="G73" s="457" t="s">
        <v>44</v>
      </c>
      <c r="H73" s="457" t="s">
        <v>92</v>
      </c>
      <c r="I73" s="457" t="s">
        <v>278</v>
      </c>
      <c r="J73" s="457" t="s">
        <v>396</v>
      </c>
      <c r="K73" s="457" t="s">
        <v>295</v>
      </c>
      <c r="L73" s="457" t="s">
        <v>9</v>
      </c>
    </row>
    <row r="74" spans="1:12" x14ac:dyDescent="0.3">
      <c r="A74" s="457" t="s">
        <v>268</v>
      </c>
      <c r="B74" s="457" t="s">
        <v>269</v>
      </c>
      <c r="C74" s="457" t="s">
        <v>270</v>
      </c>
      <c r="D74" s="457" t="s">
        <v>271</v>
      </c>
      <c r="E74" s="457" t="s">
        <v>394</v>
      </c>
      <c r="F74" s="457" t="s">
        <v>273</v>
      </c>
      <c r="G74" s="457" t="s">
        <v>44</v>
      </c>
      <c r="H74" s="457" t="s">
        <v>92</v>
      </c>
      <c r="I74" s="457" t="s">
        <v>278</v>
      </c>
      <c r="J74" s="457" t="s">
        <v>110</v>
      </c>
      <c r="K74" s="457" t="s">
        <v>295</v>
      </c>
      <c r="L74" s="457" t="s">
        <v>9</v>
      </c>
    </row>
    <row r="75" spans="1:12" x14ac:dyDescent="0.3">
      <c r="A75" s="457" t="s">
        <v>268</v>
      </c>
      <c r="B75" s="457" t="s">
        <v>269</v>
      </c>
      <c r="C75" s="457" t="s">
        <v>270</v>
      </c>
      <c r="D75" s="457" t="s">
        <v>271</v>
      </c>
      <c r="E75" s="457" t="s">
        <v>394</v>
      </c>
      <c r="F75" s="457" t="s">
        <v>273</v>
      </c>
      <c r="G75" s="457" t="s">
        <v>44</v>
      </c>
      <c r="H75" s="457" t="s">
        <v>92</v>
      </c>
      <c r="I75" s="457" t="s">
        <v>278</v>
      </c>
      <c r="J75" s="457" t="s">
        <v>111</v>
      </c>
      <c r="K75" s="457" t="s">
        <v>295</v>
      </c>
      <c r="L75" s="457" t="s">
        <v>9</v>
      </c>
    </row>
    <row r="76" spans="1:12" x14ac:dyDescent="0.3">
      <c r="A76" s="457" t="s">
        <v>268</v>
      </c>
      <c r="B76" s="457" t="s">
        <v>269</v>
      </c>
      <c r="C76" s="457" t="s">
        <v>270</v>
      </c>
      <c r="D76" s="457" t="s">
        <v>271</v>
      </c>
      <c r="E76" s="457" t="s">
        <v>394</v>
      </c>
      <c r="F76" s="457" t="s">
        <v>273</v>
      </c>
      <c r="G76" s="457" t="s">
        <v>44</v>
      </c>
      <c r="H76" s="457" t="s">
        <v>92</v>
      </c>
      <c r="I76" s="457" t="s">
        <v>278</v>
      </c>
      <c r="J76" s="457" t="s">
        <v>397</v>
      </c>
      <c r="K76" s="457" t="s">
        <v>295</v>
      </c>
      <c r="L76" s="457" t="s">
        <v>9</v>
      </c>
    </row>
    <row r="77" spans="1:12" x14ac:dyDescent="0.3">
      <c r="A77" s="457" t="s">
        <v>268</v>
      </c>
      <c r="B77" s="457" t="s">
        <v>269</v>
      </c>
      <c r="C77" s="457" t="s">
        <v>270</v>
      </c>
      <c r="D77" s="457" t="s">
        <v>271</v>
      </c>
      <c r="E77" s="457" t="s">
        <v>394</v>
      </c>
      <c r="F77" s="457" t="s">
        <v>273</v>
      </c>
      <c r="G77" s="457" t="s">
        <v>44</v>
      </c>
      <c r="H77" s="457" t="s">
        <v>92</v>
      </c>
      <c r="I77" s="457" t="s">
        <v>278</v>
      </c>
      <c r="J77" s="457" t="s">
        <v>118</v>
      </c>
      <c r="K77" s="457" t="s">
        <v>295</v>
      </c>
      <c r="L77" s="457" t="s">
        <v>9</v>
      </c>
    </row>
    <row r="78" spans="1:12" x14ac:dyDescent="0.3">
      <c r="A78" s="457" t="s">
        <v>268</v>
      </c>
      <c r="B78" s="457" t="s">
        <v>269</v>
      </c>
      <c r="C78" s="457" t="s">
        <v>270</v>
      </c>
      <c r="D78" s="457" t="s">
        <v>271</v>
      </c>
      <c r="E78" s="457" t="s">
        <v>394</v>
      </c>
      <c r="F78" s="457" t="s">
        <v>273</v>
      </c>
      <c r="G78" s="457" t="s">
        <v>44</v>
      </c>
      <c r="H78" s="457" t="s">
        <v>92</v>
      </c>
      <c r="I78" s="457" t="s">
        <v>278</v>
      </c>
      <c r="J78" s="457" t="s">
        <v>121</v>
      </c>
      <c r="K78" s="457" t="s">
        <v>295</v>
      </c>
      <c r="L78" s="457" t="s">
        <v>9</v>
      </c>
    </row>
    <row r="79" spans="1:12" x14ac:dyDescent="0.3">
      <c r="A79" s="457" t="s">
        <v>268</v>
      </c>
      <c r="B79" s="457" t="s">
        <v>269</v>
      </c>
      <c r="C79" s="457" t="s">
        <v>270</v>
      </c>
      <c r="D79" s="457" t="s">
        <v>271</v>
      </c>
      <c r="E79" s="457" t="s">
        <v>394</v>
      </c>
      <c r="F79" s="457" t="s">
        <v>273</v>
      </c>
      <c r="G79" s="457" t="s">
        <v>44</v>
      </c>
      <c r="H79" s="457" t="s">
        <v>113</v>
      </c>
      <c r="I79" s="457" t="s">
        <v>278</v>
      </c>
      <c r="J79" s="457" t="s">
        <v>112</v>
      </c>
      <c r="K79" s="457" t="s">
        <v>338</v>
      </c>
      <c r="L79" s="457" t="s">
        <v>9</v>
      </c>
    </row>
    <row r="80" spans="1:12" x14ac:dyDescent="0.3">
      <c r="A80" s="457" t="s">
        <v>268</v>
      </c>
      <c r="B80" s="457" t="s">
        <v>301</v>
      </c>
      <c r="C80" s="457" t="s">
        <v>270</v>
      </c>
      <c r="D80" s="457" t="s">
        <v>271</v>
      </c>
      <c r="E80" s="457" t="s">
        <v>394</v>
      </c>
      <c r="F80" s="457" t="s">
        <v>273</v>
      </c>
      <c r="G80" s="457" t="s">
        <v>44</v>
      </c>
      <c r="H80" s="457" t="s">
        <v>123</v>
      </c>
      <c r="I80" s="457" t="s">
        <v>303</v>
      </c>
      <c r="J80" s="457" t="s">
        <v>398</v>
      </c>
      <c r="K80" s="457" t="s">
        <v>311</v>
      </c>
      <c r="L80" s="457" t="s">
        <v>312</v>
      </c>
    </row>
    <row r="81" spans="1:12" x14ac:dyDescent="0.3">
      <c r="A81" s="457" t="s">
        <v>268</v>
      </c>
      <c r="B81" s="457" t="s">
        <v>269</v>
      </c>
      <c r="C81" s="457" t="s">
        <v>270</v>
      </c>
      <c r="D81" s="457" t="s">
        <v>271</v>
      </c>
      <c r="E81" s="457" t="s">
        <v>394</v>
      </c>
      <c r="F81" s="457" t="s">
        <v>273</v>
      </c>
      <c r="G81" s="457" t="s">
        <v>44</v>
      </c>
      <c r="H81" s="457" t="s">
        <v>115</v>
      </c>
      <c r="I81" s="457" t="s">
        <v>278</v>
      </c>
      <c r="J81" s="457" t="s">
        <v>117</v>
      </c>
      <c r="K81" s="457" t="s">
        <v>280</v>
      </c>
      <c r="L81" s="457" t="s">
        <v>9</v>
      </c>
    </row>
    <row r="82" spans="1:12" x14ac:dyDescent="0.3">
      <c r="A82" s="457" t="s">
        <v>268</v>
      </c>
      <c r="B82" s="457" t="s">
        <v>269</v>
      </c>
      <c r="C82" s="457" t="s">
        <v>270</v>
      </c>
      <c r="D82" s="457" t="s">
        <v>271</v>
      </c>
      <c r="E82" s="457" t="s">
        <v>394</v>
      </c>
      <c r="F82" s="457" t="s">
        <v>273</v>
      </c>
      <c r="G82" s="457" t="s">
        <v>44</v>
      </c>
      <c r="H82" s="457" t="s">
        <v>115</v>
      </c>
      <c r="I82" s="457" t="s">
        <v>278</v>
      </c>
      <c r="J82" s="457" t="s">
        <v>114</v>
      </c>
      <c r="K82" s="457" t="s">
        <v>280</v>
      </c>
      <c r="L82" s="457" t="s">
        <v>9</v>
      </c>
    </row>
    <row r="83" spans="1:12" x14ac:dyDescent="0.3">
      <c r="A83" s="457" t="s">
        <v>268</v>
      </c>
      <c r="B83" s="457" t="s">
        <v>269</v>
      </c>
      <c r="C83" s="457" t="s">
        <v>270</v>
      </c>
      <c r="D83" s="457" t="s">
        <v>271</v>
      </c>
      <c r="E83" s="457" t="s">
        <v>394</v>
      </c>
      <c r="F83" s="457" t="s">
        <v>273</v>
      </c>
      <c r="G83" s="457" t="s">
        <v>44</v>
      </c>
      <c r="H83" s="457" t="s">
        <v>103</v>
      </c>
      <c r="I83" s="457" t="s">
        <v>278</v>
      </c>
      <c r="J83" s="457" t="s">
        <v>116</v>
      </c>
      <c r="K83" s="457" t="s">
        <v>371</v>
      </c>
      <c r="L83" s="457" t="s">
        <v>9</v>
      </c>
    </row>
    <row r="84" spans="1:12" x14ac:dyDescent="0.3">
      <c r="A84" s="457" t="s">
        <v>268</v>
      </c>
      <c r="B84" s="457" t="s">
        <v>269</v>
      </c>
      <c r="C84" s="457" t="s">
        <v>270</v>
      </c>
      <c r="D84" s="457" t="s">
        <v>271</v>
      </c>
      <c r="E84" s="457" t="s">
        <v>394</v>
      </c>
      <c r="F84" s="457" t="s">
        <v>284</v>
      </c>
      <c r="G84" s="457" t="s">
        <v>44</v>
      </c>
      <c r="H84" s="457" t="s">
        <v>109</v>
      </c>
      <c r="I84" s="457" t="s">
        <v>278</v>
      </c>
      <c r="J84" s="457" t="s">
        <v>125</v>
      </c>
      <c r="K84" s="457" t="s">
        <v>392</v>
      </c>
      <c r="L84" s="457" t="s">
        <v>9</v>
      </c>
    </row>
    <row r="85" spans="1:12" x14ac:dyDescent="0.3">
      <c r="A85" s="457" t="s">
        <v>268</v>
      </c>
      <c r="B85" s="457" t="s">
        <v>269</v>
      </c>
      <c r="C85" s="457" t="s">
        <v>270</v>
      </c>
      <c r="D85" s="457" t="s">
        <v>271</v>
      </c>
      <c r="E85" s="457" t="s">
        <v>394</v>
      </c>
      <c r="F85" s="457" t="s">
        <v>284</v>
      </c>
      <c r="G85" s="457" t="s">
        <v>44</v>
      </c>
      <c r="H85" s="457" t="s">
        <v>113</v>
      </c>
      <c r="I85" s="457" t="s">
        <v>278</v>
      </c>
      <c r="J85" s="457" t="s">
        <v>127</v>
      </c>
      <c r="K85" s="457" t="s">
        <v>338</v>
      </c>
      <c r="L85" s="457" t="s">
        <v>9</v>
      </c>
    </row>
    <row r="86" spans="1:12" x14ac:dyDescent="0.3">
      <c r="A86" s="457" t="s">
        <v>268</v>
      </c>
      <c r="B86" s="457" t="s">
        <v>269</v>
      </c>
      <c r="C86" s="457" t="s">
        <v>270</v>
      </c>
      <c r="D86" s="457" t="s">
        <v>271</v>
      </c>
      <c r="E86" s="457" t="s">
        <v>394</v>
      </c>
      <c r="F86" s="457" t="s">
        <v>284</v>
      </c>
      <c r="G86" s="457" t="s">
        <v>44</v>
      </c>
      <c r="H86" s="457" t="s">
        <v>113</v>
      </c>
      <c r="I86" s="457" t="s">
        <v>278</v>
      </c>
      <c r="J86" s="457" t="s">
        <v>129</v>
      </c>
      <c r="K86" s="457" t="s">
        <v>338</v>
      </c>
      <c r="L86" s="457" t="s">
        <v>9</v>
      </c>
    </row>
    <row r="87" spans="1:12" x14ac:dyDescent="0.3">
      <c r="A87" s="457" t="s">
        <v>268</v>
      </c>
      <c r="B87" s="457" t="s">
        <v>301</v>
      </c>
      <c r="C87" s="457" t="s">
        <v>270</v>
      </c>
      <c r="D87" s="457" t="s">
        <v>271</v>
      </c>
      <c r="E87" s="457" t="s">
        <v>394</v>
      </c>
      <c r="F87" s="457" t="s">
        <v>284</v>
      </c>
      <c r="G87" s="457" t="s">
        <v>44</v>
      </c>
      <c r="H87" s="457" t="s">
        <v>123</v>
      </c>
      <c r="I87" s="457" t="s">
        <v>303</v>
      </c>
      <c r="J87" s="457" t="s">
        <v>130</v>
      </c>
      <c r="K87" s="457" t="s">
        <v>311</v>
      </c>
      <c r="L87" s="457" t="s">
        <v>312</v>
      </c>
    </row>
    <row r="88" spans="1:12" x14ac:dyDescent="0.3">
      <c r="A88" s="457" t="s">
        <v>268</v>
      </c>
      <c r="B88" s="457" t="s">
        <v>269</v>
      </c>
      <c r="C88" s="457" t="s">
        <v>270</v>
      </c>
      <c r="D88" s="457" t="s">
        <v>271</v>
      </c>
      <c r="E88" s="457" t="s">
        <v>394</v>
      </c>
      <c r="F88" s="457" t="s">
        <v>284</v>
      </c>
      <c r="G88" s="457" t="s">
        <v>44</v>
      </c>
      <c r="H88" s="457" t="s">
        <v>92</v>
      </c>
      <c r="I88" s="457" t="s">
        <v>278</v>
      </c>
      <c r="J88" s="457" t="s">
        <v>132</v>
      </c>
      <c r="K88" s="457" t="s">
        <v>295</v>
      </c>
      <c r="L88" s="457" t="s">
        <v>9</v>
      </c>
    </row>
    <row r="89" spans="1:12" x14ac:dyDescent="0.3">
      <c r="A89" s="457" t="s">
        <v>268</v>
      </c>
      <c r="B89" s="457" t="s">
        <v>269</v>
      </c>
      <c r="C89" s="457" t="s">
        <v>270</v>
      </c>
      <c r="D89" s="457" t="s">
        <v>271</v>
      </c>
      <c r="E89" s="457" t="s">
        <v>394</v>
      </c>
      <c r="F89" s="457" t="s">
        <v>284</v>
      </c>
      <c r="G89" s="457" t="s">
        <v>44</v>
      </c>
      <c r="H89" s="457" t="s">
        <v>115</v>
      </c>
      <c r="I89" s="457" t="s">
        <v>278</v>
      </c>
      <c r="J89" s="457" t="s">
        <v>131</v>
      </c>
      <c r="K89" s="457" t="s">
        <v>280</v>
      </c>
      <c r="L89" s="457" t="s">
        <v>9</v>
      </c>
    </row>
    <row r="90" spans="1:12" x14ac:dyDescent="0.3">
      <c r="A90" s="457" t="s">
        <v>268</v>
      </c>
      <c r="B90" s="457" t="s">
        <v>269</v>
      </c>
      <c r="C90" s="457" t="s">
        <v>270</v>
      </c>
      <c r="D90" s="457" t="s">
        <v>271</v>
      </c>
      <c r="E90" s="457" t="s">
        <v>394</v>
      </c>
      <c r="F90" s="457" t="s">
        <v>284</v>
      </c>
      <c r="G90" s="457" t="s">
        <v>44</v>
      </c>
      <c r="H90" s="457" t="s">
        <v>115</v>
      </c>
      <c r="I90" s="457" t="s">
        <v>278</v>
      </c>
      <c r="J90" s="457" t="s">
        <v>128</v>
      </c>
      <c r="K90" s="457" t="s">
        <v>280</v>
      </c>
      <c r="L90" s="457" t="s">
        <v>9</v>
      </c>
    </row>
    <row r="91" spans="1:12" x14ac:dyDescent="0.3">
      <c r="A91" s="457" t="s">
        <v>268</v>
      </c>
      <c r="B91" s="457" t="s">
        <v>269</v>
      </c>
      <c r="C91" s="457" t="s">
        <v>270</v>
      </c>
      <c r="D91" s="457" t="s">
        <v>271</v>
      </c>
      <c r="E91" s="457" t="s">
        <v>394</v>
      </c>
      <c r="F91" s="457" t="s">
        <v>284</v>
      </c>
      <c r="G91" s="457" t="s">
        <v>44</v>
      </c>
      <c r="H91" s="457" t="s">
        <v>115</v>
      </c>
      <c r="I91" s="457" t="s">
        <v>278</v>
      </c>
      <c r="J91" s="457" t="s">
        <v>399</v>
      </c>
      <c r="K91" s="457" t="s">
        <v>280</v>
      </c>
      <c r="L91" s="457" t="s">
        <v>9</v>
      </c>
    </row>
    <row r="92" spans="1:12" x14ac:dyDescent="0.3">
      <c r="A92" s="457" t="s">
        <v>268</v>
      </c>
      <c r="B92" s="457" t="s">
        <v>269</v>
      </c>
      <c r="C92" s="457" t="s">
        <v>270</v>
      </c>
      <c r="D92" s="457" t="s">
        <v>271</v>
      </c>
      <c r="E92" s="457" t="s">
        <v>394</v>
      </c>
      <c r="F92" s="457" t="s">
        <v>273</v>
      </c>
      <c r="G92" s="457" t="s">
        <v>43</v>
      </c>
      <c r="H92" s="457" t="s">
        <v>92</v>
      </c>
      <c r="I92" s="457" t="s">
        <v>278</v>
      </c>
      <c r="J92" s="457" t="s">
        <v>400</v>
      </c>
      <c r="K92" s="457" t="s">
        <v>295</v>
      </c>
      <c r="L92" s="457" t="s">
        <v>9</v>
      </c>
    </row>
    <row r="93" spans="1:12" x14ac:dyDescent="0.3">
      <c r="A93" s="457" t="s">
        <v>268</v>
      </c>
      <c r="B93" s="457" t="s">
        <v>269</v>
      </c>
      <c r="C93" s="457" t="s">
        <v>270</v>
      </c>
      <c r="D93" s="457" t="s">
        <v>271</v>
      </c>
      <c r="E93" s="457" t="s">
        <v>394</v>
      </c>
      <c r="F93" s="457" t="s">
        <v>273</v>
      </c>
      <c r="G93" s="457" t="s">
        <v>43</v>
      </c>
      <c r="H93" s="457" t="s">
        <v>92</v>
      </c>
      <c r="I93" s="457" t="s">
        <v>278</v>
      </c>
      <c r="J93" s="457" t="s">
        <v>401</v>
      </c>
      <c r="K93" s="457" t="s">
        <v>295</v>
      </c>
      <c r="L93" s="457" t="s">
        <v>9</v>
      </c>
    </row>
    <row r="94" spans="1:12" x14ac:dyDescent="0.3">
      <c r="A94" s="457" t="s">
        <v>268</v>
      </c>
      <c r="B94" s="457" t="s">
        <v>269</v>
      </c>
      <c r="C94" s="457" t="s">
        <v>270</v>
      </c>
      <c r="D94" s="457" t="s">
        <v>271</v>
      </c>
      <c r="E94" s="457" t="s">
        <v>394</v>
      </c>
      <c r="F94" s="457" t="s">
        <v>273</v>
      </c>
      <c r="G94" s="457" t="s">
        <v>43</v>
      </c>
      <c r="H94" s="457" t="s">
        <v>92</v>
      </c>
      <c r="I94" s="457" t="s">
        <v>278</v>
      </c>
      <c r="J94" s="457" t="s">
        <v>90</v>
      </c>
      <c r="K94" s="457" t="s">
        <v>295</v>
      </c>
      <c r="L94" s="457" t="s">
        <v>9</v>
      </c>
    </row>
    <row r="95" spans="1:12" x14ac:dyDescent="0.3">
      <c r="A95" s="457" t="s">
        <v>268</v>
      </c>
      <c r="B95" s="457" t="s">
        <v>269</v>
      </c>
      <c r="C95" s="457" t="s">
        <v>270</v>
      </c>
      <c r="D95" s="457" t="s">
        <v>271</v>
      </c>
      <c r="E95" s="457" t="s">
        <v>394</v>
      </c>
      <c r="F95" s="457" t="s">
        <v>273</v>
      </c>
      <c r="G95" s="457" t="s">
        <v>43</v>
      </c>
      <c r="H95" s="457" t="s">
        <v>92</v>
      </c>
      <c r="I95" s="457" t="s">
        <v>278</v>
      </c>
      <c r="J95" s="457" t="s">
        <v>89</v>
      </c>
      <c r="K95" s="457" t="s">
        <v>295</v>
      </c>
      <c r="L95" s="457" t="s">
        <v>9</v>
      </c>
    </row>
    <row r="96" spans="1:12" x14ac:dyDescent="0.3">
      <c r="A96" s="457" t="s">
        <v>268</v>
      </c>
      <c r="B96" s="457" t="s">
        <v>269</v>
      </c>
      <c r="C96" s="457" t="s">
        <v>270</v>
      </c>
      <c r="D96" s="457" t="s">
        <v>271</v>
      </c>
      <c r="E96" s="457" t="s">
        <v>394</v>
      </c>
      <c r="F96" s="457" t="s">
        <v>273</v>
      </c>
      <c r="G96" s="457" t="s">
        <v>43</v>
      </c>
      <c r="H96" s="457" t="s">
        <v>92</v>
      </c>
      <c r="I96" s="457" t="s">
        <v>278</v>
      </c>
      <c r="J96" s="457" t="s">
        <v>88</v>
      </c>
      <c r="K96" s="457" t="s">
        <v>295</v>
      </c>
      <c r="L96" s="457" t="s">
        <v>9</v>
      </c>
    </row>
    <row r="97" spans="1:12" x14ac:dyDescent="0.3">
      <c r="A97" s="457" t="s">
        <v>268</v>
      </c>
      <c r="B97" s="457" t="s">
        <v>269</v>
      </c>
      <c r="C97" s="457" t="s">
        <v>270</v>
      </c>
      <c r="D97" s="457" t="s">
        <v>271</v>
      </c>
      <c r="E97" s="457" t="s">
        <v>394</v>
      </c>
      <c r="F97" s="457" t="s">
        <v>284</v>
      </c>
      <c r="G97" s="457" t="s">
        <v>43</v>
      </c>
      <c r="H97" s="457" t="s">
        <v>101</v>
      </c>
      <c r="I97" s="457" t="s">
        <v>278</v>
      </c>
      <c r="J97" s="457" t="s">
        <v>100</v>
      </c>
      <c r="K97" s="457" t="s">
        <v>402</v>
      </c>
      <c r="L97" s="457" t="s">
        <v>9</v>
      </c>
    </row>
    <row r="98" spans="1:12" x14ac:dyDescent="0.3">
      <c r="A98" s="457" t="s">
        <v>268</v>
      </c>
      <c r="B98" s="457" t="s">
        <v>269</v>
      </c>
      <c r="C98" s="457" t="s">
        <v>270</v>
      </c>
      <c r="D98" s="457" t="s">
        <v>271</v>
      </c>
      <c r="E98" s="457" t="s">
        <v>394</v>
      </c>
      <c r="F98" s="457" t="s">
        <v>284</v>
      </c>
      <c r="G98" s="457" t="s">
        <v>43</v>
      </c>
      <c r="H98" s="457" t="s">
        <v>103</v>
      </c>
      <c r="I98" s="457" t="s">
        <v>278</v>
      </c>
      <c r="J98" s="457" t="s">
        <v>102</v>
      </c>
      <c r="K98" s="457" t="s">
        <v>403</v>
      </c>
      <c r="L98" s="457" t="s">
        <v>9</v>
      </c>
    </row>
    <row r="99" spans="1:12" x14ac:dyDescent="0.3">
      <c r="A99" s="457" t="s">
        <v>268</v>
      </c>
      <c r="B99" s="457" t="s">
        <v>269</v>
      </c>
      <c r="C99" s="457" t="s">
        <v>270</v>
      </c>
      <c r="D99" s="457" t="s">
        <v>271</v>
      </c>
      <c r="E99" s="457" t="s">
        <v>404</v>
      </c>
      <c r="F99" s="457" t="s">
        <v>273</v>
      </c>
      <c r="G99" s="457" t="s">
        <v>44</v>
      </c>
      <c r="H99" s="457" t="s">
        <v>92</v>
      </c>
      <c r="I99" s="457" t="s">
        <v>278</v>
      </c>
      <c r="J99" s="457" t="s">
        <v>405</v>
      </c>
      <c r="K99" s="457" t="s">
        <v>295</v>
      </c>
      <c r="L99" s="457" t="s">
        <v>9</v>
      </c>
    </row>
    <row r="100" spans="1:12" x14ac:dyDescent="0.3">
      <c r="A100" s="457" t="s">
        <v>268</v>
      </c>
      <c r="B100" s="457" t="s">
        <v>269</v>
      </c>
      <c r="C100" s="457" t="s">
        <v>270</v>
      </c>
      <c r="D100" s="457" t="s">
        <v>271</v>
      </c>
      <c r="E100" s="457" t="s">
        <v>404</v>
      </c>
      <c r="F100" s="457" t="s">
        <v>273</v>
      </c>
      <c r="G100" s="457" t="s">
        <v>44</v>
      </c>
      <c r="H100" s="457" t="s">
        <v>92</v>
      </c>
      <c r="I100" s="457" t="s">
        <v>278</v>
      </c>
      <c r="J100" s="457" t="s">
        <v>406</v>
      </c>
      <c r="K100" s="457" t="s">
        <v>295</v>
      </c>
      <c r="L100" s="457" t="s">
        <v>9</v>
      </c>
    </row>
    <row r="101" spans="1:12" x14ac:dyDescent="0.3">
      <c r="A101" s="457" t="s">
        <v>268</v>
      </c>
      <c r="B101" s="457" t="s">
        <v>269</v>
      </c>
      <c r="C101" s="457" t="s">
        <v>270</v>
      </c>
      <c r="D101" s="457" t="s">
        <v>271</v>
      </c>
      <c r="E101" s="457" t="s">
        <v>404</v>
      </c>
      <c r="F101" s="457" t="s">
        <v>273</v>
      </c>
      <c r="G101" s="457" t="s">
        <v>44</v>
      </c>
      <c r="H101" s="457" t="s">
        <v>92</v>
      </c>
      <c r="I101" s="457" t="s">
        <v>278</v>
      </c>
      <c r="J101" s="457" t="s">
        <v>407</v>
      </c>
      <c r="K101" s="457" t="s">
        <v>295</v>
      </c>
      <c r="L101" s="457" t="s">
        <v>9</v>
      </c>
    </row>
    <row r="102" spans="1:12" x14ac:dyDescent="0.3">
      <c r="A102" s="457" t="s">
        <v>268</v>
      </c>
      <c r="B102" s="457" t="s">
        <v>269</v>
      </c>
      <c r="C102" s="457" t="s">
        <v>270</v>
      </c>
      <c r="D102" s="457" t="s">
        <v>271</v>
      </c>
      <c r="E102" s="457" t="s">
        <v>404</v>
      </c>
      <c r="F102" s="457" t="s">
        <v>273</v>
      </c>
      <c r="G102" s="457" t="s">
        <v>44</v>
      </c>
      <c r="H102" s="457" t="s">
        <v>92</v>
      </c>
      <c r="I102" s="457" t="s">
        <v>278</v>
      </c>
      <c r="J102" s="457" t="s">
        <v>408</v>
      </c>
      <c r="K102" s="457" t="s">
        <v>295</v>
      </c>
      <c r="L102" s="457" t="s">
        <v>9</v>
      </c>
    </row>
    <row r="103" spans="1:12" x14ac:dyDescent="0.3">
      <c r="A103" s="457" t="s">
        <v>268</v>
      </c>
      <c r="B103" s="457" t="s">
        <v>269</v>
      </c>
      <c r="C103" s="457" t="s">
        <v>270</v>
      </c>
      <c r="D103" s="457" t="s">
        <v>271</v>
      </c>
      <c r="E103" s="457" t="s">
        <v>404</v>
      </c>
      <c r="F103" s="457" t="s">
        <v>273</v>
      </c>
      <c r="G103" s="457" t="s">
        <v>44</v>
      </c>
      <c r="H103" s="457" t="s">
        <v>92</v>
      </c>
      <c r="I103" s="457" t="s">
        <v>278</v>
      </c>
      <c r="J103" s="457" t="s">
        <v>409</v>
      </c>
      <c r="K103" s="457" t="s">
        <v>410</v>
      </c>
      <c r="L103" s="457" t="s">
        <v>9</v>
      </c>
    </row>
    <row r="104" spans="1:12" x14ac:dyDescent="0.3">
      <c r="A104" s="457" t="s">
        <v>268</v>
      </c>
      <c r="B104" s="457" t="s">
        <v>269</v>
      </c>
      <c r="C104" s="457" t="s">
        <v>270</v>
      </c>
      <c r="D104" s="457" t="s">
        <v>271</v>
      </c>
      <c r="E104" s="457" t="s">
        <v>404</v>
      </c>
      <c r="F104" s="457" t="s">
        <v>273</v>
      </c>
      <c r="G104" s="457" t="s">
        <v>44</v>
      </c>
      <c r="H104" s="457" t="s">
        <v>103</v>
      </c>
      <c r="I104" s="457" t="s">
        <v>278</v>
      </c>
      <c r="J104" s="457" t="s">
        <v>411</v>
      </c>
      <c r="K104" s="457" t="s">
        <v>371</v>
      </c>
      <c r="L104" s="457" t="s">
        <v>9</v>
      </c>
    </row>
    <row r="105" spans="1:12" x14ac:dyDescent="0.3">
      <c r="A105" s="457" t="s">
        <v>268</v>
      </c>
      <c r="B105" s="457" t="s">
        <v>269</v>
      </c>
      <c r="C105" s="457" t="s">
        <v>270</v>
      </c>
      <c r="D105" s="457" t="s">
        <v>271</v>
      </c>
      <c r="E105" s="457" t="s">
        <v>404</v>
      </c>
      <c r="F105" s="457" t="s">
        <v>284</v>
      </c>
      <c r="G105" s="457" t="s">
        <v>44</v>
      </c>
      <c r="H105" s="457" t="s">
        <v>412</v>
      </c>
      <c r="I105" s="457" t="s">
        <v>278</v>
      </c>
      <c r="J105" s="457" t="s">
        <v>413</v>
      </c>
      <c r="K105" s="457" t="s">
        <v>414</v>
      </c>
      <c r="L105" s="457" t="s">
        <v>9</v>
      </c>
    </row>
    <row r="106" spans="1:12" x14ac:dyDescent="0.3">
      <c r="A106" s="457" t="s">
        <v>268</v>
      </c>
      <c r="B106" s="457" t="s">
        <v>269</v>
      </c>
      <c r="C106" s="457" t="s">
        <v>270</v>
      </c>
      <c r="D106" s="457" t="s">
        <v>271</v>
      </c>
      <c r="E106" s="457" t="s">
        <v>404</v>
      </c>
      <c r="F106" s="457" t="s">
        <v>284</v>
      </c>
      <c r="G106" s="457" t="s">
        <v>44</v>
      </c>
      <c r="H106" s="457" t="s">
        <v>92</v>
      </c>
      <c r="I106" s="457" t="s">
        <v>278</v>
      </c>
      <c r="J106" s="457" t="s">
        <v>415</v>
      </c>
      <c r="K106" s="457" t="s">
        <v>295</v>
      </c>
      <c r="L106" s="457" t="s">
        <v>9</v>
      </c>
    </row>
    <row r="107" spans="1:12" x14ac:dyDescent="0.3">
      <c r="A107" s="457" t="s">
        <v>268</v>
      </c>
      <c r="B107" s="457" t="s">
        <v>269</v>
      </c>
      <c r="C107" s="457" t="s">
        <v>270</v>
      </c>
      <c r="D107" s="457" t="s">
        <v>271</v>
      </c>
      <c r="E107" s="457" t="s">
        <v>404</v>
      </c>
      <c r="F107" s="457" t="s">
        <v>284</v>
      </c>
      <c r="G107" s="457" t="s">
        <v>44</v>
      </c>
      <c r="H107" s="457" t="s">
        <v>92</v>
      </c>
      <c r="I107" s="457" t="s">
        <v>278</v>
      </c>
      <c r="J107" s="457" t="s">
        <v>416</v>
      </c>
      <c r="K107" s="457" t="s">
        <v>295</v>
      </c>
      <c r="L107" s="457" t="s">
        <v>9</v>
      </c>
    </row>
    <row r="108" spans="1:12" x14ac:dyDescent="0.3">
      <c r="A108" s="457" t="s">
        <v>268</v>
      </c>
      <c r="B108" s="457" t="s">
        <v>269</v>
      </c>
      <c r="C108" s="457" t="s">
        <v>270</v>
      </c>
      <c r="D108" s="457" t="s">
        <v>271</v>
      </c>
      <c r="E108" s="457" t="s">
        <v>404</v>
      </c>
      <c r="F108" s="457" t="s">
        <v>284</v>
      </c>
      <c r="G108" s="457" t="s">
        <v>44</v>
      </c>
      <c r="H108" s="457" t="s">
        <v>92</v>
      </c>
      <c r="I108" s="457" t="s">
        <v>278</v>
      </c>
      <c r="J108" s="457" t="s">
        <v>417</v>
      </c>
      <c r="K108" s="457" t="s">
        <v>295</v>
      </c>
      <c r="L108" s="457" t="s">
        <v>9</v>
      </c>
    </row>
    <row r="109" spans="1:12" x14ac:dyDescent="0.3">
      <c r="A109" s="457" t="s">
        <v>268</v>
      </c>
      <c r="B109" s="457" t="s">
        <v>269</v>
      </c>
      <c r="C109" s="457" t="s">
        <v>270</v>
      </c>
      <c r="D109" s="457" t="s">
        <v>271</v>
      </c>
      <c r="E109" s="457" t="s">
        <v>404</v>
      </c>
      <c r="F109" s="457" t="s">
        <v>284</v>
      </c>
      <c r="G109" s="457" t="s">
        <v>44</v>
      </c>
      <c r="H109" s="457" t="s">
        <v>92</v>
      </c>
      <c r="I109" s="457" t="s">
        <v>278</v>
      </c>
      <c r="J109" s="457" t="s">
        <v>418</v>
      </c>
      <c r="K109" s="457" t="s">
        <v>295</v>
      </c>
      <c r="L109" s="457" t="s">
        <v>9</v>
      </c>
    </row>
    <row r="110" spans="1:12" x14ac:dyDescent="0.3">
      <c r="A110" s="457" t="s">
        <v>268</v>
      </c>
      <c r="B110" s="457" t="s">
        <v>301</v>
      </c>
      <c r="C110" s="457" t="s">
        <v>270</v>
      </c>
      <c r="D110" s="457" t="s">
        <v>271</v>
      </c>
      <c r="E110" s="457" t="s">
        <v>404</v>
      </c>
      <c r="F110" s="457" t="s">
        <v>284</v>
      </c>
      <c r="G110" s="457" t="s">
        <v>44</v>
      </c>
      <c r="H110" s="457" t="s">
        <v>123</v>
      </c>
      <c r="I110" s="457" t="s">
        <v>303</v>
      </c>
      <c r="J110" s="457" t="s">
        <v>419</v>
      </c>
      <c r="K110" s="457" t="s">
        <v>311</v>
      </c>
      <c r="L110" s="457" t="s">
        <v>368</v>
      </c>
    </row>
    <row r="111" spans="1:12" x14ac:dyDescent="0.3">
      <c r="A111" s="457" t="s">
        <v>268</v>
      </c>
      <c r="B111" s="457" t="s">
        <v>269</v>
      </c>
      <c r="C111" s="457" t="s">
        <v>270</v>
      </c>
      <c r="D111" s="457" t="s">
        <v>271</v>
      </c>
      <c r="E111" s="457" t="s">
        <v>404</v>
      </c>
      <c r="F111" s="457" t="s">
        <v>284</v>
      </c>
      <c r="G111" s="457" t="s">
        <v>44</v>
      </c>
      <c r="H111" s="457" t="s">
        <v>420</v>
      </c>
      <c r="I111" s="457" t="s">
        <v>278</v>
      </c>
      <c r="J111" s="457" t="s">
        <v>421</v>
      </c>
      <c r="K111" s="457" t="s">
        <v>422</v>
      </c>
      <c r="L111" s="457" t="s">
        <v>9</v>
      </c>
    </row>
    <row r="112" spans="1:12" x14ac:dyDescent="0.3">
      <c r="A112" s="457" t="s">
        <v>268</v>
      </c>
      <c r="B112" s="457" t="s">
        <v>269</v>
      </c>
      <c r="C112" s="457" t="s">
        <v>270</v>
      </c>
      <c r="D112" s="457" t="s">
        <v>271</v>
      </c>
      <c r="E112" s="457" t="s">
        <v>404</v>
      </c>
      <c r="F112" s="457" t="s">
        <v>273</v>
      </c>
      <c r="G112" s="457" t="s">
        <v>43</v>
      </c>
      <c r="H112" s="457" t="s">
        <v>412</v>
      </c>
      <c r="I112" s="457" t="s">
        <v>278</v>
      </c>
      <c r="J112" s="457" t="s">
        <v>133</v>
      </c>
      <c r="K112" s="457" t="s">
        <v>414</v>
      </c>
      <c r="L112" s="457" t="s">
        <v>9</v>
      </c>
    </row>
    <row r="113" spans="1:12" x14ac:dyDescent="0.3">
      <c r="A113" s="457" t="s">
        <v>268</v>
      </c>
      <c r="B113" s="457" t="s">
        <v>269</v>
      </c>
      <c r="C113" s="457" t="s">
        <v>270</v>
      </c>
      <c r="D113" s="457" t="s">
        <v>271</v>
      </c>
      <c r="E113" s="457" t="s">
        <v>404</v>
      </c>
      <c r="F113" s="457" t="s">
        <v>273</v>
      </c>
      <c r="G113" s="457" t="s">
        <v>43</v>
      </c>
      <c r="H113" s="457" t="s">
        <v>423</v>
      </c>
      <c r="I113" s="457" t="s">
        <v>278</v>
      </c>
      <c r="J113" s="457" t="s">
        <v>135</v>
      </c>
      <c r="K113" s="457" t="s">
        <v>424</v>
      </c>
      <c r="L113" s="457" t="s">
        <v>9</v>
      </c>
    </row>
    <row r="114" spans="1:12" x14ac:dyDescent="0.3">
      <c r="A114" s="457" t="s">
        <v>268</v>
      </c>
      <c r="B114" s="457" t="s">
        <v>269</v>
      </c>
      <c r="C114" s="457" t="s">
        <v>270</v>
      </c>
      <c r="D114" s="457" t="s">
        <v>271</v>
      </c>
      <c r="E114" s="457" t="s">
        <v>404</v>
      </c>
      <c r="F114" s="457" t="s">
        <v>284</v>
      </c>
      <c r="G114" s="457" t="s">
        <v>43</v>
      </c>
      <c r="H114" s="457" t="s">
        <v>425</v>
      </c>
      <c r="I114" s="457" t="s">
        <v>278</v>
      </c>
      <c r="J114" s="457" t="s">
        <v>137</v>
      </c>
      <c r="K114" s="457" t="s">
        <v>426</v>
      </c>
      <c r="L114" s="457" t="s">
        <v>9</v>
      </c>
    </row>
    <row r="115" spans="1:12" x14ac:dyDescent="0.3">
      <c r="A115" s="457" t="s">
        <v>268</v>
      </c>
      <c r="B115" s="457" t="s">
        <v>301</v>
      </c>
      <c r="C115" s="457" t="s">
        <v>270</v>
      </c>
      <c r="D115" s="457" t="s">
        <v>271</v>
      </c>
      <c r="E115" s="457" t="s">
        <v>427</v>
      </c>
      <c r="F115" s="457" t="s">
        <v>273</v>
      </c>
      <c r="G115" s="457" t="s">
        <v>44</v>
      </c>
      <c r="H115" s="457" t="s">
        <v>428</v>
      </c>
      <c r="I115" s="457" t="s">
        <v>303</v>
      </c>
      <c r="J115" s="457" t="s">
        <v>429</v>
      </c>
      <c r="K115" s="457" t="s">
        <v>430</v>
      </c>
      <c r="L115" s="457" t="s">
        <v>9</v>
      </c>
    </row>
    <row r="116" spans="1:12" x14ac:dyDescent="0.3">
      <c r="A116" s="457" t="s">
        <v>268</v>
      </c>
      <c r="B116" s="457" t="s">
        <v>301</v>
      </c>
      <c r="C116" s="457" t="s">
        <v>270</v>
      </c>
      <c r="D116" s="457" t="s">
        <v>271</v>
      </c>
      <c r="E116" s="457" t="s">
        <v>427</v>
      </c>
      <c r="F116" s="457" t="s">
        <v>273</v>
      </c>
      <c r="G116" s="457" t="s">
        <v>44</v>
      </c>
      <c r="H116" s="457" t="s">
        <v>428</v>
      </c>
      <c r="I116" s="457" t="s">
        <v>303</v>
      </c>
      <c r="J116" s="457" t="s">
        <v>431</v>
      </c>
      <c r="K116" s="457" t="s">
        <v>432</v>
      </c>
      <c r="L116" s="457" t="s">
        <v>433</v>
      </c>
    </row>
    <row r="117" spans="1:12" x14ac:dyDescent="0.3">
      <c r="A117" s="457" t="s">
        <v>268</v>
      </c>
      <c r="B117" s="457" t="s">
        <v>269</v>
      </c>
      <c r="C117" s="457" t="s">
        <v>270</v>
      </c>
      <c r="D117" s="457" t="s">
        <v>271</v>
      </c>
      <c r="E117" s="457" t="s">
        <v>427</v>
      </c>
      <c r="F117" s="457" t="s">
        <v>273</v>
      </c>
      <c r="G117" s="457" t="s">
        <v>44</v>
      </c>
      <c r="H117" s="457" t="s">
        <v>92</v>
      </c>
      <c r="I117" s="457" t="s">
        <v>278</v>
      </c>
      <c r="J117" s="457" t="s">
        <v>434</v>
      </c>
      <c r="K117" s="457" t="s">
        <v>295</v>
      </c>
      <c r="L117" s="457" t="s">
        <v>9</v>
      </c>
    </row>
    <row r="118" spans="1:12" x14ac:dyDescent="0.3">
      <c r="A118" s="457" t="s">
        <v>268</v>
      </c>
      <c r="B118" s="457" t="s">
        <v>269</v>
      </c>
      <c r="C118" s="457" t="s">
        <v>270</v>
      </c>
      <c r="D118" s="457" t="s">
        <v>271</v>
      </c>
      <c r="E118" s="457" t="s">
        <v>427</v>
      </c>
      <c r="F118" s="457" t="s">
        <v>273</v>
      </c>
      <c r="G118" s="457" t="s">
        <v>44</v>
      </c>
      <c r="H118" s="457" t="s">
        <v>92</v>
      </c>
      <c r="I118" s="457" t="s">
        <v>278</v>
      </c>
      <c r="J118" s="457" t="s">
        <v>435</v>
      </c>
      <c r="K118" s="457" t="s">
        <v>295</v>
      </c>
      <c r="L118" s="457" t="s">
        <v>9</v>
      </c>
    </row>
    <row r="119" spans="1:12" x14ac:dyDescent="0.3">
      <c r="A119" s="457" t="s">
        <v>268</v>
      </c>
      <c r="B119" s="457" t="s">
        <v>269</v>
      </c>
      <c r="C119" s="457" t="s">
        <v>270</v>
      </c>
      <c r="D119" s="457" t="s">
        <v>271</v>
      </c>
      <c r="E119" s="457" t="s">
        <v>427</v>
      </c>
      <c r="F119" s="457" t="s">
        <v>273</v>
      </c>
      <c r="G119" s="457" t="s">
        <v>44</v>
      </c>
      <c r="H119" s="457" t="s">
        <v>92</v>
      </c>
      <c r="I119" s="457" t="s">
        <v>278</v>
      </c>
      <c r="J119" s="457" t="s">
        <v>436</v>
      </c>
      <c r="K119" s="457" t="s">
        <v>295</v>
      </c>
      <c r="L119" s="457" t="s">
        <v>9</v>
      </c>
    </row>
    <row r="120" spans="1:12" x14ac:dyDescent="0.3">
      <c r="A120" s="457" t="s">
        <v>268</v>
      </c>
      <c r="B120" s="457" t="s">
        <v>301</v>
      </c>
      <c r="C120" s="457" t="s">
        <v>270</v>
      </c>
      <c r="D120" s="457" t="s">
        <v>271</v>
      </c>
      <c r="E120" s="457" t="s">
        <v>427</v>
      </c>
      <c r="F120" s="457" t="s">
        <v>273</v>
      </c>
      <c r="G120" s="457" t="s">
        <v>44</v>
      </c>
      <c r="H120" s="457" t="s">
        <v>123</v>
      </c>
      <c r="I120" s="457" t="s">
        <v>303</v>
      </c>
      <c r="J120" s="457" t="s">
        <v>437</v>
      </c>
      <c r="K120" s="457" t="s">
        <v>438</v>
      </c>
      <c r="L120" s="457" t="s">
        <v>9</v>
      </c>
    </row>
    <row r="121" spans="1:12" x14ac:dyDescent="0.3">
      <c r="A121" s="457" t="s">
        <v>268</v>
      </c>
      <c r="B121" s="457" t="s">
        <v>301</v>
      </c>
      <c r="C121" s="457" t="s">
        <v>270</v>
      </c>
      <c r="D121" s="457" t="s">
        <v>271</v>
      </c>
      <c r="E121" s="457" t="s">
        <v>427</v>
      </c>
      <c r="F121" s="457" t="s">
        <v>273</v>
      </c>
      <c r="G121" s="457" t="s">
        <v>44</v>
      </c>
      <c r="H121" s="457" t="s">
        <v>123</v>
      </c>
      <c r="I121" s="457" t="s">
        <v>303</v>
      </c>
      <c r="J121" s="457" t="s">
        <v>439</v>
      </c>
      <c r="K121" s="457" t="s">
        <v>438</v>
      </c>
      <c r="L121" s="457" t="s">
        <v>9</v>
      </c>
    </row>
    <row r="122" spans="1:12" x14ac:dyDescent="0.3">
      <c r="A122" s="457" t="s">
        <v>268</v>
      </c>
      <c r="B122" s="457" t="s">
        <v>269</v>
      </c>
      <c r="C122" s="457" t="s">
        <v>270</v>
      </c>
      <c r="D122" s="457" t="s">
        <v>271</v>
      </c>
      <c r="E122" s="457" t="s">
        <v>427</v>
      </c>
      <c r="F122" s="457" t="s">
        <v>273</v>
      </c>
      <c r="G122" s="457" t="s">
        <v>44</v>
      </c>
      <c r="H122" s="457" t="s">
        <v>440</v>
      </c>
      <c r="I122" s="457" t="s">
        <v>278</v>
      </c>
      <c r="J122" s="457" t="s">
        <v>218</v>
      </c>
      <c r="K122" s="457" t="s">
        <v>441</v>
      </c>
      <c r="L122" s="457" t="s">
        <v>9</v>
      </c>
    </row>
    <row r="123" spans="1:12" x14ac:dyDescent="0.3">
      <c r="A123" s="457" t="s">
        <v>268</v>
      </c>
      <c r="B123" s="457" t="s">
        <v>269</v>
      </c>
      <c r="C123" s="457" t="s">
        <v>270</v>
      </c>
      <c r="D123" s="457" t="s">
        <v>271</v>
      </c>
      <c r="E123" s="457" t="s">
        <v>427</v>
      </c>
      <c r="F123" s="457" t="s">
        <v>284</v>
      </c>
      <c r="G123" s="457" t="s">
        <v>44</v>
      </c>
      <c r="H123" s="457" t="s">
        <v>425</v>
      </c>
      <c r="I123" s="457" t="s">
        <v>278</v>
      </c>
      <c r="J123" s="457" t="s">
        <v>442</v>
      </c>
      <c r="K123" s="457" t="s">
        <v>426</v>
      </c>
      <c r="L123" s="457" t="s">
        <v>9</v>
      </c>
    </row>
    <row r="124" spans="1:12" x14ac:dyDescent="0.3">
      <c r="A124" s="457" t="s">
        <v>268</v>
      </c>
      <c r="B124" s="457" t="s">
        <v>269</v>
      </c>
      <c r="C124" s="457" t="s">
        <v>270</v>
      </c>
      <c r="D124" s="457" t="s">
        <v>271</v>
      </c>
      <c r="E124" s="457" t="s">
        <v>427</v>
      </c>
      <c r="F124" s="457" t="s">
        <v>284</v>
      </c>
      <c r="G124" s="457" t="s">
        <v>44</v>
      </c>
      <c r="H124" s="457" t="s">
        <v>412</v>
      </c>
      <c r="I124" s="457" t="s">
        <v>278</v>
      </c>
      <c r="J124" s="457" t="s">
        <v>443</v>
      </c>
      <c r="K124" s="457" t="s">
        <v>444</v>
      </c>
      <c r="L124" s="457" t="s">
        <v>9</v>
      </c>
    </row>
    <row r="125" spans="1:12" x14ac:dyDescent="0.3">
      <c r="A125" s="457" t="s">
        <v>268</v>
      </c>
      <c r="B125" s="457" t="s">
        <v>301</v>
      </c>
      <c r="C125" s="457" t="s">
        <v>270</v>
      </c>
      <c r="D125" s="457" t="s">
        <v>271</v>
      </c>
      <c r="E125" s="457" t="s">
        <v>427</v>
      </c>
      <c r="F125" s="457" t="s">
        <v>284</v>
      </c>
      <c r="G125" s="457" t="s">
        <v>44</v>
      </c>
      <c r="H125" s="457" t="s">
        <v>428</v>
      </c>
      <c r="I125" s="457" t="s">
        <v>303</v>
      </c>
      <c r="J125" s="457" t="s">
        <v>445</v>
      </c>
      <c r="K125" s="457" t="s">
        <v>446</v>
      </c>
      <c r="L125" s="457" t="s">
        <v>433</v>
      </c>
    </row>
    <row r="126" spans="1:12" x14ac:dyDescent="0.3">
      <c r="A126" s="457" t="s">
        <v>268</v>
      </c>
      <c r="B126" s="457" t="s">
        <v>301</v>
      </c>
      <c r="C126" s="457" t="s">
        <v>270</v>
      </c>
      <c r="D126" s="457" t="s">
        <v>271</v>
      </c>
      <c r="E126" s="457" t="s">
        <v>427</v>
      </c>
      <c r="F126" s="457" t="s">
        <v>284</v>
      </c>
      <c r="G126" s="457" t="s">
        <v>44</v>
      </c>
      <c r="H126" s="457" t="s">
        <v>428</v>
      </c>
      <c r="I126" s="457" t="s">
        <v>303</v>
      </c>
      <c r="J126" s="457" t="s">
        <v>447</v>
      </c>
      <c r="K126" s="457" t="s">
        <v>446</v>
      </c>
      <c r="L126" s="457" t="s">
        <v>433</v>
      </c>
    </row>
    <row r="127" spans="1:12" x14ac:dyDescent="0.3">
      <c r="A127" s="457" t="s">
        <v>268</v>
      </c>
      <c r="B127" s="457" t="s">
        <v>301</v>
      </c>
      <c r="C127" s="457" t="s">
        <v>270</v>
      </c>
      <c r="D127" s="457" t="s">
        <v>271</v>
      </c>
      <c r="E127" s="457" t="s">
        <v>427</v>
      </c>
      <c r="F127" s="457" t="s">
        <v>284</v>
      </c>
      <c r="G127" s="457" t="s">
        <v>44</v>
      </c>
      <c r="H127" s="457" t="s">
        <v>428</v>
      </c>
      <c r="I127" s="457" t="s">
        <v>303</v>
      </c>
      <c r="J127" s="457" t="s">
        <v>448</v>
      </c>
      <c r="K127" s="457" t="s">
        <v>446</v>
      </c>
      <c r="L127" s="457" t="s">
        <v>433</v>
      </c>
    </row>
    <row r="128" spans="1:12" x14ac:dyDescent="0.3">
      <c r="A128" s="457" t="s">
        <v>268</v>
      </c>
      <c r="B128" s="457" t="s">
        <v>301</v>
      </c>
      <c r="C128" s="457" t="s">
        <v>270</v>
      </c>
      <c r="D128" s="457" t="s">
        <v>271</v>
      </c>
      <c r="E128" s="457" t="s">
        <v>427</v>
      </c>
      <c r="F128" s="457" t="s">
        <v>284</v>
      </c>
      <c r="G128" s="457" t="s">
        <v>44</v>
      </c>
      <c r="H128" s="457" t="s">
        <v>428</v>
      </c>
      <c r="I128" s="457" t="s">
        <v>303</v>
      </c>
      <c r="J128" s="457" t="s">
        <v>449</v>
      </c>
      <c r="K128" s="457" t="s">
        <v>450</v>
      </c>
      <c r="L128" s="457" t="s">
        <v>433</v>
      </c>
    </row>
    <row r="129" spans="1:12" x14ac:dyDescent="0.3">
      <c r="A129" s="457" t="s">
        <v>268</v>
      </c>
      <c r="B129" s="457" t="s">
        <v>301</v>
      </c>
      <c r="C129" s="457" t="s">
        <v>270</v>
      </c>
      <c r="D129" s="457" t="s">
        <v>271</v>
      </c>
      <c r="E129" s="457" t="s">
        <v>427</v>
      </c>
      <c r="F129" s="457" t="s">
        <v>284</v>
      </c>
      <c r="G129" s="457" t="s">
        <v>44</v>
      </c>
      <c r="H129" s="457" t="s">
        <v>123</v>
      </c>
      <c r="I129" s="457" t="s">
        <v>303</v>
      </c>
      <c r="J129" s="457" t="s">
        <v>451</v>
      </c>
      <c r="K129" s="457" t="s">
        <v>438</v>
      </c>
      <c r="L129" s="457" t="s">
        <v>9</v>
      </c>
    </row>
    <row r="130" spans="1:12" x14ac:dyDescent="0.3">
      <c r="A130" s="457" t="s">
        <v>268</v>
      </c>
      <c r="B130" s="457" t="s">
        <v>269</v>
      </c>
      <c r="C130" s="457" t="s">
        <v>270</v>
      </c>
      <c r="D130" s="457" t="s">
        <v>271</v>
      </c>
      <c r="E130" s="457" t="s">
        <v>427</v>
      </c>
      <c r="F130" s="457" t="s">
        <v>284</v>
      </c>
      <c r="G130" s="457" t="s">
        <v>44</v>
      </c>
      <c r="H130" s="457" t="s">
        <v>420</v>
      </c>
      <c r="I130" s="457" t="s">
        <v>278</v>
      </c>
      <c r="J130" s="457" t="s">
        <v>452</v>
      </c>
      <c r="K130" s="457" t="s">
        <v>453</v>
      </c>
      <c r="L130" s="457" t="s">
        <v>9</v>
      </c>
    </row>
    <row r="131" spans="1:12" x14ac:dyDescent="0.3">
      <c r="A131" s="457" t="s">
        <v>268</v>
      </c>
      <c r="B131" s="457" t="s">
        <v>269</v>
      </c>
      <c r="C131" s="457" t="s">
        <v>270</v>
      </c>
      <c r="D131" s="457" t="s">
        <v>271</v>
      </c>
      <c r="E131" s="457" t="s">
        <v>427</v>
      </c>
      <c r="F131" s="457" t="s">
        <v>273</v>
      </c>
      <c r="G131" s="457" t="s">
        <v>43</v>
      </c>
      <c r="H131" s="457" t="s">
        <v>92</v>
      </c>
      <c r="I131" s="457" t="s">
        <v>278</v>
      </c>
      <c r="J131" s="457" t="s">
        <v>454</v>
      </c>
      <c r="K131" s="457" t="s">
        <v>295</v>
      </c>
      <c r="L131" s="457" t="s">
        <v>9</v>
      </c>
    </row>
    <row r="132" spans="1:12" x14ac:dyDescent="0.3">
      <c r="A132" s="457" t="s">
        <v>268</v>
      </c>
      <c r="B132" s="457" t="s">
        <v>269</v>
      </c>
      <c r="C132" s="457" t="s">
        <v>270</v>
      </c>
      <c r="D132" s="457" t="s">
        <v>271</v>
      </c>
      <c r="E132" s="457" t="s">
        <v>427</v>
      </c>
      <c r="F132" s="457" t="s">
        <v>273</v>
      </c>
      <c r="G132" s="457" t="s">
        <v>43</v>
      </c>
      <c r="H132" s="457" t="s">
        <v>92</v>
      </c>
      <c r="I132" s="457" t="s">
        <v>278</v>
      </c>
      <c r="J132" s="457" t="s">
        <v>455</v>
      </c>
      <c r="K132" s="457" t="s">
        <v>295</v>
      </c>
      <c r="L132" s="457" t="s">
        <v>9</v>
      </c>
    </row>
    <row r="133" spans="1:12" x14ac:dyDescent="0.3">
      <c r="A133" s="457" t="s">
        <v>268</v>
      </c>
      <c r="B133" s="457" t="s">
        <v>269</v>
      </c>
      <c r="C133" s="457" t="s">
        <v>270</v>
      </c>
      <c r="D133" s="457" t="s">
        <v>271</v>
      </c>
      <c r="E133" s="457" t="s">
        <v>427</v>
      </c>
      <c r="F133" s="457" t="s">
        <v>273</v>
      </c>
      <c r="G133" s="457" t="s">
        <v>43</v>
      </c>
      <c r="H133" s="457" t="s">
        <v>456</v>
      </c>
      <c r="I133" s="457" t="s">
        <v>278</v>
      </c>
      <c r="J133" s="457" t="s">
        <v>457</v>
      </c>
      <c r="K133" s="457" t="s">
        <v>458</v>
      </c>
      <c r="L133" s="457" t="s">
        <v>9</v>
      </c>
    </row>
    <row r="134" spans="1:12" x14ac:dyDescent="0.3">
      <c r="A134" s="457" t="s">
        <v>268</v>
      </c>
      <c r="B134" s="457" t="s">
        <v>269</v>
      </c>
      <c r="C134" s="457" t="s">
        <v>270</v>
      </c>
      <c r="D134" s="457" t="s">
        <v>271</v>
      </c>
      <c r="E134" s="457" t="s">
        <v>427</v>
      </c>
      <c r="F134" s="457" t="s">
        <v>273</v>
      </c>
      <c r="G134" s="457" t="s">
        <v>43</v>
      </c>
      <c r="H134" s="457" t="s">
        <v>456</v>
      </c>
      <c r="I134" s="457" t="s">
        <v>278</v>
      </c>
      <c r="J134" s="457" t="s">
        <v>459</v>
      </c>
      <c r="K134" s="457" t="s">
        <v>458</v>
      </c>
      <c r="L134" s="457" t="s">
        <v>9</v>
      </c>
    </row>
    <row r="135" spans="1:12" x14ac:dyDescent="0.3">
      <c r="A135" s="457" t="s">
        <v>268</v>
      </c>
      <c r="B135" s="457" t="s">
        <v>269</v>
      </c>
      <c r="C135" s="457" t="s">
        <v>270</v>
      </c>
      <c r="D135" s="457" t="s">
        <v>271</v>
      </c>
      <c r="E135" s="457" t="s">
        <v>427</v>
      </c>
      <c r="F135" s="457" t="s">
        <v>284</v>
      </c>
      <c r="G135" s="457" t="s">
        <v>43</v>
      </c>
      <c r="H135" s="457" t="s">
        <v>425</v>
      </c>
      <c r="I135" s="457" t="s">
        <v>278</v>
      </c>
      <c r="J135" s="457" t="s">
        <v>460</v>
      </c>
      <c r="K135" s="457" t="s">
        <v>426</v>
      </c>
      <c r="L135" s="457" t="s">
        <v>9</v>
      </c>
    </row>
    <row r="136" spans="1:12" x14ac:dyDescent="0.3">
      <c r="A136" s="457" t="s">
        <v>268</v>
      </c>
      <c r="B136" s="457" t="s">
        <v>301</v>
      </c>
      <c r="C136" s="457" t="s">
        <v>270</v>
      </c>
      <c r="D136" s="457" t="s">
        <v>271</v>
      </c>
      <c r="E136" s="457" t="s">
        <v>461</v>
      </c>
      <c r="F136" s="457" t="s">
        <v>273</v>
      </c>
      <c r="G136" s="457" t="s">
        <v>44</v>
      </c>
      <c r="H136" s="457" t="s">
        <v>123</v>
      </c>
      <c r="I136" s="457" t="s">
        <v>303</v>
      </c>
      <c r="J136" s="457" t="s">
        <v>439</v>
      </c>
      <c r="K136" s="457" t="s">
        <v>438</v>
      </c>
      <c r="L136" s="457" t="s">
        <v>9</v>
      </c>
    </row>
    <row r="137" spans="1:12" x14ac:dyDescent="0.3">
      <c r="A137" s="457" t="s">
        <v>268</v>
      </c>
      <c r="B137" s="457" t="s">
        <v>301</v>
      </c>
      <c r="C137" s="457" t="s">
        <v>270</v>
      </c>
      <c r="D137" s="457" t="s">
        <v>271</v>
      </c>
      <c r="E137" s="457" t="s">
        <v>461</v>
      </c>
      <c r="F137" s="457" t="s">
        <v>273</v>
      </c>
      <c r="G137" s="457" t="s">
        <v>43</v>
      </c>
      <c r="H137" s="457" t="s">
        <v>123</v>
      </c>
      <c r="I137" s="457" t="s">
        <v>303</v>
      </c>
      <c r="J137" s="457" t="s">
        <v>462</v>
      </c>
      <c r="K137" s="457" t="s">
        <v>438</v>
      </c>
      <c r="L137" s="457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072B-09EC-43BF-9B31-D4DC8230046C}">
  <dimension ref="A1:G108"/>
  <sheetViews>
    <sheetView tabSelected="1" workbookViewId="0">
      <selection sqref="A1:G1"/>
    </sheetView>
  </sheetViews>
  <sheetFormatPr defaultColWidth="8.77734375" defaultRowHeight="14.4" x14ac:dyDescent="0.3"/>
  <cols>
    <col min="1" max="1" width="5.6640625" style="467" customWidth="1"/>
    <col min="2" max="2" width="6.44140625" style="467" customWidth="1"/>
    <col min="3" max="3" width="8.44140625" style="467" customWidth="1"/>
    <col min="4" max="4" width="5.6640625" style="467" customWidth="1"/>
    <col min="5" max="5" width="24.6640625" style="467" bestFit="1" customWidth="1"/>
    <col min="6" max="6" width="22.109375" style="467" customWidth="1"/>
    <col min="7" max="7" width="12" style="467" customWidth="1"/>
    <col min="8" max="16384" width="8.77734375" style="457"/>
  </cols>
  <sheetData>
    <row r="1" spans="1:7" ht="45" customHeight="1" x14ac:dyDescent="0.3">
      <c r="A1" s="530" t="s">
        <v>139</v>
      </c>
      <c r="B1" s="531"/>
      <c r="C1" s="531"/>
      <c r="D1" s="531"/>
      <c r="E1" s="531"/>
      <c r="F1" s="531"/>
      <c r="G1" s="532"/>
    </row>
    <row r="2" spans="1:7" ht="40.5" customHeight="1" x14ac:dyDescent="0.3">
      <c r="A2" s="533" t="s">
        <v>483</v>
      </c>
      <c r="B2" s="534"/>
      <c r="C2" s="534"/>
      <c r="D2" s="534"/>
      <c r="E2" s="534"/>
      <c r="F2" s="534"/>
      <c r="G2" s="535"/>
    </row>
    <row r="3" spans="1:7" ht="21" hidden="1" x14ac:dyDescent="0.3">
      <c r="A3" s="536"/>
      <c r="B3" s="537"/>
      <c r="C3" s="537"/>
      <c r="D3" s="537"/>
      <c r="E3" s="537"/>
      <c r="F3" s="537"/>
      <c r="G3" s="538"/>
    </row>
    <row r="4" spans="1:7" ht="48" customHeight="1" x14ac:dyDescent="0.3">
      <c r="A4" s="458" t="s">
        <v>140</v>
      </c>
      <c r="B4" s="458" t="s">
        <v>141</v>
      </c>
      <c r="C4" s="458" t="s">
        <v>142</v>
      </c>
      <c r="D4" s="458" t="s">
        <v>143</v>
      </c>
      <c r="E4" s="459"/>
      <c r="F4" s="459"/>
      <c r="G4" s="459" t="s">
        <v>144</v>
      </c>
    </row>
    <row r="5" spans="1:7" ht="22.05" customHeight="1" x14ac:dyDescent="0.3">
      <c r="A5" s="460" t="s">
        <v>145</v>
      </c>
      <c r="B5" s="461"/>
      <c r="C5" s="460" t="s">
        <v>146</v>
      </c>
      <c r="D5" s="457">
        <v>1</v>
      </c>
      <c r="E5" s="462" t="s">
        <v>147</v>
      </c>
      <c r="F5" s="459" t="s">
        <v>148</v>
      </c>
      <c r="G5" s="463"/>
    </row>
    <row r="6" spans="1:7" ht="22.05" customHeight="1" x14ac:dyDescent="0.3">
      <c r="A6" s="459" t="s">
        <v>145</v>
      </c>
      <c r="B6" s="464"/>
      <c r="C6" s="460" t="s">
        <v>146</v>
      </c>
      <c r="D6" s="459" t="s">
        <v>2</v>
      </c>
      <c r="E6" s="462" t="s">
        <v>149</v>
      </c>
      <c r="F6" s="459" t="s">
        <v>150</v>
      </c>
      <c r="G6" s="465"/>
    </row>
    <row r="7" spans="1:7" ht="22.05" customHeight="1" x14ac:dyDescent="0.3">
      <c r="A7" s="459" t="s">
        <v>145</v>
      </c>
      <c r="B7" s="464"/>
      <c r="C7" s="460" t="s">
        <v>146</v>
      </c>
      <c r="D7" s="459" t="s">
        <v>3</v>
      </c>
      <c r="E7" s="459" t="s">
        <v>151</v>
      </c>
      <c r="F7" s="462" t="s">
        <v>152</v>
      </c>
      <c r="G7" s="465"/>
    </row>
    <row r="8" spans="1:7" ht="22.05" customHeight="1" x14ac:dyDescent="0.3">
      <c r="A8" s="459" t="s">
        <v>145</v>
      </c>
      <c r="B8" s="464"/>
      <c r="C8" s="460" t="s">
        <v>153</v>
      </c>
      <c r="D8" s="459" t="s">
        <v>4</v>
      </c>
      <c r="E8" s="462" t="s">
        <v>154</v>
      </c>
      <c r="F8" s="459" t="s">
        <v>155</v>
      </c>
      <c r="G8" s="465"/>
    </row>
    <row r="9" spans="1:7" ht="22.05" customHeight="1" x14ac:dyDescent="0.3">
      <c r="A9" s="459" t="s">
        <v>145</v>
      </c>
      <c r="B9" s="464"/>
      <c r="C9" s="459" t="s">
        <v>153</v>
      </c>
      <c r="D9" s="459" t="s">
        <v>5</v>
      </c>
      <c r="E9" s="459" t="s">
        <v>156</v>
      </c>
      <c r="F9" s="462" t="s">
        <v>157</v>
      </c>
      <c r="G9" s="465"/>
    </row>
    <row r="10" spans="1:7" ht="22.05" customHeight="1" x14ac:dyDescent="0.3">
      <c r="A10" s="459" t="s">
        <v>145</v>
      </c>
      <c r="B10" s="464"/>
      <c r="C10" s="459" t="s">
        <v>158</v>
      </c>
      <c r="D10" s="459" t="s">
        <v>6</v>
      </c>
      <c r="E10" s="459" t="s">
        <v>159</v>
      </c>
      <c r="F10" s="462" t="s">
        <v>160</v>
      </c>
      <c r="G10" s="465"/>
    </row>
    <row r="11" spans="1:7" ht="22.05" customHeight="1" x14ac:dyDescent="0.3">
      <c r="A11" s="459" t="s">
        <v>145</v>
      </c>
      <c r="B11" s="464"/>
      <c r="C11" s="459" t="s">
        <v>158</v>
      </c>
      <c r="D11" s="459" t="s">
        <v>7</v>
      </c>
      <c r="E11" s="459" t="s">
        <v>161</v>
      </c>
      <c r="F11" s="462" t="s">
        <v>162</v>
      </c>
      <c r="G11" s="465"/>
    </row>
    <row r="12" spans="1:7" ht="22.05" customHeight="1" x14ac:dyDescent="0.3">
      <c r="A12" s="459" t="s">
        <v>145</v>
      </c>
      <c r="B12" s="464"/>
      <c r="C12" s="459" t="s">
        <v>163</v>
      </c>
      <c r="D12" s="459" t="s">
        <v>8</v>
      </c>
      <c r="E12" s="459" t="s">
        <v>164</v>
      </c>
      <c r="F12" s="462" t="s">
        <v>165</v>
      </c>
      <c r="G12" s="465"/>
    </row>
    <row r="13" spans="1:7" ht="22.05" customHeight="1" x14ac:dyDescent="0.3">
      <c r="A13" s="459" t="s">
        <v>145</v>
      </c>
      <c r="B13" s="464"/>
      <c r="C13" s="459" t="s">
        <v>163</v>
      </c>
      <c r="D13" s="459" t="s">
        <v>166</v>
      </c>
      <c r="E13" s="459" t="s">
        <v>167</v>
      </c>
      <c r="F13" s="462" t="s">
        <v>168</v>
      </c>
      <c r="G13" s="465"/>
    </row>
    <row r="14" spans="1:7" ht="22.05" customHeight="1" x14ac:dyDescent="0.3">
      <c r="A14" s="459" t="s">
        <v>145</v>
      </c>
      <c r="B14" s="464"/>
      <c r="C14" s="460" t="s">
        <v>169</v>
      </c>
      <c r="D14" s="460" t="s">
        <v>170</v>
      </c>
      <c r="E14" s="459" t="s">
        <v>171</v>
      </c>
      <c r="F14" s="459" t="s">
        <v>172</v>
      </c>
      <c r="G14" s="465"/>
    </row>
    <row r="15" spans="1:7" ht="22.05" customHeight="1" x14ac:dyDescent="0.3">
      <c r="A15" s="459" t="s">
        <v>173</v>
      </c>
      <c r="B15" s="464"/>
      <c r="C15" s="459" t="s">
        <v>169</v>
      </c>
      <c r="D15" s="457">
        <v>1</v>
      </c>
      <c r="E15" s="462" t="s">
        <v>174</v>
      </c>
      <c r="F15" s="459" t="s">
        <v>175</v>
      </c>
      <c r="G15" s="465"/>
    </row>
    <row r="16" spans="1:7" ht="22.05" customHeight="1" x14ac:dyDescent="0.3">
      <c r="A16" s="459" t="s">
        <v>173</v>
      </c>
      <c r="B16" s="464"/>
      <c r="C16" s="459" t="s">
        <v>169</v>
      </c>
      <c r="D16" s="459" t="s">
        <v>2</v>
      </c>
      <c r="E16" s="459" t="s">
        <v>176</v>
      </c>
      <c r="F16" s="459" t="s">
        <v>177</v>
      </c>
      <c r="G16" s="465"/>
    </row>
    <row r="17" spans="1:7" ht="22.05" customHeight="1" x14ac:dyDescent="0.3">
      <c r="A17" s="459" t="s">
        <v>173</v>
      </c>
      <c r="B17" s="464"/>
      <c r="C17" s="459" t="s">
        <v>169</v>
      </c>
      <c r="D17" s="459" t="s">
        <v>3</v>
      </c>
      <c r="E17" s="459" t="s">
        <v>178</v>
      </c>
      <c r="F17" s="459" t="s">
        <v>179</v>
      </c>
      <c r="G17" s="465"/>
    </row>
    <row r="18" spans="1:7" ht="22.05" customHeight="1" x14ac:dyDescent="0.3">
      <c r="A18" s="459" t="s">
        <v>173</v>
      </c>
      <c r="B18" s="464"/>
      <c r="C18" s="459" t="s">
        <v>169</v>
      </c>
      <c r="D18" s="459" t="s">
        <v>4</v>
      </c>
      <c r="E18" s="459" t="s">
        <v>180</v>
      </c>
      <c r="F18" s="459" t="s">
        <v>181</v>
      </c>
      <c r="G18" s="465"/>
    </row>
    <row r="19" spans="1:7" ht="22.05" customHeight="1" x14ac:dyDescent="0.3">
      <c r="A19" s="459" t="s">
        <v>173</v>
      </c>
      <c r="B19" s="464"/>
      <c r="C19" s="459" t="s">
        <v>169</v>
      </c>
      <c r="D19" s="459" t="s">
        <v>5</v>
      </c>
      <c r="E19" s="466" t="s">
        <v>182</v>
      </c>
      <c r="F19" s="459" t="s">
        <v>183</v>
      </c>
      <c r="G19" s="465"/>
    </row>
    <row r="20" spans="1:7" ht="22.05" customHeight="1" x14ac:dyDescent="0.3">
      <c r="A20" s="459" t="s">
        <v>173</v>
      </c>
      <c r="B20" s="464"/>
      <c r="C20" s="459" t="s">
        <v>184</v>
      </c>
      <c r="D20" s="459" t="s">
        <v>6</v>
      </c>
      <c r="E20" s="459" t="s">
        <v>185</v>
      </c>
      <c r="F20" s="467" t="s">
        <v>186</v>
      </c>
      <c r="G20" s="465"/>
    </row>
    <row r="21" spans="1:7" ht="22.05" customHeight="1" x14ac:dyDescent="0.3">
      <c r="A21" s="459" t="s">
        <v>173</v>
      </c>
      <c r="B21" s="464"/>
      <c r="C21" s="459" t="s">
        <v>184</v>
      </c>
      <c r="D21" s="459" t="s">
        <v>7</v>
      </c>
      <c r="E21" s="459" t="s">
        <v>187</v>
      </c>
      <c r="F21" s="459" t="s">
        <v>188</v>
      </c>
      <c r="G21" s="465"/>
    </row>
    <row r="22" spans="1:7" ht="22.05" customHeight="1" x14ac:dyDescent="0.3">
      <c r="A22" s="459" t="s">
        <v>173</v>
      </c>
      <c r="B22" s="468"/>
      <c r="C22" s="459" t="s">
        <v>184</v>
      </c>
      <c r="D22" s="459" t="s">
        <v>8</v>
      </c>
      <c r="E22" s="459" t="s">
        <v>189</v>
      </c>
      <c r="F22" s="459" t="s">
        <v>190</v>
      </c>
      <c r="G22" s="465"/>
    </row>
    <row r="23" spans="1:7" ht="22.05" customHeight="1" x14ac:dyDescent="0.3">
      <c r="A23" s="459" t="s">
        <v>173</v>
      </c>
      <c r="B23" s="464"/>
      <c r="C23" s="459" t="s">
        <v>184</v>
      </c>
      <c r="D23" s="459" t="s">
        <v>166</v>
      </c>
      <c r="E23" s="466" t="s">
        <v>191</v>
      </c>
      <c r="F23" s="459" t="s">
        <v>192</v>
      </c>
      <c r="G23" s="465"/>
    </row>
    <row r="24" spans="1:7" ht="22.05" customHeight="1" x14ac:dyDescent="0.3">
      <c r="A24" s="459" t="s">
        <v>173</v>
      </c>
      <c r="B24" s="464"/>
      <c r="C24" s="459" t="s">
        <v>193</v>
      </c>
      <c r="D24" s="460" t="s">
        <v>170</v>
      </c>
      <c r="E24" s="459" t="s">
        <v>194</v>
      </c>
      <c r="F24" s="459" t="s">
        <v>168</v>
      </c>
      <c r="G24" s="465"/>
    </row>
    <row r="25" spans="1:7" ht="22.05" customHeight="1" x14ac:dyDescent="0.3">
      <c r="A25" s="459" t="s">
        <v>195</v>
      </c>
      <c r="B25" s="464"/>
      <c r="C25" s="459" t="s">
        <v>146</v>
      </c>
      <c r="D25" s="459" t="s">
        <v>1</v>
      </c>
      <c r="E25" s="459" t="s">
        <v>196</v>
      </c>
      <c r="F25" s="459" t="s">
        <v>148</v>
      </c>
      <c r="G25" s="465"/>
    </row>
    <row r="26" spans="1:7" ht="22.05" customHeight="1" x14ac:dyDescent="0.3">
      <c r="A26" s="459" t="s">
        <v>195</v>
      </c>
      <c r="B26" s="468"/>
      <c r="C26" s="459" t="s">
        <v>146</v>
      </c>
      <c r="D26" s="459" t="s">
        <v>2</v>
      </c>
      <c r="E26" s="459" t="s">
        <v>151</v>
      </c>
      <c r="F26" s="459" t="s">
        <v>150</v>
      </c>
      <c r="G26" s="465"/>
    </row>
    <row r="27" spans="1:7" ht="22.05" customHeight="1" x14ac:dyDescent="0.3">
      <c r="A27" s="459" t="s">
        <v>195</v>
      </c>
      <c r="B27" s="464"/>
      <c r="C27" s="459" t="s">
        <v>146</v>
      </c>
      <c r="D27" s="459" t="s">
        <v>3</v>
      </c>
      <c r="E27" s="459" t="s">
        <v>152</v>
      </c>
      <c r="F27" s="459" t="s">
        <v>149</v>
      </c>
      <c r="G27" s="465"/>
    </row>
    <row r="28" spans="1:7" ht="22.05" customHeight="1" x14ac:dyDescent="0.3">
      <c r="A28" s="459" t="s">
        <v>195</v>
      </c>
      <c r="B28" s="459"/>
      <c r="C28" s="459" t="s">
        <v>153</v>
      </c>
      <c r="D28" s="459" t="s">
        <v>4</v>
      </c>
      <c r="E28" s="459" t="s">
        <v>157</v>
      </c>
      <c r="F28" s="459" t="s">
        <v>154</v>
      </c>
      <c r="G28" s="465"/>
    </row>
    <row r="29" spans="1:7" ht="22.05" customHeight="1" x14ac:dyDescent="0.3">
      <c r="A29" s="459" t="s">
        <v>195</v>
      </c>
      <c r="B29" s="464"/>
      <c r="C29" s="459" t="s">
        <v>153</v>
      </c>
      <c r="D29" s="459" t="s">
        <v>5</v>
      </c>
      <c r="E29" s="459" t="s">
        <v>155</v>
      </c>
      <c r="F29" s="459" t="s">
        <v>197</v>
      </c>
      <c r="G29" s="465"/>
    </row>
    <row r="30" spans="1:7" ht="22.05" customHeight="1" x14ac:dyDescent="0.3">
      <c r="A30" s="459" t="s">
        <v>195</v>
      </c>
      <c r="B30" s="464"/>
      <c r="C30" s="459" t="s">
        <v>158</v>
      </c>
      <c r="D30" s="459" t="s">
        <v>6</v>
      </c>
      <c r="E30" s="459" t="s">
        <v>161</v>
      </c>
      <c r="F30" s="459" t="s">
        <v>160</v>
      </c>
      <c r="G30" s="465"/>
    </row>
    <row r="31" spans="1:7" ht="22.05" customHeight="1" x14ac:dyDescent="0.3">
      <c r="A31" s="459" t="s">
        <v>195</v>
      </c>
      <c r="B31" s="464"/>
      <c r="C31" s="459" t="s">
        <v>158</v>
      </c>
      <c r="D31" s="459" t="s">
        <v>7</v>
      </c>
      <c r="E31" s="459" t="s">
        <v>159</v>
      </c>
      <c r="F31" s="459" t="s">
        <v>162</v>
      </c>
      <c r="G31" s="465"/>
    </row>
    <row r="32" spans="1:7" ht="22.05" customHeight="1" x14ac:dyDescent="0.3">
      <c r="A32" s="459" t="s">
        <v>195</v>
      </c>
      <c r="B32" s="464"/>
      <c r="C32" s="459" t="s">
        <v>163</v>
      </c>
      <c r="D32" s="459" t="s">
        <v>8</v>
      </c>
      <c r="E32" s="459" t="s">
        <v>198</v>
      </c>
      <c r="F32" s="459" t="s">
        <v>165</v>
      </c>
      <c r="G32" s="465"/>
    </row>
    <row r="33" spans="1:7" ht="22.05" customHeight="1" x14ac:dyDescent="0.3">
      <c r="A33" s="459" t="s">
        <v>195</v>
      </c>
      <c r="B33" s="464"/>
      <c r="C33" s="459" t="s">
        <v>163</v>
      </c>
      <c r="D33" s="459" t="s">
        <v>166</v>
      </c>
      <c r="E33" s="459" t="s">
        <v>199</v>
      </c>
      <c r="F33" s="459" t="s">
        <v>168</v>
      </c>
      <c r="G33" s="459"/>
    </row>
    <row r="34" spans="1:7" ht="22.05" customHeight="1" x14ac:dyDescent="0.3">
      <c r="A34" s="459" t="s">
        <v>195</v>
      </c>
      <c r="B34" s="464"/>
      <c r="C34" s="459" t="s">
        <v>169</v>
      </c>
      <c r="D34" s="460" t="s">
        <v>170</v>
      </c>
      <c r="E34" s="459" t="s">
        <v>200</v>
      </c>
      <c r="F34" s="466" t="s">
        <v>201</v>
      </c>
      <c r="G34" s="459"/>
    </row>
    <row r="35" spans="1:7" ht="22.05" customHeight="1" x14ac:dyDescent="0.3">
      <c r="A35" s="459" t="s">
        <v>202</v>
      </c>
      <c r="B35" s="464"/>
      <c r="C35" s="459" t="s">
        <v>169</v>
      </c>
      <c r="D35" s="459" t="s">
        <v>1</v>
      </c>
      <c r="E35" s="459" t="s">
        <v>203</v>
      </c>
      <c r="F35" s="459" t="s">
        <v>204</v>
      </c>
      <c r="G35" s="465"/>
    </row>
    <row r="36" spans="1:7" ht="22.05" customHeight="1" x14ac:dyDescent="0.3">
      <c r="A36" s="459" t="s">
        <v>202</v>
      </c>
      <c r="B36" s="464"/>
      <c r="C36" s="459" t="s">
        <v>169</v>
      </c>
      <c r="D36" s="459" t="s">
        <v>2</v>
      </c>
      <c r="E36" s="459" t="s">
        <v>205</v>
      </c>
      <c r="F36" s="459" t="s">
        <v>206</v>
      </c>
      <c r="G36" s="465"/>
    </row>
    <row r="37" spans="1:7" ht="22.05" customHeight="1" x14ac:dyDescent="0.3">
      <c r="A37" s="459" t="s">
        <v>202</v>
      </c>
      <c r="B37" s="464"/>
      <c r="C37" s="459" t="s">
        <v>169</v>
      </c>
      <c r="D37" s="459" t="s">
        <v>3</v>
      </c>
      <c r="E37" s="459" t="s">
        <v>207</v>
      </c>
      <c r="F37" s="459" t="s">
        <v>208</v>
      </c>
      <c r="G37" s="465"/>
    </row>
    <row r="38" spans="1:7" ht="22.05" customHeight="1" x14ac:dyDescent="0.3">
      <c r="A38" s="459" t="s">
        <v>202</v>
      </c>
      <c r="B38" s="464"/>
      <c r="C38" s="459" t="s">
        <v>184</v>
      </c>
      <c r="D38" s="459" t="s">
        <v>4</v>
      </c>
      <c r="E38" s="459" t="s">
        <v>209</v>
      </c>
      <c r="F38" s="462" t="s">
        <v>210</v>
      </c>
      <c r="G38" s="465"/>
    </row>
    <row r="39" spans="1:7" ht="22.05" customHeight="1" x14ac:dyDescent="0.3">
      <c r="A39" s="459" t="s">
        <v>202</v>
      </c>
      <c r="B39" s="464"/>
      <c r="C39" s="459" t="s">
        <v>184</v>
      </c>
      <c r="D39" s="459" t="s">
        <v>5</v>
      </c>
      <c r="E39" s="462" t="s">
        <v>211</v>
      </c>
      <c r="F39" s="459" t="s">
        <v>212</v>
      </c>
      <c r="G39" s="465"/>
    </row>
    <row r="40" spans="1:7" ht="22.05" customHeight="1" x14ac:dyDescent="0.3">
      <c r="A40" s="459" t="s">
        <v>202</v>
      </c>
      <c r="B40" s="459"/>
      <c r="C40" s="459" t="s">
        <v>213</v>
      </c>
      <c r="D40" s="459" t="s">
        <v>6</v>
      </c>
      <c r="E40" s="459" t="s">
        <v>174</v>
      </c>
      <c r="F40" s="459" t="s">
        <v>214</v>
      </c>
      <c r="G40" s="465"/>
    </row>
    <row r="41" spans="1:7" ht="22.05" customHeight="1" x14ac:dyDescent="0.3">
      <c r="A41" s="459" t="s">
        <v>202</v>
      </c>
      <c r="B41" s="459"/>
      <c r="C41" s="459" t="s">
        <v>213</v>
      </c>
      <c r="D41" s="459" t="s">
        <v>7</v>
      </c>
      <c r="E41" s="459" t="s">
        <v>215</v>
      </c>
      <c r="F41" s="459" t="s">
        <v>216</v>
      </c>
      <c r="G41" s="465"/>
    </row>
    <row r="42" spans="1:7" ht="22.05" customHeight="1" x14ac:dyDescent="0.3">
      <c r="A42" s="459" t="s">
        <v>202</v>
      </c>
      <c r="B42" s="459"/>
      <c r="C42" s="459" t="s">
        <v>213</v>
      </c>
      <c r="D42" s="459" t="s">
        <v>8</v>
      </c>
      <c r="E42" s="459" t="s">
        <v>217</v>
      </c>
      <c r="F42" s="459" t="s">
        <v>218</v>
      </c>
      <c r="G42" s="465"/>
    </row>
    <row r="43" spans="1:7" ht="22.05" customHeight="1" x14ac:dyDescent="0.3">
      <c r="A43" s="459" t="s">
        <v>202</v>
      </c>
      <c r="B43" s="464"/>
      <c r="C43" s="459" t="s">
        <v>213</v>
      </c>
      <c r="D43" s="459" t="s">
        <v>166</v>
      </c>
      <c r="E43" s="459" t="s">
        <v>219</v>
      </c>
      <c r="F43" s="459" t="s">
        <v>220</v>
      </c>
      <c r="G43" s="465"/>
    </row>
    <row r="44" spans="1:7" ht="22.05" customHeight="1" x14ac:dyDescent="0.3">
      <c r="A44" s="459" t="s">
        <v>202</v>
      </c>
      <c r="B44" s="464"/>
      <c r="C44" s="459" t="s">
        <v>221</v>
      </c>
      <c r="D44" s="460" t="s">
        <v>170</v>
      </c>
      <c r="E44" s="462" t="s">
        <v>222</v>
      </c>
      <c r="F44" s="459" t="s">
        <v>223</v>
      </c>
      <c r="G44" s="465"/>
    </row>
    <row r="45" spans="1:7" ht="22.05" customHeight="1" x14ac:dyDescent="0.3">
      <c r="A45" s="459" t="s">
        <v>224</v>
      </c>
      <c r="B45" s="464"/>
      <c r="C45" s="459" t="s">
        <v>146</v>
      </c>
      <c r="D45" s="459" t="s">
        <v>1</v>
      </c>
      <c r="E45" s="462" t="s">
        <v>196</v>
      </c>
      <c r="F45" s="459" t="s">
        <v>147</v>
      </c>
      <c r="G45" s="465"/>
    </row>
    <row r="46" spans="1:7" ht="22.05" customHeight="1" x14ac:dyDescent="0.3">
      <c r="A46" s="459" t="s">
        <v>224</v>
      </c>
      <c r="B46" s="459"/>
      <c r="C46" s="459" t="s">
        <v>146</v>
      </c>
      <c r="D46" s="459" t="s">
        <v>2</v>
      </c>
      <c r="E46" s="459" t="s">
        <v>151</v>
      </c>
      <c r="F46" s="459" t="s">
        <v>149</v>
      </c>
      <c r="G46" s="465"/>
    </row>
    <row r="47" spans="1:7" ht="22.05" customHeight="1" x14ac:dyDescent="0.3">
      <c r="A47" s="459" t="s">
        <v>224</v>
      </c>
      <c r="B47" s="459"/>
      <c r="C47" s="459" t="s">
        <v>146</v>
      </c>
      <c r="D47" s="459" t="s">
        <v>3</v>
      </c>
      <c r="E47" s="459" t="s">
        <v>150</v>
      </c>
      <c r="F47" s="459" t="s">
        <v>152</v>
      </c>
      <c r="G47" s="465"/>
    </row>
    <row r="48" spans="1:7" ht="22.05" customHeight="1" x14ac:dyDescent="0.3">
      <c r="A48" s="459" t="s">
        <v>224</v>
      </c>
      <c r="B48" s="459"/>
      <c r="C48" s="459" t="s">
        <v>153</v>
      </c>
      <c r="D48" s="459" t="s">
        <v>4</v>
      </c>
      <c r="E48" s="459" t="s">
        <v>225</v>
      </c>
      <c r="F48" s="459" t="s">
        <v>157</v>
      </c>
      <c r="G48" s="465"/>
    </row>
    <row r="49" spans="1:7" ht="22.05" customHeight="1" x14ac:dyDescent="0.3">
      <c r="A49" s="459" t="s">
        <v>224</v>
      </c>
      <c r="B49" s="459"/>
      <c r="C49" s="459" t="s">
        <v>153</v>
      </c>
      <c r="D49" s="459" t="s">
        <v>5</v>
      </c>
      <c r="E49" s="459" t="s">
        <v>154</v>
      </c>
      <c r="F49" s="459" t="s">
        <v>156</v>
      </c>
      <c r="G49" s="465"/>
    </row>
    <row r="50" spans="1:7" ht="22.05" customHeight="1" x14ac:dyDescent="0.3">
      <c r="A50" s="459" t="s">
        <v>224</v>
      </c>
      <c r="B50" s="459"/>
      <c r="C50" s="459" t="s">
        <v>158</v>
      </c>
      <c r="D50" s="459" t="s">
        <v>6</v>
      </c>
      <c r="E50" s="459" t="s">
        <v>161</v>
      </c>
      <c r="F50" s="459" t="s">
        <v>159</v>
      </c>
      <c r="G50" s="465"/>
    </row>
    <row r="51" spans="1:7" ht="22.05" customHeight="1" x14ac:dyDescent="0.3">
      <c r="A51" s="459" t="s">
        <v>224</v>
      </c>
      <c r="B51" s="459"/>
      <c r="C51" s="459" t="s">
        <v>158</v>
      </c>
      <c r="D51" s="459" t="s">
        <v>7</v>
      </c>
      <c r="E51" s="459" t="s">
        <v>160</v>
      </c>
      <c r="F51" s="459" t="s">
        <v>162</v>
      </c>
      <c r="G51" s="465"/>
    </row>
    <row r="52" spans="1:7" ht="22.05" customHeight="1" x14ac:dyDescent="0.3">
      <c r="A52" s="459" t="s">
        <v>224</v>
      </c>
      <c r="B52" s="459"/>
      <c r="C52" s="459" t="s">
        <v>163</v>
      </c>
      <c r="D52" s="459" t="s">
        <v>8</v>
      </c>
      <c r="E52" s="459" t="s">
        <v>198</v>
      </c>
      <c r="F52" s="459" t="s">
        <v>164</v>
      </c>
      <c r="G52" s="465"/>
    </row>
    <row r="53" spans="1:7" ht="22.05" customHeight="1" x14ac:dyDescent="0.3">
      <c r="A53" s="459" t="s">
        <v>224</v>
      </c>
      <c r="B53" s="459"/>
      <c r="C53" s="459" t="s">
        <v>163</v>
      </c>
      <c r="D53" s="459" t="s">
        <v>166</v>
      </c>
      <c r="E53" s="459" t="s">
        <v>199</v>
      </c>
      <c r="F53" s="459" t="s">
        <v>167</v>
      </c>
      <c r="G53" s="465"/>
    </row>
    <row r="54" spans="1:7" ht="22.05" customHeight="1" x14ac:dyDescent="0.3">
      <c r="A54" s="459" t="s">
        <v>224</v>
      </c>
      <c r="B54" s="459"/>
      <c r="C54" s="459" t="s">
        <v>226</v>
      </c>
      <c r="D54" s="460" t="s">
        <v>170</v>
      </c>
      <c r="E54" s="459" t="s">
        <v>227</v>
      </c>
      <c r="F54" s="459" t="s">
        <v>228</v>
      </c>
      <c r="G54" s="465"/>
    </row>
    <row r="55" spans="1:7" ht="22.05" customHeight="1" x14ac:dyDescent="0.3">
      <c r="A55" s="459" t="s">
        <v>229</v>
      </c>
      <c r="B55" s="464"/>
      <c r="C55" s="459" t="s">
        <v>226</v>
      </c>
      <c r="D55" s="459" t="s">
        <v>1</v>
      </c>
      <c r="E55" s="467" t="s">
        <v>230</v>
      </c>
      <c r="F55" s="459" t="s">
        <v>231</v>
      </c>
      <c r="G55" s="465"/>
    </row>
    <row r="56" spans="1:7" ht="22.05" customHeight="1" x14ac:dyDescent="0.3">
      <c r="A56" s="459" t="s">
        <v>229</v>
      </c>
      <c r="B56" s="464"/>
      <c r="C56" s="459" t="s">
        <v>226</v>
      </c>
      <c r="D56" s="459" t="s">
        <v>2</v>
      </c>
      <c r="E56" s="459" t="s">
        <v>232</v>
      </c>
      <c r="F56" s="459" t="s">
        <v>233</v>
      </c>
      <c r="G56" s="465"/>
    </row>
    <row r="57" spans="1:7" ht="22.05" customHeight="1" x14ac:dyDescent="0.3">
      <c r="A57" s="459" t="s">
        <v>229</v>
      </c>
      <c r="B57" s="464"/>
      <c r="C57" s="459" t="s">
        <v>226</v>
      </c>
      <c r="D57" s="459" t="s">
        <v>3</v>
      </c>
      <c r="E57" s="459" t="s">
        <v>234</v>
      </c>
      <c r="F57" s="459" t="s">
        <v>235</v>
      </c>
      <c r="G57" s="465"/>
    </row>
    <row r="58" spans="1:7" ht="22.05" customHeight="1" x14ac:dyDescent="0.3">
      <c r="A58" s="459" t="s">
        <v>229</v>
      </c>
      <c r="B58" s="464"/>
      <c r="C58" s="459" t="s">
        <v>213</v>
      </c>
      <c r="D58" s="459" t="s">
        <v>4</v>
      </c>
      <c r="E58" s="467" t="s">
        <v>236</v>
      </c>
      <c r="F58" s="459" t="s">
        <v>237</v>
      </c>
      <c r="G58" s="465"/>
    </row>
    <row r="59" spans="1:7" ht="22.05" customHeight="1" x14ac:dyDescent="0.3">
      <c r="A59" s="459" t="s">
        <v>229</v>
      </c>
      <c r="B59" s="464"/>
      <c r="C59" s="459" t="s">
        <v>213</v>
      </c>
      <c r="D59" s="459" t="s">
        <v>5</v>
      </c>
      <c r="E59" s="459" t="s">
        <v>238</v>
      </c>
      <c r="F59" s="459" t="s">
        <v>239</v>
      </c>
      <c r="G59" s="465"/>
    </row>
    <row r="60" spans="1:7" ht="22.05" customHeight="1" x14ac:dyDescent="0.3">
      <c r="A60" s="459" t="s">
        <v>229</v>
      </c>
      <c r="B60" s="464"/>
      <c r="C60" s="459" t="s">
        <v>240</v>
      </c>
      <c r="D60" s="459" t="s">
        <v>6</v>
      </c>
      <c r="E60" s="459" t="s">
        <v>241</v>
      </c>
      <c r="F60" s="459"/>
      <c r="G60" s="465"/>
    </row>
    <row r="61" spans="1:7" ht="22.05" customHeight="1" x14ac:dyDescent="0.3">
      <c r="A61" s="459" t="s">
        <v>229</v>
      </c>
      <c r="B61" s="464"/>
      <c r="C61" s="459" t="s">
        <v>240</v>
      </c>
      <c r="D61" s="459" t="s">
        <v>7</v>
      </c>
      <c r="E61" s="459" t="s">
        <v>241</v>
      </c>
      <c r="F61" s="459"/>
      <c r="G61" s="459"/>
    </row>
    <row r="62" spans="1:7" ht="22.05" customHeight="1" x14ac:dyDescent="0.3">
      <c r="A62" s="459" t="s">
        <v>229</v>
      </c>
      <c r="B62" s="464"/>
      <c r="C62" s="459" t="s">
        <v>169</v>
      </c>
      <c r="D62" s="459" t="s">
        <v>8</v>
      </c>
      <c r="E62" s="459" t="s">
        <v>242</v>
      </c>
      <c r="F62" s="459"/>
      <c r="G62" s="459"/>
    </row>
    <row r="63" spans="1:7" ht="22.05" customHeight="1" x14ac:dyDescent="0.3">
      <c r="A63" s="459" t="s">
        <v>229</v>
      </c>
      <c r="B63" s="464"/>
      <c r="C63" s="459" t="s">
        <v>169</v>
      </c>
      <c r="D63" s="459" t="s">
        <v>166</v>
      </c>
      <c r="E63" s="459" t="s">
        <v>242</v>
      </c>
      <c r="F63" s="459"/>
      <c r="G63" s="459"/>
    </row>
    <row r="64" spans="1:7" ht="22.05" customHeight="1" x14ac:dyDescent="0.3">
      <c r="A64" s="459" t="s">
        <v>229</v>
      </c>
      <c r="B64" s="459"/>
      <c r="C64" s="459" t="s">
        <v>184</v>
      </c>
      <c r="D64" s="460" t="s">
        <v>170</v>
      </c>
      <c r="E64" s="459" t="s">
        <v>97</v>
      </c>
      <c r="F64" s="459"/>
      <c r="G64" s="459"/>
    </row>
    <row r="65" spans="1:7" ht="22.05" customHeight="1" x14ac:dyDescent="0.3">
      <c r="A65" s="459" t="s">
        <v>243</v>
      </c>
      <c r="B65" s="459"/>
      <c r="C65" s="459" t="s">
        <v>163</v>
      </c>
      <c r="D65" s="459" t="s">
        <v>1</v>
      </c>
      <c r="E65" s="459" t="s">
        <v>244</v>
      </c>
      <c r="F65" s="459"/>
      <c r="G65" s="459"/>
    </row>
    <row r="66" spans="1:7" ht="22.05" customHeight="1" x14ac:dyDescent="0.3">
      <c r="A66" s="459" t="s">
        <v>243</v>
      </c>
      <c r="B66" s="464"/>
      <c r="C66" s="459" t="s">
        <v>163</v>
      </c>
      <c r="D66" s="459" t="s">
        <v>2</v>
      </c>
      <c r="E66" s="467" t="s">
        <v>245</v>
      </c>
      <c r="F66" s="459"/>
      <c r="G66" s="459"/>
    </row>
    <row r="67" spans="1:7" ht="22.05" customHeight="1" x14ac:dyDescent="0.3">
      <c r="A67" s="459" t="s">
        <v>243</v>
      </c>
      <c r="B67" s="464"/>
      <c r="C67" s="459" t="s">
        <v>153</v>
      </c>
      <c r="D67" s="459" t="s">
        <v>3</v>
      </c>
      <c r="E67" s="459" t="s">
        <v>156</v>
      </c>
      <c r="F67" s="459" t="s">
        <v>197</v>
      </c>
      <c r="G67" s="459"/>
    </row>
    <row r="68" spans="1:7" ht="22.05" customHeight="1" x14ac:dyDescent="0.3">
      <c r="A68" s="459" t="s">
        <v>243</v>
      </c>
      <c r="B68" s="464"/>
      <c r="C68" s="459" t="s">
        <v>153</v>
      </c>
      <c r="D68" s="459" t="s">
        <v>4</v>
      </c>
      <c r="E68" s="459" t="s">
        <v>157</v>
      </c>
      <c r="F68" s="459" t="s">
        <v>155</v>
      </c>
      <c r="G68" s="459"/>
    </row>
    <row r="69" spans="1:7" ht="22.05" customHeight="1" x14ac:dyDescent="0.3">
      <c r="A69" s="459" t="s">
        <v>243</v>
      </c>
      <c r="B69" s="464"/>
      <c r="C69" s="459" t="s">
        <v>146</v>
      </c>
      <c r="D69" s="459" t="s">
        <v>5</v>
      </c>
      <c r="E69" s="459" t="s">
        <v>244</v>
      </c>
      <c r="F69" s="459"/>
      <c r="G69" s="459"/>
    </row>
    <row r="70" spans="1:7" ht="22.05" customHeight="1" x14ac:dyDescent="0.3">
      <c r="A70" s="459" t="s">
        <v>243</v>
      </c>
      <c r="B70" s="459"/>
      <c r="C70" s="459" t="s">
        <v>146</v>
      </c>
      <c r="D70" s="459" t="s">
        <v>6</v>
      </c>
      <c r="E70" s="459" t="s">
        <v>245</v>
      </c>
      <c r="F70" s="459"/>
      <c r="G70" s="459"/>
    </row>
    <row r="71" spans="1:7" ht="22.05" customHeight="1" x14ac:dyDescent="0.3">
      <c r="A71" s="459" t="s">
        <v>243</v>
      </c>
      <c r="B71" s="459"/>
      <c r="C71" s="459" t="s">
        <v>184</v>
      </c>
      <c r="D71" s="459" t="s">
        <v>7</v>
      </c>
      <c r="E71" s="459" t="s">
        <v>246</v>
      </c>
      <c r="F71" s="459"/>
      <c r="G71" s="459"/>
    </row>
    <row r="72" spans="1:7" ht="22.05" customHeight="1" x14ac:dyDescent="0.3">
      <c r="A72" s="459" t="s">
        <v>243</v>
      </c>
      <c r="B72" s="459"/>
      <c r="C72" s="459" t="s">
        <v>184</v>
      </c>
      <c r="D72" s="459" t="s">
        <v>8</v>
      </c>
      <c r="E72" s="459" t="s">
        <v>246</v>
      </c>
      <c r="F72" s="459"/>
      <c r="G72" s="459"/>
    </row>
    <row r="73" spans="1:7" ht="22.05" customHeight="1" x14ac:dyDescent="0.3">
      <c r="A73" s="459" t="s">
        <v>247</v>
      </c>
      <c r="B73" s="459"/>
      <c r="C73" s="459" t="s">
        <v>169</v>
      </c>
      <c r="D73" s="459" t="s">
        <v>166</v>
      </c>
      <c r="E73" s="459" t="s">
        <v>246</v>
      </c>
      <c r="F73" s="459"/>
      <c r="G73" s="459"/>
    </row>
    <row r="74" spans="1:7" ht="22.05" customHeight="1" x14ac:dyDescent="0.3">
      <c r="A74" s="459" t="s">
        <v>247</v>
      </c>
      <c r="B74" s="459"/>
      <c r="C74" s="459" t="s">
        <v>169</v>
      </c>
      <c r="D74" s="459" t="s">
        <v>170</v>
      </c>
      <c r="E74" s="459" t="s">
        <v>246</v>
      </c>
      <c r="F74" s="459"/>
      <c r="G74" s="459"/>
    </row>
    <row r="75" spans="1:7" ht="22.05" customHeight="1" x14ac:dyDescent="0.3">
      <c r="A75" s="459" t="s">
        <v>248</v>
      </c>
      <c r="B75" s="459"/>
      <c r="C75" s="459" t="s">
        <v>249</v>
      </c>
      <c r="D75" s="459"/>
      <c r="E75" s="459" t="s">
        <v>250</v>
      </c>
      <c r="F75" s="459"/>
      <c r="G75" s="459"/>
    </row>
    <row r="76" spans="1:7" ht="22.05" customHeight="1" x14ac:dyDescent="0.3">
      <c r="A76" s="459" t="s">
        <v>248</v>
      </c>
      <c r="B76" s="459"/>
      <c r="C76" s="459" t="s">
        <v>249</v>
      </c>
      <c r="D76" s="459"/>
      <c r="E76" s="459" t="s">
        <v>246</v>
      </c>
      <c r="F76" s="459"/>
      <c r="G76" s="459"/>
    </row>
    <row r="77" spans="1:7" ht="22.05" customHeight="1" x14ac:dyDescent="0.3">
      <c r="A77" s="459" t="s">
        <v>248</v>
      </c>
      <c r="B77" s="459"/>
      <c r="C77" s="459" t="s">
        <v>249</v>
      </c>
      <c r="D77" s="459"/>
      <c r="E77" s="459" t="s">
        <v>246</v>
      </c>
      <c r="F77" s="459"/>
      <c r="G77" s="459"/>
    </row>
    <row r="78" spans="1:7" ht="22.05" customHeight="1" x14ac:dyDescent="0.3">
      <c r="A78" s="459" t="s">
        <v>248</v>
      </c>
      <c r="B78" s="459"/>
      <c r="C78" s="459" t="s">
        <v>213</v>
      </c>
      <c r="D78" s="459"/>
      <c r="E78" s="459" t="s">
        <v>250</v>
      </c>
      <c r="F78" s="459"/>
      <c r="G78" s="459"/>
    </row>
    <row r="79" spans="1:7" ht="22.05" customHeight="1" x14ac:dyDescent="0.3">
      <c r="A79" s="459" t="s">
        <v>248</v>
      </c>
      <c r="B79" s="459"/>
      <c r="C79" s="459" t="s">
        <v>213</v>
      </c>
      <c r="D79" s="459"/>
      <c r="E79" s="459" t="s">
        <v>246</v>
      </c>
      <c r="F79" s="459"/>
      <c r="G79" s="459"/>
    </row>
    <row r="80" spans="1:7" ht="22.05" customHeight="1" x14ac:dyDescent="0.3">
      <c r="A80" s="459" t="s">
        <v>248</v>
      </c>
      <c r="B80" s="459"/>
      <c r="C80" s="459" t="s">
        <v>213</v>
      </c>
      <c r="D80" s="459"/>
      <c r="E80" s="459" t="s">
        <v>246</v>
      </c>
      <c r="F80" s="459"/>
      <c r="G80" s="459"/>
    </row>
    <row r="81" spans="1:7" ht="22.05" customHeight="1" x14ac:dyDescent="0.3">
      <c r="A81" s="459" t="s">
        <v>248</v>
      </c>
      <c r="B81" s="459"/>
      <c r="C81" s="459" t="s">
        <v>226</v>
      </c>
      <c r="D81" s="459"/>
      <c r="E81" s="459" t="s">
        <v>241</v>
      </c>
      <c r="F81" s="459"/>
      <c r="G81" s="459"/>
    </row>
    <row r="82" spans="1:7" ht="22.05" customHeight="1" x14ac:dyDescent="0.3">
      <c r="A82" s="459" t="s">
        <v>248</v>
      </c>
      <c r="B82" s="459"/>
      <c r="C82" s="459" t="s">
        <v>226</v>
      </c>
      <c r="D82" s="459"/>
      <c r="E82" s="459" t="s">
        <v>241</v>
      </c>
      <c r="F82" s="459"/>
      <c r="G82" s="459"/>
    </row>
    <row r="83" spans="1:7" ht="22.05" customHeight="1" x14ac:dyDescent="0.3">
      <c r="A83" s="459" t="s">
        <v>251</v>
      </c>
      <c r="B83" s="459"/>
      <c r="C83" s="459" t="s">
        <v>153</v>
      </c>
      <c r="D83" s="459"/>
      <c r="E83" s="459" t="s">
        <v>225</v>
      </c>
      <c r="F83" s="459" t="s">
        <v>154</v>
      </c>
      <c r="G83" s="459"/>
    </row>
    <row r="84" spans="1:7" ht="22.05" customHeight="1" x14ac:dyDescent="0.3">
      <c r="A84" s="459" t="s">
        <v>251</v>
      </c>
      <c r="B84" s="459"/>
      <c r="C84" s="459" t="s">
        <v>153</v>
      </c>
      <c r="D84" s="459"/>
      <c r="E84" s="459" t="s">
        <v>156</v>
      </c>
      <c r="F84" s="459" t="s">
        <v>155</v>
      </c>
      <c r="G84" s="459"/>
    </row>
    <row r="85" spans="1:7" ht="22.05" customHeight="1" x14ac:dyDescent="0.3">
      <c r="A85" s="459" t="s">
        <v>252</v>
      </c>
      <c r="B85" s="459"/>
      <c r="C85" s="459" t="s">
        <v>226</v>
      </c>
      <c r="D85" s="459"/>
      <c r="E85" s="459" t="s">
        <v>246</v>
      </c>
      <c r="F85" s="459"/>
      <c r="G85" s="459"/>
    </row>
    <row r="86" spans="1:7" ht="22.05" customHeight="1" x14ac:dyDescent="0.3">
      <c r="A86" s="459" t="s">
        <v>252</v>
      </c>
      <c r="B86" s="459"/>
      <c r="C86" s="459" t="s">
        <v>226</v>
      </c>
      <c r="D86" s="459"/>
      <c r="E86" s="459" t="s">
        <v>246</v>
      </c>
      <c r="F86" s="459"/>
      <c r="G86" s="459"/>
    </row>
    <row r="87" spans="1:7" ht="22.05" customHeight="1" x14ac:dyDescent="0.3">
      <c r="A87" s="459" t="s">
        <v>252</v>
      </c>
      <c r="B87" s="459"/>
      <c r="C87" s="459" t="s">
        <v>169</v>
      </c>
      <c r="D87" s="459"/>
      <c r="E87" s="459" t="s">
        <v>253</v>
      </c>
      <c r="F87" s="459"/>
      <c r="G87" s="459"/>
    </row>
    <row r="88" spans="1:7" ht="22.05" customHeight="1" x14ac:dyDescent="0.3">
      <c r="A88" s="459" t="s">
        <v>252</v>
      </c>
      <c r="B88" s="459"/>
      <c r="C88" s="459" t="s">
        <v>184</v>
      </c>
      <c r="D88" s="459"/>
      <c r="E88" s="459" t="s">
        <v>253</v>
      </c>
      <c r="F88" s="459"/>
      <c r="G88" s="459"/>
    </row>
    <row r="89" spans="1:7" ht="22.05" customHeight="1" x14ac:dyDescent="0.3">
      <c r="A89" s="459" t="s">
        <v>254</v>
      </c>
      <c r="B89" s="459"/>
      <c r="C89" s="459" t="s">
        <v>255</v>
      </c>
      <c r="D89" s="459"/>
      <c r="E89" s="459" t="s">
        <v>253</v>
      </c>
      <c r="F89" s="459"/>
      <c r="G89" s="459"/>
    </row>
    <row r="90" spans="1:7" ht="22.05" customHeight="1" x14ac:dyDescent="0.3">
      <c r="A90" s="459" t="s">
        <v>254</v>
      </c>
      <c r="B90" s="459"/>
      <c r="C90" s="459" t="s">
        <v>226</v>
      </c>
      <c r="D90" s="459"/>
      <c r="E90" s="459" t="s">
        <v>97</v>
      </c>
      <c r="F90" s="459"/>
      <c r="G90" s="459"/>
    </row>
    <row r="91" spans="1:7" ht="22.05" customHeight="1" x14ac:dyDescent="0.3">
      <c r="A91" s="459" t="s">
        <v>256</v>
      </c>
      <c r="B91" s="459"/>
      <c r="C91" s="459" t="s">
        <v>226</v>
      </c>
      <c r="D91" s="459"/>
      <c r="E91" s="459" t="s">
        <v>253</v>
      </c>
      <c r="F91" s="459"/>
      <c r="G91" s="459"/>
    </row>
    <row r="92" spans="1:7" ht="22.05" customHeight="1" x14ac:dyDescent="0.3">
      <c r="A92" s="459"/>
      <c r="B92" s="459"/>
      <c r="C92" s="459"/>
      <c r="D92" s="459"/>
      <c r="E92" s="459"/>
      <c r="F92" s="459"/>
      <c r="G92" s="459"/>
    </row>
    <row r="93" spans="1:7" ht="22.05" customHeight="1" x14ac:dyDescent="0.3">
      <c r="A93" s="459"/>
      <c r="B93" s="459"/>
      <c r="C93" s="459"/>
      <c r="D93" s="459"/>
      <c r="E93" s="459"/>
      <c r="F93" s="459"/>
      <c r="G93" s="459"/>
    </row>
    <row r="94" spans="1:7" ht="22.05" customHeight="1" x14ac:dyDescent="0.3">
      <c r="A94" s="459"/>
      <c r="B94" s="459"/>
      <c r="C94" s="459"/>
      <c r="D94" s="459"/>
      <c r="E94" s="459"/>
      <c r="F94" s="459"/>
      <c r="G94" s="459"/>
    </row>
    <row r="95" spans="1:7" ht="22.05" customHeight="1" x14ac:dyDescent="0.3"/>
    <row r="96" spans="1:7" ht="22.05" customHeight="1" x14ac:dyDescent="0.3"/>
    <row r="97" ht="22.05" customHeight="1" x14ac:dyDescent="0.3"/>
    <row r="98" ht="22.05" customHeight="1" x14ac:dyDescent="0.3"/>
    <row r="99" ht="22.05" customHeight="1" x14ac:dyDescent="0.3"/>
    <row r="100" ht="22.05" customHeight="1" x14ac:dyDescent="0.3"/>
    <row r="101" ht="22.05" customHeight="1" x14ac:dyDescent="0.3"/>
    <row r="102" ht="22.05" customHeight="1" x14ac:dyDescent="0.3"/>
    <row r="103" ht="22.05" customHeight="1" x14ac:dyDescent="0.3"/>
    <row r="104" ht="22.05" customHeight="1" x14ac:dyDescent="0.3"/>
    <row r="105" ht="22.05" customHeight="1" x14ac:dyDescent="0.3"/>
    <row r="106" ht="22.05" customHeight="1" x14ac:dyDescent="0.3"/>
    <row r="107" ht="22.05" customHeight="1" x14ac:dyDescent="0.3"/>
    <row r="108" ht="22.05" customHeight="1" x14ac:dyDescent="0.3"/>
  </sheetData>
  <mergeCells count="3">
    <mergeCell ref="A1:G1"/>
    <mergeCell ref="A2:G2"/>
    <mergeCell ref="A3:G3"/>
  </mergeCells>
  <conditionalFormatting sqref="E19">
    <cfRule type="expression" dxfId="181" priority="3" stopIfTrue="1">
      <formula>$Q12&gt;=1</formula>
    </cfRule>
  </conditionalFormatting>
  <conditionalFormatting sqref="E23">
    <cfRule type="expression" dxfId="180" priority="2" stopIfTrue="1">
      <formula>$Q16&gt;=1</formula>
    </cfRule>
  </conditionalFormatting>
  <conditionalFormatting sqref="F5">
    <cfRule type="expression" dxfId="179" priority="4" stopIfTrue="1">
      <formula>$Q6&gt;=1</formula>
    </cfRule>
  </conditionalFormatting>
  <conditionalFormatting sqref="F34">
    <cfRule type="expression" dxfId="178" priority="1" stopIfTrue="1">
      <formula>$Q27&gt;=1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">
    <tabColor indexed="11"/>
  </sheetPr>
  <dimension ref="A1:AK41"/>
  <sheetViews>
    <sheetView workbookViewId="0">
      <selection sqref="A1:F1"/>
    </sheetView>
  </sheetViews>
  <sheetFormatPr defaultColWidth="8.77734375"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44140625" customWidth="1"/>
    <col min="10" max="10" width="7.77734375" customWidth="1"/>
    <col min="11" max="12" width="8.44140625" customWidth="1"/>
    <col min="13" max="13" width="7.77734375" customWidth="1"/>
    <col min="15" max="15" width="5.109375" customWidth="1"/>
    <col min="16" max="16" width="11.44140625" customWidth="1"/>
    <col min="17" max="17" width="9.33203125" customWidth="1"/>
    <col min="25" max="37" width="0" hidden="1" customWidth="1"/>
  </cols>
  <sheetData>
    <row r="1" spans="1:37" ht="24.6" x14ac:dyDescent="0.25">
      <c r="A1" s="541" t="str">
        <f>Altalanos!$A$6</f>
        <v>OB</v>
      </c>
      <c r="B1" s="541"/>
      <c r="C1" s="541"/>
      <c r="D1" s="541"/>
      <c r="E1" s="541"/>
      <c r="F1" s="541"/>
      <c r="G1" s="122"/>
      <c r="H1" s="125" t="s">
        <v>33</v>
      </c>
      <c r="I1" s="123"/>
      <c r="J1" s="124"/>
      <c r="L1" s="126"/>
      <c r="M1" s="127"/>
      <c r="N1" s="83"/>
      <c r="O1" s="83" t="s">
        <v>9</v>
      </c>
      <c r="P1" s="83"/>
      <c r="Q1" s="82"/>
      <c r="R1" s="83"/>
      <c r="AB1" s="195" t="e">
        <f>IF(Y5=1,CONCATENATE(VLOOKUP(Y3,AA16:AH27,2)),CONCATENATE(VLOOKUP(Y3,AA2:AK13,2)))</f>
        <v>#N/A</v>
      </c>
      <c r="AC1" s="195" t="e">
        <f>IF(Y5=1,CONCATENATE(VLOOKUP(Y3,AA16:AK27,3)),CONCATENATE(VLOOKUP(Y3,AA2:AK13,3)))</f>
        <v>#N/A</v>
      </c>
      <c r="AD1" s="195" t="e">
        <f>IF(Y5=1,CONCATENATE(VLOOKUP(Y3,AA16:AK27,4)),CONCATENATE(VLOOKUP(Y3,AA2:AK13,4)))</f>
        <v>#N/A</v>
      </c>
      <c r="AE1" s="195" t="e">
        <f>IF(Y5=1,CONCATENATE(VLOOKUP(Y3,AA16:AK27,5)),CONCATENATE(VLOOKUP(Y3,AA2:AK13,5)))</f>
        <v>#N/A</v>
      </c>
      <c r="AF1" s="195" t="e">
        <f>IF(Y5=1,CONCATENATE(VLOOKUP(Y3,AA16:AK27,6)),CONCATENATE(VLOOKUP(Y3,AA2:AK13,6)))</f>
        <v>#N/A</v>
      </c>
      <c r="AG1" s="195" t="e">
        <f>IF(Y5=1,CONCATENATE(VLOOKUP(Y3,AA16:AK27,7)),CONCATENATE(VLOOKUP(Y3,AA2:AK13,7)))</f>
        <v>#N/A</v>
      </c>
      <c r="AH1" s="195" t="e">
        <f>IF(Y5=1,CONCATENATE(VLOOKUP(Y3,AA16:AK27,8)),CONCATENATE(VLOOKUP(Y3,AA2:AK13,8)))</f>
        <v>#N/A</v>
      </c>
      <c r="AI1" s="195" t="e">
        <f>IF(Y5=1,CONCATENATE(VLOOKUP(Y3,AA16:AK27,9)),CONCATENATE(VLOOKUP(Y3,AA2:AK13,9)))</f>
        <v>#N/A</v>
      </c>
      <c r="AJ1" s="195" t="e">
        <f>IF(Y5=1,CONCATENATE(VLOOKUP(Y3,AA16:AK27,10)),CONCATENATE(VLOOKUP(Y3,AA2:AK13,10)))</f>
        <v>#N/A</v>
      </c>
      <c r="AK1" s="195" t="e">
        <f>IF(Y5=1,CONCATENATE(VLOOKUP(Y3,AA16:AK27,11)),CONCATENATE(VLOOKUP(Y3,AA2:AK13,11)))</f>
        <v>#N/A</v>
      </c>
    </row>
    <row r="2" spans="1:37" x14ac:dyDescent="0.25">
      <c r="A2" s="128" t="s">
        <v>32</v>
      </c>
      <c r="B2" s="129"/>
      <c r="C2" s="129"/>
      <c r="D2" s="129"/>
      <c r="E2" s="129">
        <f>Altalanos!$A$8</f>
        <v>0</v>
      </c>
      <c r="F2" s="129"/>
      <c r="G2" s="130"/>
      <c r="H2" s="131"/>
      <c r="I2" s="131"/>
      <c r="J2" s="132"/>
      <c r="K2" s="126"/>
      <c r="L2" s="126"/>
      <c r="M2" s="126"/>
      <c r="N2" s="84"/>
      <c r="O2" s="81"/>
      <c r="P2" s="84"/>
      <c r="Q2" s="81"/>
      <c r="R2" s="84"/>
      <c r="Y2" s="191"/>
      <c r="Z2" s="190"/>
      <c r="AA2" s="190" t="s">
        <v>43</v>
      </c>
      <c r="AB2" s="184">
        <v>150</v>
      </c>
      <c r="AC2" s="184">
        <v>120</v>
      </c>
      <c r="AD2" s="184">
        <v>100</v>
      </c>
      <c r="AE2" s="184">
        <v>80</v>
      </c>
      <c r="AF2" s="184">
        <v>70</v>
      </c>
      <c r="AG2" s="184">
        <v>60</v>
      </c>
      <c r="AH2" s="184">
        <v>55</v>
      </c>
      <c r="AI2" s="184">
        <v>50</v>
      </c>
      <c r="AJ2" s="184">
        <v>45</v>
      </c>
      <c r="AK2" s="184">
        <v>40</v>
      </c>
    </row>
    <row r="3" spans="1:37" x14ac:dyDescent="0.25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85"/>
      <c r="K3" s="48"/>
      <c r="L3" s="49" t="s">
        <v>23</v>
      </c>
      <c r="M3" s="48"/>
      <c r="N3" s="150"/>
      <c r="O3" s="149"/>
      <c r="P3" s="150"/>
      <c r="Q3" s="149"/>
      <c r="R3" s="151"/>
      <c r="Y3" s="190">
        <f>IF(H4="OB","A",IF(H4="IX","W",H4))</f>
        <v>0</v>
      </c>
      <c r="Z3" s="190"/>
      <c r="AA3" s="190" t="s">
        <v>67</v>
      </c>
      <c r="AB3" s="184">
        <v>120</v>
      </c>
      <c r="AC3" s="184">
        <v>90</v>
      </c>
      <c r="AD3" s="184">
        <v>65</v>
      </c>
      <c r="AE3" s="184">
        <v>55</v>
      </c>
      <c r="AF3" s="184">
        <v>50</v>
      </c>
      <c r="AG3" s="184">
        <v>45</v>
      </c>
      <c r="AH3" s="184">
        <v>40</v>
      </c>
      <c r="AI3" s="184">
        <v>35</v>
      </c>
      <c r="AJ3" s="184">
        <v>25</v>
      </c>
      <c r="AK3" s="184">
        <v>20</v>
      </c>
    </row>
    <row r="4" spans="1:37" ht="13.8" thickBot="1" x14ac:dyDescent="0.3">
      <c r="A4" s="542">
        <f>Altalanos!$A$10</f>
        <v>0</v>
      </c>
      <c r="B4" s="542"/>
      <c r="C4" s="542"/>
      <c r="D4" s="133"/>
      <c r="E4" s="134">
        <f>Altalanos!$C$10</f>
        <v>0</v>
      </c>
      <c r="F4" s="134"/>
      <c r="G4" s="134"/>
      <c r="H4" s="136"/>
      <c r="I4" s="134"/>
      <c r="J4" s="135"/>
      <c r="K4" s="136"/>
      <c r="L4" s="137">
        <f>Altalanos!$E$10</f>
        <v>0</v>
      </c>
      <c r="M4" s="136"/>
      <c r="N4" s="152"/>
      <c r="O4" s="153"/>
      <c r="P4" s="183" t="s">
        <v>52</v>
      </c>
      <c r="Q4" s="184" t="s">
        <v>60</v>
      </c>
      <c r="R4" s="184" t="s">
        <v>56</v>
      </c>
      <c r="S4" s="38"/>
      <c r="Y4" s="190"/>
      <c r="Z4" s="190"/>
      <c r="AA4" s="190" t="s">
        <v>68</v>
      </c>
      <c r="AB4" s="184">
        <v>90</v>
      </c>
      <c r="AC4" s="184">
        <v>60</v>
      </c>
      <c r="AD4" s="184">
        <v>45</v>
      </c>
      <c r="AE4" s="184">
        <v>34</v>
      </c>
      <c r="AF4" s="184">
        <v>27</v>
      </c>
      <c r="AG4" s="184">
        <v>22</v>
      </c>
      <c r="AH4" s="184">
        <v>18</v>
      </c>
      <c r="AI4" s="184">
        <v>15</v>
      </c>
      <c r="AJ4" s="184">
        <v>12</v>
      </c>
      <c r="AK4" s="184">
        <v>9</v>
      </c>
    </row>
    <row r="5" spans="1:37" x14ac:dyDescent="0.25">
      <c r="A5" s="31"/>
      <c r="B5" s="31" t="s">
        <v>31</v>
      </c>
      <c r="C5" s="148" t="s">
        <v>41</v>
      </c>
      <c r="D5" s="31" t="s">
        <v>26</v>
      </c>
      <c r="E5" s="31" t="s">
        <v>46</v>
      </c>
      <c r="F5" s="31"/>
      <c r="G5" s="31" t="s">
        <v>21</v>
      </c>
      <c r="H5" s="31"/>
      <c r="I5" s="31" t="s">
        <v>24</v>
      </c>
      <c r="J5" s="31"/>
      <c r="K5" s="177" t="s">
        <v>47</v>
      </c>
      <c r="L5" s="177" t="s">
        <v>48</v>
      </c>
      <c r="M5" s="177" t="s">
        <v>49</v>
      </c>
      <c r="P5" s="185" t="s">
        <v>58</v>
      </c>
      <c r="Q5" s="186" t="s">
        <v>54</v>
      </c>
      <c r="R5" s="186" t="s">
        <v>61</v>
      </c>
      <c r="S5" s="38"/>
      <c r="Y5" s="190">
        <f>IF(OR(Altalanos!$A$8="F1",Altalanos!$A$8="F2",Altalanos!$A$8="N1",Altalanos!$A$8="N2"),1,2)</f>
        <v>2</v>
      </c>
      <c r="Z5" s="190"/>
      <c r="AA5" s="190" t="s">
        <v>69</v>
      </c>
      <c r="AB5" s="184">
        <v>60</v>
      </c>
      <c r="AC5" s="184">
        <v>40</v>
      </c>
      <c r="AD5" s="184">
        <v>30</v>
      </c>
      <c r="AE5" s="184">
        <v>20</v>
      </c>
      <c r="AF5" s="184">
        <v>18</v>
      </c>
      <c r="AG5" s="184">
        <v>15</v>
      </c>
      <c r="AH5" s="184">
        <v>12</v>
      </c>
      <c r="AI5" s="184">
        <v>10</v>
      </c>
      <c r="AJ5" s="184">
        <v>8</v>
      </c>
      <c r="AK5" s="184">
        <v>6</v>
      </c>
    </row>
    <row r="6" spans="1:37" x14ac:dyDescent="0.25">
      <c r="A6" s="139"/>
      <c r="B6" s="139"/>
      <c r="C6" s="176"/>
      <c r="D6" s="139"/>
      <c r="E6" s="139"/>
      <c r="F6" s="139"/>
      <c r="G6" s="139"/>
      <c r="H6" s="139"/>
      <c r="I6" s="139"/>
      <c r="J6" s="139"/>
      <c r="K6" s="139"/>
      <c r="L6" s="139"/>
      <c r="M6" s="139"/>
      <c r="P6" s="187" t="s">
        <v>59</v>
      </c>
      <c r="Q6" s="188" t="s">
        <v>62</v>
      </c>
      <c r="R6" s="188" t="s">
        <v>57</v>
      </c>
      <c r="S6" s="38"/>
      <c r="Y6" s="190"/>
      <c r="Z6" s="190"/>
      <c r="AA6" s="190" t="s">
        <v>70</v>
      </c>
      <c r="AB6" s="184">
        <v>40</v>
      </c>
      <c r="AC6" s="184">
        <v>25</v>
      </c>
      <c r="AD6" s="184">
        <v>18</v>
      </c>
      <c r="AE6" s="184">
        <v>13</v>
      </c>
      <c r="AF6" s="184">
        <v>10</v>
      </c>
      <c r="AG6" s="184">
        <v>8</v>
      </c>
      <c r="AH6" s="184">
        <v>6</v>
      </c>
      <c r="AI6" s="184">
        <v>5</v>
      </c>
      <c r="AJ6" s="184">
        <v>4</v>
      </c>
      <c r="AK6" s="184">
        <v>3</v>
      </c>
    </row>
    <row r="7" spans="1:37" x14ac:dyDescent="0.25">
      <c r="A7" s="154" t="s">
        <v>43</v>
      </c>
      <c r="B7" s="178"/>
      <c r="C7" s="180" t="str">
        <f>IF($B7="","",VLOOKUP($B7,#REF!,5))</f>
        <v/>
      </c>
      <c r="D7" s="180" t="str">
        <f>IF($B7="","",VLOOKUP($B7,#REF!,15))</f>
        <v/>
      </c>
      <c r="E7" s="539" t="s">
        <v>87</v>
      </c>
      <c r="F7" s="540"/>
      <c r="G7" s="540">
        <v>82</v>
      </c>
      <c r="H7" s="540"/>
      <c r="I7" t="s">
        <v>92</v>
      </c>
      <c r="J7" s="139"/>
      <c r="K7" s="196"/>
      <c r="L7" s="192" t="str">
        <f>IF(K7="","",CONCATENATE(VLOOKUP($Y$3,$AB$1:$AK$1,K7)," pont"))</f>
        <v/>
      </c>
      <c r="M7" s="197"/>
      <c r="P7" s="183" t="s">
        <v>65</v>
      </c>
      <c r="Q7" s="184" t="s">
        <v>53</v>
      </c>
      <c r="R7" s="184" t="s">
        <v>63</v>
      </c>
      <c r="Y7" s="190"/>
      <c r="Z7" s="190"/>
      <c r="AA7" s="190" t="s">
        <v>71</v>
      </c>
      <c r="AB7" s="184">
        <v>25</v>
      </c>
      <c r="AC7" s="184">
        <v>15</v>
      </c>
      <c r="AD7" s="184">
        <v>13</v>
      </c>
      <c r="AE7" s="184">
        <v>8</v>
      </c>
      <c r="AF7" s="184">
        <v>6</v>
      </c>
      <c r="AG7" s="184">
        <v>4</v>
      </c>
      <c r="AH7" s="184">
        <v>3</v>
      </c>
      <c r="AI7" s="184">
        <v>2</v>
      </c>
      <c r="AJ7" s="184">
        <v>1</v>
      </c>
      <c r="AK7" s="184">
        <v>0</v>
      </c>
    </row>
    <row r="8" spans="1:37" x14ac:dyDescent="0.25">
      <c r="A8" s="154"/>
      <c r="B8" s="179"/>
      <c r="C8" s="181"/>
      <c r="D8" s="181"/>
      <c r="E8" s="181"/>
      <c r="F8" s="181"/>
      <c r="G8" s="181"/>
      <c r="H8" s="181"/>
      <c r="I8" s="181"/>
      <c r="J8" s="139"/>
      <c r="K8" s="154"/>
      <c r="L8" s="154"/>
      <c r="M8" s="198"/>
      <c r="P8" s="185" t="s">
        <v>66</v>
      </c>
      <c r="Q8" s="186" t="s">
        <v>55</v>
      </c>
      <c r="R8" s="186" t="s">
        <v>64</v>
      </c>
      <c r="Y8" s="190"/>
      <c r="Z8" s="190"/>
      <c r="AA8" s="190" t="s">
        <v>72</v>
      </c>
      <c r="AB8" s="184">
        <v>15</v>
      </c>
      <c r="AC8" s="184">
        <v>10</v>
      </c>
      <c r="AD8" s="184">
        <v>7</v>
      </c>
      <c r="AE8" s="184">
        <v>5</v>
      </c>
      <c r="AF8" s="184">
        <v>4</v>
      </c>
      <c r="AG8" s="184">
        <v>3</v>
      </c>
      <c r="AH8" s="184">
        <v>2</v>
      </c>
      <c r="AI8" s="184">
        <v>1</v>
      </c>
      <c r="AJ8" s="184">
        <v>0</v>
      </c>
      <c r="AK8" s="184">
        <v>0</v>
      </c>
    </row>
    <row r="9" spans="1:37" x14ac:dyDescent="0.25">
      <c r="A9" s="154" t="s">
        <v>44</v>
      </c>
      <c r="B9" s="178"/>
      <c r="C9" s="180" t="str">
        <f>IF($B9="","",VLOOKUP($B9,#REF!,5))</f>
        <v/>
      </c>
      <c r="D9" s="180" t="str">
        <f>IF($B9="","",VLOOKUP($B9,#REF!,15))</f>
        <v/>
      </c>
      <c r="E9" s="539" t="s">
        <v>90</v>
      </c>
      <c r="F9" s="540"/>
      <c r="G9" s="540">
        <v>136</v>
      </c>
      <c r="H9" s="540"/>
      <c r="I9" t="s">
        <v>92</v>
      </c>
      <c r="J9" s="139"/>
      <c r="K9" s="196"/>
      <c r="L9" s="192" t="str">
        <f>IF(K9="","",CONCATENATE(VLOOKUP($Y$3,$AB$1:$AK$1,K9)," pont"))</f>
        <v/>
      </c>
      <c r="M9" s="197"/>
      <c r="Y9" s="190"/>
      <c r="Z9" s="190"/>
      <c r="AA9" s="190" t="s">
        <v>73</v>
      </c>
      <c r="AB9" s="184">
        <v>10</v>
      </c>
      <c r="AC9" s="184">
        <v>6</v>
      </c>
      <c r="AD9" s="184">
        <v>4</v>
      </c>
      <c r="AE9" s="184">
        <v>2</v>
      </c>
      <c r="AF9" s="184">
        <v>1</v>
      </c>
      <c r="AG9" s="184">
        <v>0</v>
      </c>
      <c r="AH9" s="184">
        <v>0</v>
      </c>
      <c r="AI9" s="184">
        <v>0</v>
      </c>
      <c r="AJ9" s="184">
        <v>0</v>
      </c>
      <c r="AK9" s="184">
        <v>0</v>
      </c>
    </row>
    <row r="10" spans="1:37" x14ac:dyDescent="0.25">
      <c r="A10" s="154"/>
      <c r="B10" s="179"/>
      <c r="C10" s="181"/>
      <c r="D10" s="181"/>
      <c r="E10" s="181"/>
      <c r="F10" s="181"/>
      <c r="G10" s="181"/>
      <c r="H10" s="181"/>
      <c r="I10" s="181"/>
      <c r="J10" s="139"/>
      <c r="K10" s="154"/>
      <c r="L10" s="154"/>
      <c r="M10" s="198"/>
      <c r="Y10" s="190"/>
      <c r="Z10" s="190"/>
      <c r="AA10" s="190" t="s">
        <v>74</v>
      </c>
      <c r="AB10" s="184">
        <v>6</v>
      </c>
      <c r="AC10" s="184">
        <v>3</v>
      </c>
      <c r="AD10" s="184">
        <v>2</v>
      </c>
      <c r="AE10" s="184">
        <v>1</v>
      </c>
      <c r="AF10" s="184">
        <v>0</v>
      </c>
      <c r="AG10" s="184">
        <v>0</v>
      </c>
      <c r="AH10" s="184">
        <v>0</v>
      </c>
      <c r="AI10" s="184">
        <v>0</v>
      </c>
      <c r="AJ10" s="184">
        <v>0</v>
      </c>
      <c r="AK10" s="184">
        <v>0</v>
      </c>
    </row>
    <row r="11" spans="1:37" x14ac:dyDescent="0.25">
      <c r="A11" s="154" t="s">
        <v>45</v>
      </c>
      <c r="B11" s="178"/>
      <c r="C11" s="180" t="str">
        <f>IF($B11="","",VLOOKUP($B11,#REF!,5))</f>
        <v/>
      </c>
      <c r="D11" s="180" t="str">
        <f>IF($B11="","",VLOOKUP($B11,#REF!,15))</f>
        <v/>
      </c>
      <c r="E11" s="539" t="s">
        <v>89</v>
      </c>
      <c r="F11" s="540"/>
      <c r="G11" s="540">
        <v>149</v>
      </c>
      <c r="H11" s="540"/>
      <c r="I11" t="s">
        <v>92</v>
      </c>
      <c r="J11" s="139"/>
      <c r="K11" s="196"/>
      <c r="L11" s="192" t="str">
        <f>IF(K11="","",CONCATENATE(VLOOKUP($Y$3,$AB$1:$AK$1,K11)," pont"))</f>
        <v/>
      </c>
      <c r="M11" s="197"/>
      <c r="Y11" s="190"/>
      <c r="Z11" s="190"/>
      <c r="AA11" s="190" t="s">
        <v>79</v>
      </c>
      <c r="AB11" s="184">
        <v>3</v>
      </c>
      <c r="AC11" s="184">
        <v>2</v>
      </c>
      <c r="AD11" s="184">
        <v>1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184">
        <v>0</v>
      </c>
      <c r="AK11" s="184">
        <v>0</v>
      </c>
    </row>
    <row r="12" spans="1:37" x14ac:dyDescent="0.25">
      <c r="A12" s="154"/>
      <c r="B12" s="179"/>
      <c r="C12" s="181"/>
      <c r="D12" s="181"/>
      <c r="E12" s="181"/>
      <c r="F12" s="181"/>
      <c r="G12" s="181"/>
      <c r="H12" s="181"/>
      <c r="I12" s="181"/>
      <c r="J12" s="139"/>
      <c r="K12" s="176"/>
      <c r="L12" s="176"/>
      <c r="M12" s="198"/>
      <c r="Y12" s="190"/>
      <c r="Z12" s="190"/>
      <c r="AA12" s="190" t="s">
        <v>75</v>
      </c>
      <c r="AB12" s="194">
        <v>0</v>
      </c>
      <c r="AC12" s="194">
        <v>0</v>
      </c>
      <c r="AD12" s="194">
        <v>0</v>
      </c>
      <c r="AE12" s="194">
        <v>0</v>
      </c>
      <c r="AF12" s="194">
        <v>0</v>
      </c>
      <c r="AG12" s="194">
        <v>0</v>
      </c>
      <c r="AH12" s="194">
        <v>0</v>
      </c>
      <c r="AI12" s="194">
        <v>0</v>
      </c>
      <c r="AJ12" s="194">
        <v>0</v>
      </c>
      <c r="AK12" s="194">
        <v>0</v>
      </c>
    </row>
    <row r="13" spans="1:37" x14ac:dyDescent="0.25">
      <c r="A13" s="154" t="s">
        <v>50</v>
      </c>
      <c r="B13" s="178"/>
      <c r="C13" s="180" t="str">
        <f>IF($B13="","",VLOOKUP($B13,#REF!,5))</f>
        <v/>
      </c>
      <c r="D13" s="180" t="str">
        <f>IF($B13="","",VLOOKUP($B13,#REF!,15))</f>
        <v/>
      </c>
      <c r="E13" s="539" t="s">
        <v>88</v>
      </c>
      <c r="F13" s="540"/>
      <c r="G13" s="540" t="str">
        <f>IF($B13="","",VLOOKUP($B13,#REF!,3))</f>
        <v/>
      </c>
      <c r="H13" s="540"/>
      <c r="I13" t="s">
        <v>92</v>
      </c>
      <c r="J13" s="139"/>
      <c r="K13" s="196"/>
      <c r="L13" s="192" t="str">
        <f>IF(K13="","",CONCATENATE(VLOOKUP($Y$3,$AB$1:$AK$1,K13)," pont"))</f>
        <v/>
      </c>
      <c r="M13" s="197"/>
      <c r="Y13" s="190"/>
      <c r="Z13" s="190"/>
      <c r="AA13" s="190" t="s">
        <v>76</v>
      </c>
      <c r="AB13" s="194">
        <v>0</v>
      </c>
      <c r="AC13" s="194">
        <v>0</v>
      </c>
      <c r="AD13" s="194">
        <v>0</v>
      </c>
      <c r="AE13" s="194">
        <v>0</v>
      </c>
      <c r="AF13" s="194">
        <v>0</v>
      </c>
      <c r="AG13" s="194">
        <v>0</v>
      </c>
      <c r="AH13" s="194">
        <v>0</v>
      </c>
      <c r="AI13" s="194">
        <v>0</v>
      </c>
      <c r="AJ13" s="194">
        <v>0</v>
      </c>
      <c r="AK13" s="194">
        <v>0</v>
      </c>
    </row>
    <row r="14" spans="1:37" x14ac:dyDescent="0.25">
      <c r="A14" s="154"/>
      <c r="B14" s="179"/>
      <c r="C14" s="181"/>
      <c r="D14" s="181"/>
      <c r="E14" s="181"/>
      <c r="F14" s="181"/>
      <c r="G14" s="181"/>
      <c r="H14" s="181"/>
      <c r="I14" s="181"/>
      <c r="J14" s="139"/>
      <c r="K14" s="154"/>
      <c r="L14" s="154"/>
      <c r="M14" s="198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</row>
    <row r="15" spans="1:37" x14ac:dyDescent="0.25">
      <c r="A15" s="154" t="s">
        <v>51</v>
      </c>
      <c r="B15" s="178"/>
      <c r="C15" s="180" t="str">
        <f>IF($B15="","",VLOOKUP($B15,#REF!,5))</f>
        <v/>
      </c>
      <c r="D15" s="180" t="str">
        <f>IF($B15="","",VLOOKUP($B15,#REF!,15))</f>
        <v/>
      </c>
      <c r="E15" s="539" t="s">
        <v>91</v>
      </c>
      <c r="F15" s="540"/>
      <c r="G15" s="540" t="str">
        <f>IF($B15="","",VLOOKUP($B15,#REF!,3))</f>
        <v/>
      </c>
      <c r="H15" s="540"/>
      <c r="I15" t="s">
        <v>92</v>
      </c>
      <c r="J15" s="139"/>
      <c r="K15" s="196"/>
      <c r="L15" s="192" t="str">
        <f>IF(K15="","",CONCATENATE(VLOOKUP($Y$3,$AB$1:$AK$1,K15)," pont"))</f>
        <v/>
      </c>
      <c r="M15" s="197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</row>
    <row r="16" spans="1:37" x14ac:dyDescent="0.25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Y16" s="190"/>
      <c r="Z16" s="190"/>
      <c r="AA16" s="190" t="s">
        <v>43</v>
      </c>
      <c r="AB16" s="190">
        <v>300</v>
      </c>
      <c r="AC16" s="190">
        <v>250</v>
      </c>
      <c r="AD16" s="190">
        <v>220</v>
      </c>
      <c r="AE16" s="190">
        <v>180</v>
      </c>
      <c r="AF16" s="190">
        <v>160</v>
      </c>
      <c r="AG16" s="190">
        <v>150</v>
      </c>
      <c r="AH16" s="190">
        <v>140</v>
      </c>
      <c r="AI16" s="190">
        <v>130</v>
      </c>
      <c r="AJ16" s="190">
        <v>120</v>
      </c>
      <c r="AK16" s="190">
        <v>110</v>
      </c>
    </row>
    <row r="17" spans="1:37" x14ac:dyDescent="0.25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Y17" s="190"/>
      <c r="Z17" s="190"/>
      <c r="AA17" s="190" t="s">
        <v>67</v>
      </c>
      <c r="AB17" s="190">
        <v>250</v>
      </c>
      <c r="AC17" s="190">
        <v>200</v>
      </c>
      <c r="AD17" s="190">
        <v>160</v>
      </c>
      <c r="AE17" s="190">
        <v>140</v>
      </c>
      <c r="AF17" s="190">
        <v>120</v>
      </c>
      <c r="AG17" s="190">
        <v>110</v>
      </c>
      <c r="AH17" s="190">
        <v>100</v>
      </c>
      <c r="AI17" s="190">
        <v>90</v>
      </c>
      <c r="AJ17" s="190">
        <v>80</v>
      </c>
      <c r="AK17" s="190">
        <v>70</v>
      </c>
    </row>
    <row r="18" spans="1:37" ht="18.75" customHeight="1" x14ac:dyDescent="0.25">
      <c r="A18" s="139"/>
      <c r="B18" s="546"/>
      <c r="C18" s="546"/>
      <c r="D18" s="547" t="str">
        <f>E7</f>
        <v>Varga-Karádi Benjámin</v>
      </c>
      <c r="E18" s="547"/>
      <c r="F18" s="547" t="str">
        <f>E9</f>
        <v>Neuvirth Dávid</v>
      </c>
      <c r="G18" s="547"/>
      <c r="H18" s="547" t="str">
        <f>E11</f>
        <v>Gróf Zétény</v>
      </c>
      <c r="I18" s="547"/>
      <c r="J18" s="547" t="str">
        <f>E13</f>
        <v>Kopácsi Martin</v>
      </c>
      <c r="K18" s="547"/>
      <c r="L18" s="547" t="str">
        <f>E15</f>
        <v>Simon Ákos</v>
      </c>
      <c r="M18" s="547"/>
      <c r="Y18" s="190"/>
      <c r="Z18" s="190"/>
      <c r="AA18" s="190" t="s">
        <v>68</v>
      </c>
      <c r="AB18" s="190">
        <v>200</v>
      </c>
      <c r="AC18" s="190">
        <v>150</v>
      </c>
      <c r="AD18" s="190">
        <v>130</v>
      </c>
      <c r="AE18" s="190">
        <v>110</v>
      </c>
      <c r="AF18" s="190">
        <v>95</v>
      </c>
      <c r="AG18" s="190">
        <v>80</v>
      </c>
      <c r="AH18" s="190">
        <v>70</v>
      </c>
      <c r="AI18" s="190">
        <v>60</v>
      </c>
      <c r="AJ18" s="190">
        <v>55</v>
      </c>
      <c r="AK18" s="190">
        <v>50</v>
      </c>
    </row>
    <row r="19" spans="1:37" ht="18.75" customHeight="1" x14ac:dyDescent="0.25">
      <c r="A19" s="182" t="s">
        <v>43</v>
      </c>
      <c r="B19" s="543" t="str">
        <f>E7</f>
        <v>Varga-Karádi Benjámin</v>
      </c>
      <c r="C19" s="543"/>
      <c r="D19" s="544"/>
      <c r="E19" s="544"/>
      <c r="F19" s="545"/>
      <c r="G19" s="545"/>
      <c r="H19" s="545"/>
      <c r="I19" s="545"/>
      <c r="J19" s="547"/>
      <c r="K19" s="547"/>
      <c r="L19" s="547"/>
      <c r="M19" s="547"/>
      <c r="Y19" s="190"/>
      <c r="Z19" s="190"/>
      <c r="AA19" s="190" t="s">
        <v>69</v>
      </c>
      <c r="AB19" s="190">
        <v>150</v>
      </c>
      <c r="AC19" s="190">
        <v>120</v>
      </c>
      <c r="AD19" s="190">
        <v>100</v>
      </c>
      <c r="AE19" s="190">
        <v>80</v>
      </c>
      <c r="AF19" s="190">
        <v>70</v>
      </c>
      <c r="AG19" s="190">
        <v>60</v>
      </c>
      <c r="AH19" s="190">
        <v>55</v>
      </c>
      <c r="AI19" s="190">
        <v>50</v>
      </c>
      <c r="AJ19" s="190">
        <v>45</v>
      </c>
      <c r="AK19" s="190">
        <v>40</v>
      </c>
    </row>
    <row r="20" spans="1:37" ht="18.75" customHeight="1" x14ac:dyDescent="0.25">
      <c r="A20" s="182" t="s">
        <v>44</v>
      </c>
      <c r="B20" s="543" t="str">
        <f>E9</f>
        <v>Neuvirth Dávid</v>
      </c>
      <c r="C20" s="543"/>
      <c r="D20" s="545"/>
      <c r="E20" s="545"/>
      <c r="F20" s="544"/>
      <c r="G20" s="544"/>
      <c r="H20" s="545"/>
      <c r="I20" s="545"/>
      <c r="J20" s="545"/>
      <c r="K20" s="545"/>
      <c r="L20" s="547"/>
      <c r="M20" s="547"/>
      <c r="Y20" s="190"/>
      <c r="Z20" s="190"/>
      <c r="AA20" s="190" t="s">
        <v>70</v>
      </c>
      <c r="AB20" s="190">
        <v>120</v>
      </c>
      <c r="AC20" s="190">
        <v>90</v>
      </c>
      <c r="AD20" s="190">
        <v>65</v>
      </c>
      <c r="AE20" s="190">
        <v>55</v>
      </c>
      <c r="AF20" s="190">
        <v>50</v>
      </c>
      <c r="AG20" s="190">
        <v>45</v>
      </c>
      <c r="AH20" s="190">
        <v>40</v>
      </c>
      <c r="AI20" s="190">
        <v>35</v>
      </c>
      <c r="AJ20" s="190">
        <v>25</v>
      </c>
      <c r="AK20" s="190">
        <v>20</v>
      </c>
    </row>
    <row r="21" spans="1:37" ht="18.75" customHeight="1" x14ac:dyDescent="0.25">
      <c r="A21" s="182" t="s">
        <v>45</v>
      </c>
      <c r="B21" s="543" t="str">
        <f>E11</f>
        <v>Gróf Zétény</v>
      </c>
      <c r="C21" s="543"/>
      <c r="D21" s="545"/>
      <c r="E21" s="545"/>
      <c r="F21" s="545"/>
      <c r="G21" s="545"/>
      <c r="H21" s="544"/>
      <c r="I21" s="544"/>
      <c r="J21" s="545"/>
      <c r="K21" s="545"/>
      <c r="L21" s="545"/>
      <c r="M21" s="545"/>
      <c r="Y21" s="190"/>
      <c r="Z21" s="190"/>
      <c r="AA21" s="190" t="s">
        <v>71</v>
      </c>
      <c r="AB21" s="190">
        <v>90</v>
      </c>
      <c r="AC21" s="190">
        <v>60</v>
      </c>
      <c r="AD21" s="190">
        <v>45</v>
      </c>
      <c r="AE21" s="190">
        <v>34</v>
      </c>
      <c r="AF21" s="190">
        <v>27</v>
      </c>
      <c r="AG21" s="190">
        <v>22</v>
      </c>
      <c r="AH21" s="190">
        <v>18</v>
      </c>
      <c r="AI21" s="190">
        <v>15</v>
      </c>
      <c r="AJ21" s="190">
        <v>12</v>
      </c>
      <c r="AK21" s="190">
        <v>9</v>
      </c>
    </row>
    <row r="22" spans="1:37" ht="18.75" customHeight="1" x14ac:dyDescent="0.25">
      <c r="A22" s="182" t="s">
        <v>50</v>
      </c>
      <c r="B22" s="543" t="str">
        <f>E13</f>
        <v>Kopácsi Martin</v>
      </c>
      <c r="C22" s="543"/>
      <c r="D22" s="545"/>
      <c r="E22" s="545"/>
      <c r="F22" s="545"/>
      <c r="G22" s="545"/>
      <c r="H22" s="547"/>
      <c r="I22" s="547"/>
      <c r="J22" s="544"/>
      <c r="K22" s="544"/>
      <c r="L22" s="545"/>
      <c r="M22" s="545"/>
      <c r="Y22" s="190"/>
      <c r="Z22" s="190"/>
      <c r="AA22" s="190" t="s">
        <v>72</v>
      </c>
      <c r="AB22" s="190">
        <v>60</v>
      </c>
      <c r="AC22" s="190">
        <v>40</v>
      </c>
      <c r="AD22" s="190">
        <v>30</v>
      </c>
      <c r="AE22" s="190">
        <v>20</v>
      </c>
      <c r="AF22" s="190">
        <v>18</v>
      </c>
      <c r="AG22" s="190">
        <v>15</v>
      </c>
      <c r="AH22" s="190">
        <v>12</v>
      </c>
      <c r="AI22" s="190">
        <v>10</v>
      </c>
      <c r="AJ22" s="190">
        <v>8</v>
      </c>
      <c r="AK22" s="190">
        <v>6</v>
      </c>
    </row>
    <row r="23" spans="1:37" ht="18.75" customHeight="1" x14ac:dyDescent="0.25">
      <c r="A23" s="182" t="s">
        <v>51</v>
      </c>
      <c r="B23" s="543" t="str">
        <f>E15</f>
        <v>Simon Ákos</v>
      </c>
      <c r="C23" s="543"/>
      <c r="D23" s="545"/>
      <c r="E23" s="545"/>
      <c r="F23" s="545"/>
      <c r="G23" s="545"/>
      <c r="H23" s="547"/>
      <c r="I23" s="547"/>
      <c r="J23" s="547"/>
      <c r="K23" s="547"/>
      <c r="L23" s="544"/>
      <c r="M23" s="544"/>
      <c r="Y23" s="190"/>
      <c r="Z23" s="190"/>
      <c r="AA23" s="190" t="s">
        <v>73</v>
      </c>
      <c r="AB23" s="190">
        <v>40</v>
      </c>
      <c r="AC23" s="190">
        <v>25</v>
      </c>
      <c r="AD23" s="190">
        <v>18</v>
      </c>
      <c r="AE23" s="190">
        <v>13</v>
      </c>
      <c r="AF23" s="190">
        <v>8</v>
      </c>
      <c r="AG23" s="190">
        <v>7</v>
      </c>
      <c r="AH23" s="190">
        <v>6</v>
      </c>
      <c r="AI23" s="190">
        <v>5</v>
      </c>
      <c r="AJ23" s="190">
        <v>4</v>
      </c>
      <c r="AK23" s="190">
        <v>3</v>
      </c>
    </row>
    <row r="24" spans="1:37" x14ac:dyDescent="0.25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Y24" s="190"/>
      <c r="Z24" s="190"/>
      <c r="AA24" s="190" t="s">
        <v>74</v>
      </c>
      <c r="AB24" s="190">
        <v>25</v>
      </c>
      <c r="AC24" s="190">
        <v>15</v>
      </c>
      <c r="AD24" s="190">
        <v>13</v>
      </c>
      <c r="AE24" s="190">
        <v>7</v>
      </c>
      <c r="AF24" s="190">
        <v>6</v>
      </c>
      <c r="AG24" s="190">
        <v>5</v>
      </c>
      <c r="AH24" s="190">
        <v>4</v>
      </c>
      <c r="AI24" s="190">
        <v>3</v>
      </c>
      <c r="AJ24" s="190">
        <v>2</v>
      </c>
      <c r="AK24" s="190">
        <v>1</v>
      </c>
    </row>
    <row r="25" spans="1:37" x14ac:dyDescent="0.25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Y25" s="190"/>
      <c r="Z25" s="190"/>
      <c r="AA25" s="190" t="s">
        <v>79</v>
      </c>
      <c r="AB25" s="190">
        <v>15</v>
      </c>
      <c r="AC25" s="190">
        <v>10</v>
      </c>
      <c r="AD25" s="190">
        <v>8</v>
      </c>
      <c r="AE25" s="190">
        <v>4</v>
      </c>
      <c r="AF25" s="190">
        <v>3</v>
      </c>
      <c r="AG25" s="190">
        <v>2</v>
      </c>
      <c r="AH25" s="190">
        <v>1</v>
      </c>
      <c r="AI25" s="190">
        <v>0</v>
      </c>
      <c r="AJ25" s="190">
        <v>0</v>
      </c>
      <c r="AK25" s="190">
        <v>0</v>
      </c>
    </row>
    <row r="26" spans="1:37" x14ac:dyDescent="0.25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Y26" s="190"/>
      <c r="Z26" s="190"/>
      <c r="AA26" s="190" t="s">
        <v>75</v>
      </c>
      <c r="AB26" s="190">
        <v>10</v>
      </c>
      <c r="AC26" s="190">
        <v>6</v>
      </c>
      <c r="AD26" s="190">
        <v>4</v>
      </c>
      <c r="AE26" s="190">
        <v>2</v>
      </c>
      <c r="AF26" s="190">
        <v>1</v>
      </c>
      <c r="AG26" s="190">
        <v>0</v>
      </c>
      <c r="AH26" s="190">
        <v>0</v>
      </c>
      <c r="AI26" s="190">
        <v>0</v>
      </c>
      <c r="AJ26" s="190">
        <v>0</v>
      </c>
      <c r="AK26" s="190">
        <v>0</v>
      </c>
    </row>
    <row r="27" spans="1:37" x14ac:dyDescent="0.25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Y27" s="190"/>
      <c r="Z27" s="190"/>
      <c r="AA27" s="190" t="s">
        <v>76</v>
      </c>
      <c r="AB27" s="190">
        <v>3</v>
      </c>
      <c r="AC27" s="190">
        <v>2</v>
      </c>
      <c r="AD27" s="190">
        <v>1</v>
      </c>
      <c r="AE27" s="190">
        <v>0</v>
      </c>
      <c r="AF27" s="190">
        <v>0</v>
      </c>
      <c r="AG27" s="190">
        <v>0</v>
      </c>
      <c r="AH27" s="190">
        <v>0</v>
      </c>
      <c r="AI27" s="190">
        <v>0</v>
      </c>
      <c r="AJ27" s="190">
        <v>0</v>
      </c>
      <c r="AK27" s="190">
        <v>0</v>
      </c>
    </row>
    <row r="28" spans="1:37" x14ac:dyDescent="0.25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1:37" x14ac:dyDescent="0.25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1:37" x14ac:dyDescent="0.25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</row>
    <row r="31" spans="1:37" x14ac:dyDescent="0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  <row r="32" spans="1:37" x14ac:dyDescent="0.25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8"/>
      <c r="M32" s="139"/>
    </row>
    <row r="33" spans="1:18" x14ac:dyDescent="0.25">
      <c r="A33" s="87" t="s">
        <v>26</v>
      </c>
      <c r="B33" s="88"/>
      <c r="C33" s="118"/>
      <c r="D33" s="159" t="s">
        <v>0</v>
      </c>
      <c r="E33" s="160" t="s">
        <v>28</v>
      </c>
      <c r="F33" s="174"/>
      <c r="G33" s="159" t="s">
        <v>0</v>
      </c>
      <c r="H33" s="160" t="s">
        <v>35</v>
      </c>
      <c r="I33" s="97"/>
      <c r="J33" s="160" t="s">
        <v>36</v>
      </c>
      <c r="K33" s="96" t="s">
        <v>37</v>
      </c>
      <c r="L33" s="31"/>
      <c r="M33" s="174"/>
      <c r="P33" s="155"/>
      <c r="Q33" s="155"/>
      <c r="R33" s="156"/>
    </row>
    <row r="34" spans="1:18" x14ac:dyDescent="0.25">
      <c r="A34" s="143" t="s">
        <v>27</v>
      </c>
      <c r="B34" s="144"/>
      <c r="C34" s="145"/>
      <c r="D34" s="161"/>
      <c r="E34" s="549"/>
      <c r="F34" s="549"/>
      <c r="G34" s="168" t="s">
        <v>1</v>
      </c>
      <c r="H34" s="144"/>
      <c r="I34" s="162"/>
      <c r="J34" s="169"/>
      <c r="K34" s="141" t="s">
        <v>29</v>
      </c>
      <c r="L34" s="175"/>
      <c r="M34" s="163"/>
      <c r="P34" s="157"/>
      <c r="Q34" s="157"/>
      <c r="R34" s="90"/>
    </row>
    <row r="35" spans="1:18" x14ac:dyDescent="0.25">
      <c r="A35" s="146" t="s">
        <v>34</v>
      </c>
      <c r="B35" s="95"/>
      <c r="C35" s="147"/>
      <c r="D35" s="164"/>
      <c r="E35" s="548"/>
      <c r="F35" s="548"/>
      <c r="G35" s="170" t="s">
        <v>2</v>
      </c>
      <c r="H35" s="78"/>
      <c r="I35" s="140"/>
      <c r="J35" s="79"/>
      <c r="K35" s="172"/>
      <c r="L35" s="138"/>
      <c r="M35" s="167"/>
      <c r="P35" s="90"/>
      <c r="Q35" s="89"/>
      <c r="R35" s="90"/>
    </row>
    <row r="36" spans="1:18" x14ac:dyDescent="0.25">
      <c r="A36" s="110"/>
      <c r="B36" s="111"/>
      <c r="C36" s="112"/>
      <c r="D36" s="164"/>
      <c r="E36" s="80"/>
      <c r="F36" s="139"/>
      <c r="G36" s="170" t="s">
        <v>3</v>
      </c>
      <c r="H36" s="78"/>
      <c r="I36" s="140"/>
      <c r="J36" s="79"/>
      <c r="K36" s="141" t="s">
        <v>30</v>
      </c>
      <c r="L36" s="175"/>
      <c r="M36" s="163"/>
      <c r="P36" s="157"/>
      <c r="Q36" s="157"/>
      <c r="R36" s="90"/>
    </row>
    <row r="37" spans="1:18" x14ac:dyDescent="0.25">
      <c r="A37" s="91"/>
      <c r="B37" s="86"/>
      <c r="C37" s="92"/>
      <c r="D37" s="164"/>
      <c r="E37" s="80"/>
      <c r="F37" s="139"/>
      <c r="G37" s="170" t="s">
        <v>4</v>
      </c>
      <c r="H37" s="78"/>
      <c r="I37" s="140"/>
      <c r="J37" s="79"/>
      <c r="K37" s="173"/>
      <c r="L37" s="139"/>
      <c r="M37" s="165"/>
      <c r="P37" s="90"/>
      <c r="Q37" s="89"/>
      <c r="R37" s="90"/>
    </row>
    <row r="38" spans="1:18" x14ac:dyDescent="0.25">
      <c r="A38" s="99"/>
      <c r="B38" s="113"/>
      <c r="C38" s="117"/>
      <c r="D38" s="164"/>
      <c r="E38" s="80"/>
      <c r="F38" s="139"/>
      <c r="G38" s="170" t="s">
        <v>5</v>
      </c>
      <c r="H38" s="78"/>
      <c r="I38" s="140"/>
      <c r="J38" s="79"/>
      <c r="K38" s="146"/>
      <c r="L38" s="138"/>
      <c r="M38" s="167"/>
      <c r="P38" s="90"/>
      <c r="Q38" s="89"/>
      <c r="R38" s="90"/>
    </row>
    <row r="39" spans="1:18" x14ac:dyDescent="0.25">
      <c r="A39" s="100"/>
      <c r="B39" s="21"/>
      <c r="C39" s="92"/>
      <c r="D39" s="164"/>
      <c r="E39" s="80"/>
      <c r="F39" s="139"/>
      <c r="G39" s="170" t="s">
        <v>6</v>
      </c>
      <c r="H39" s="78"/>
      <c r="I39" s="140"/>
      <c r="J39" s="79"/>
      <c r="K39" s="141" t="s">
        <v>25</v>
      </c>
      <c r="L39" s="175"/>
      <c r="M39" s="163"/>
      <c r="P39" s="157"/>
      <c r="Q39" s="157"/>
      <c r="R39" s="90"/>
    </row>
    <row r="40" spans="1:18" x14ac:dyDescent="0.25">
      <c r="A40" s="100"/>
      <c r="B40" s="21"/>
      <c r="C40" s="108"/>
      <c r="D40" s="164"/>
      <c r="E40" s="80"/>
      <c r="F40" s="139"/>
      <c r="G40" s="170" t="s">
        <v>7</v>
      </c>
      <c r="H40" s="78"/>
      <c r="I40" s="140"/>
      <c r="J40" s="79"/>
      <c r="K40" s="173"/>
      <c r="L40" s="139"/>
      <c r="M40" s="165"/>
      <c r="P40" s="90"/>
      <c r="Q40" s="89"/>
      <c r="R40" s="90"/>
    </row>
    <row r="41" spans="1:18" x14ac:dyDescent="0.25">
      <c r="A41" s="101"/>
      <c r="B41" s="98"/>
      <c r="C41" s="109"/>
      <c r="D41" s="166"/>
      <c r="E41" s="93"/>
      <c r="F41" s="138"/>
      <c r="G41" s="171" t="s">
        <v>8</v>
      </c>
      <c r="H41" s="95"/>
      <c r="I41" s="142"/>
      <c r="J41" s="94"/>
      <c r="K41" s="146">
        <f>L4</f>
        <v>0</v>
      </c>
      <c r="L41" s="138"/>
      <c r="M41" s="167"/>
      <c r="P41" s="90"/>
      <c r="Q41" s="89"/>
      <c r="R41" s="158"/>
    </row>
  </sheetData>
  <mergeCells count="50">
    <mergeCell ref="L18:M18"/>
    <mergeCell ref="L23:M23"/>
    <mergeCell ref="L19:M19"/>
    <mergeCell ref="L20:M20"/>
    <mergeCell ref="L21:M21"/>
    <mergeCell ref="L22:M22"/>
    <mergeCell ref="B23:C23"/>
    <mergeCell ref="D23:E23"/>
    <mergeCell ref="F23:G23"/>
    <mergeCell ref="H23:I23"/>
    <mergeCell ref="J22:K22"/>
    <mergeCell ref="B22:C22"/>
    <mergeCell ref="H22:I22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E9:F9"/>
    <mergeCell ref="G9:H9"/>
    <mergeCell ref="E11:F11"/>
    <mergeCell ref="G11:H11"/>
    <mergeCell ref="A1:F1"/>
    <mergeCell ref="A4:C4"/>
    <mergeCell ref="E7:F7"/>
    <mergeCell ref="G7:H7"/>
  </mergeCells>
  <phoneticPr fontId="41" type="noConversion"/>
  <conditionalFormatting sqref="E7 E9 E11 E13 E15">
    <cfRule type="cellIs" dxfId="177" priority="1" stopIfTrue="1" operator="equal">
      <formula>"Bye"</formula>
    </cfRule>
  </conditionalFormatting>
  <conditionalFormatting sqref="R41">
    <cfRule type="expression" dxfId="17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FFEB-148B-4C7C-B596-8D67BF13D9CF}">
  <sheetPr>
    <tabColor indexed="11"/>
    <pageSetUpPr fitToPage="1"/>
  </sheetPr>
  <dimension ref="A1:AK57"/>
  <sheetViews>
    <sheetView showGridLines="0" showZeros="0" workbookViewId="0">
      <selection activeCell="V18" sqref="V18"/>
    </sheetView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44140625" style="287" customWidth="1"/>
    <col min="5" max="5" width="4.33203125" style="287" customWidth="1"/>
    <col min="6" max="6" width="18.6640625" style="287" customWidth="1"/>
    <col min="7" max="7" width="2.6640625" style="287" customWidth="1"/>
    <col min="8" max="8" width="18.6640625" style="287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34" width="9.109375" style="287" hidden="1" customWidth="1"/>
    <col min="35" max="37" width="9.109375" style="287" customWidth="1"/>
    <col min="38" max="16384" width="8.77734375" style="287"/>
  </cols>
  <sheetData>
    <row r="1" spans="1:37" s="209" customFormat="1" ht="21.75" customHeight="1" x14ac:dyDescent="0.25">
      <c r="A1" s="370" t="str">
        <f>[1]Altalanos!$A$6</f>
        <v>OB</v>
      </c>
      <c r="B1" s="370"/>
      <c r="C1" s="371"/>
      <c r="D1" s="371"/>
      <c r="E1" s="371"/>
      <c r="F1" s="371"/>
      <c r="G1" s="371"/>
      <c r="H1" s="370"/>
      <c r="I1" s="372"/>
      <c r="J1" s="373"/>
      <c r="K1" s="374" t="s">
        <v>33</v>
      </c>
      <c r="L1" s="375"/>
      <c r="M1" s="376"/>
      <c r="N1" s="373"/>
      <c r="O1" s="373" t="s">
        <v>104</v>
      </c>
      <c r="P1" s="373"/>
      <c r="Q1" s="371"/>
      <c r="R1" s="373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</row>
    <row r="2" spans="1:37" s="218" customFormat="1" x14ac:dyDescent="0.25">
      <c r="A2" s="377" t="s">
        <v>32</v>
      </c>
      <c r="B2" s="378"/>
      <c r="C2" s="378"/>
      <c r="D2" s="378"/>
      <c r="E2" s="378">
        <f>[1]Altalanos!$A$8</f>
        <v>0</v>
      </c>
      <c r="F2" s="378"/>
      <c r="G2" s="379"/>
      <c r="H2" s="380"/>
      <c r="I2" s="380"/>
      <c r="J2" s="381"/>
      <c r="K2" s="375"/>
      <c r="L2" s="375"/>
      <c r="M2" s="375"/>
      <c r="N2" s="381"/>
      <c r="O2" s="380"/>
      <c r="P2" s="381"/>
      <c r="Q2" s="380"/>
      <c r="R2" s="381"/>
      <c r="Y2" s="220"/>
      <c r="Z2" s="221"/>
      <c r="AA2" s="382" t="s">
        <v>43</v>
      </c>
      <c r="AB2" s="383">
        <v>300</v>
      </c>
      <c r="AC2" s="383">
        <v>250</v>
      </c>
      <c r="AD2" s="383">
        <v>200</v>
      </c>
      <c r="AE2" s="383">
        <v>150</v>
      </c>
      <c r="AF2" s="383">
        <v>120</v>
      </c>
      <c r="AG2" s="383">
        <v>90</v>
      </c>
      <c r="AH2" s="383">
        <v>40</v>
      </c>
      <c r="AI2" s="287"/>
      <c r="AJ2" s="287"/>
      <c r="AK2" s="287"/>
    </row>
    <row r="3" spans="1:37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Y3" s="221" t="str">
        <f>IF(K4="OB","A",IF(K4="IX","W",IF(K4="","",K4)))</f>
        <v/>
      </c>
      <c r="Z3" s="221"/>
      <c r="AA3" s="382" t="s">
        <v>44</v>
      </c>
      <c r="AB3" s="383">
        <v>280</v>
      </c>
      <c r="AC3" s="383">
        <v>230</v>
      </c>
      <c r="AD3" s="383">
        <v>180</v>
      </c>
      <c r="AE3" s="383">
        <v>140</v>
      </c>
      <c r="AF3" s="383">
        <v>80</v>
      </c>
      <c r="AG3" s="383">
        <v>0</v>
      </c>
      <c r="AH3" s="383">
        <v>0</v>
      </c>
      <c r="AI3" s="287"/>
      <c r="AJ3" s="287"/>
      <c r="AK3" s="287"/>
    </row>
    <row r="4" spans="1:37" s="234" customFormat="1" ht="11.25" customHeight="1" thickBot="1" x14ac:dyDescent="0.3">
      <c r="A4" s="550">
        <f>[1]Altalanos!$A$10</f>
        <v>0</v>
      </c>
      <c r="B4" s="550"/>
      <c r="C4" s="550"/>
      <c r="D4" s="384"/>
      <c r="E4" s="385"/>
      <c r="F4" s="385"/>
      <c r="G4" s="385">
        <f>[1]Altalanos!$C$10</f>
        <v>0</v>
      </c>
      <c r="H4" s="386"/>
      <c r="I4" s="385"/>
      <c r="J4" s="387"/>
      <c r="K4" s="388"/>
      <c r="L4" s="387"/>
      <c r="M4" s="389"/>
      <c r="N4" s="387"/>
      <c r="O4" s="385"/>
      <c r="P4" s="387"/>
      <c r="Q4" s="385"/>
      <c r="R4" s="390">
        <f>[1]Altalanos!$E$10</f>
        <v>0</v>
      </c>
      <c r="Y4" s="221"/>
      <c r="Z4" s="221"/>
      <c r="AA4" s="382" t="s">
        <v>67</v>
      </c>
      <c r="AB4" s="383">
        <v>250</v>
      </c>
      <c r="AC4" s="383">
        <v>200</v>
      </c>
      <c r="AD4" s="383">
        <v>150</v>
      </c>
      <c r="AE4" s="383">
        <v>120</v>
      </c>
      <c r="AF4" s="383">
        <v>90</v>
      </c>
      <c r="AG4" s="383">
        <v>60</v>
      </c>
      <c r="AH4" s="383">
        <v>25</v>
      </c>
      <c r="AI4" s="287"/>
      <c r="AJ4" s="287"/>
      <c r="AK4" s="287"/>
    </row>
    <row r="5" spans="1:37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105</v>
      </c>
      <c r="N5" s="240"/>
      <c r="O5" s="237" t="s">
        <v>97</v>
      </c>
      <c r="P5" s="240"/>
      <c r="Q5" s="237" t="s">
        <v>98</v>
      </c>
      <c r="R5" s="241"/>
      <c r="Y5" s="221">
        <f>IF(OR([1]Altalanos!$A$8="F1",[1]Altalanos!$A$8="F2",[1]Altalanos!$A$8="N1",[1]Altalanos!$A$8="N2"),1,2)</f>
        <v>2</v>
      </c>
      <c r="Z5" s="221"/>
      <c r="AA5" s="382" t="s">
        <v>68</v>
      </c>
      <c r="AB5" s="383">
        <v>200</v>
      </c>
      <c r="AC5" s="383">
        <v>150</v>
      </c>
      <c r="AD5" s="383">
        <v>120</v>
      </c>
      <c r="AE5" s="383">
        <v>90</v>
      </c>
      <c r="AF5" s="383">
        <v>60</v>
      </c>
      <c r="AG5" s="383">
        <v>40</v>
      </c>
      <c r="AH5" s="383">
        <v>15</v>
      </c>
      <c r="AI5" s="287"/>
      <c r="AJ5" s="287"/>
      <c r="AK5" s="287"/>
    </row>
    <row r="6" spans="1:37" s="248" customFormat="1" ht="10.95" customHeight="1" thickBot="1" x14ac:dyDescent="0.3">
      <c r="A6" s="391"/>
      <c r="B6" s="243"/>
      <c r="C6" s="243"/>
      <c r="D6" s="243"/>
      <c r="E6" s="243"/>
      <c r="F6" s="242" t="str">
        <f>IF(Y3="","",CONCATENATE(AH1," / ",VLOOKUP(Y3,AB1:AH1,5)," pont"))</f>
        <v/>
      </c>
      <c r="G6" s="244"/>
      <c r="H6" s="245"/>
      <c r="I6" s="244"/>
      <c r="J6" s="246"/>
      <c r="K6" s="243" t="str">
        <f>IF(Y3="","",CONCATENATE(VLOOKUP(Y3,AB1:AH1,4)," pont"))</f>
        <v/>
      </c>
      <c r="L6" s="246"/>
      <c r="M6" s="243" t="str">
        <f>IF(Y3="","",CONCATENATE(VLOOKUP(Y3,AB1:AH1,3)," pont"))</f>
        <v/>
      </c>
      <c r="N6" s="246"/>
      <c r="O6" s="243" t="str">
        <f>IF(Y3="","",CONCATENATE(VLOOKUP(Y3,AB1:AH1,2)," pont"))</f>
        <v/>
      </c>
      <c r="P6" s="246"/>
      <c r="Q6" s="243" t="str">
        <f>IF(Y3="","",CONCATENATE(VLOOKUP(Y3,AB1:AH1,1)," pont"))</f>
        <v/>
      </c>
      <c r="R6" s="247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392"/>
      <c r="AJ6" s="392"/>
      <c r="AK6" s="392"/>
    </row>
    <row r="7" spans="1:37" s="266" customFormat="1" ht="13.05" customHeight="1" x14ac:dyDescent="0.25">
      <c r="A7" s="253">
        <v>1</v>
      </c>
      <c r="B7" s="393" t="str">
        <f>IF($E7="","",VLOOKUP($E7,'[1]1MD ELO'!$A$7:$O$22,14))</f>
        <v/>
      </c>
      <c r="C7" s="394" t="str">
        <f>IF($E7="","",VLOOKUP($E7,'[1]1MD ELO'!$A$7:$O$22,15))</f>
        <v/>
      </c>
      <c r="D7" s="394" t="str">
        <f>IF($E7="","",VLOOKUP($E7,'[1]1MD ELO'!$A$7:$O$22,5))</f>
        <v/>
      </c>
      <c r="E7" s="395"/>
      <c r="F7" s="396" t="s">
        <v>106</v>
      </c>
      <c r="G7" s="397" t="str">
        <f>IF($E7="","",VLOOKUP($E7,'[1]1MD ELO'!$A$7:$O$22,3))</f>
        <v/>
      </c>
      <c r="H7" s="398" t="s">
        <v>107</v>
      </c>
      <c r="I7" s="397" t="str">
        <f>IF($E7="","",VLOOKUP($E7,'[1]1MD ELO'!$A$7:$O$22,4))</f>
        <v/>
      </c>
      <c r="J7" s="399"/>
      <c r="K7" s="400"/>
      <c r="L7" s="400"/>
      <c r="M7" s="400"/>
      <c r="N7" s="400"/>
      <c r="O7" s="260"/>
      <c r="P7" s="261"/>
      <c r="Q7" s="262"/>
      <c r="R7" s="263"/>
      <c r="S7" s="264"/>
      <c r="U7" s="401" t="str">
        <f>[1]Birók!P21</f>
        <v>Bíró</v>
      </c>
      <c r="Y7" s="221"/>
      <c r="Z7" s="221"/>
      <c r="AA7" s="382" t="s">
        <v>70</v>
      </c>
      <c r="AB7" s="383">
        <v>120</v>
      </c>
      <c r="AC7" s="383">
        <v>90</v>
      </c>
      <c r="AD7" s="383">
        <v>60</v>
      </c>
      <c r="AE7" s="383">
        <v>40</v>
      </c>
      <c r="AF7" s="383">
        <v>25</v>
      </c>
      <c r="AG7" s="383">
        <v>10</v>
      </c>
      <c r="AH7" s="383">
        <v>5</v>
      </c>
      <c r="AI7" s="287"/>
      <c r="AJ7" s="287"/>
      <c r="AK7" s="287"/>
    </row>
    <row r="8" spans="1:37" s="266" customFormat="1" ht="13.05" customHeight="1" x14ac:dyDescent="0.25">
      <c r="A8" s="267"/>
      <c r="B8" s="402"/>
      <c r="C8" s="403"/>
      <c r="D8" s="403"/>
      <c r="E8" s="404"/>
      <c r="F8" s="405"/>
      <c r="G8" s="405"/>
      <c r="H8" s="406"/>
      <c r="I8" s="407" t="s">
        <v>99</v>
      </c>
      <c r="J8" s="274"/>
      <c r="K8" s="408" t="str">
        <f>UPPER(IF(OR(J8="a",J8="as"),F7,IF(OR(J8="b",J8="bs"),F9,)))</f>
        <v/>
      </c>
      <c r="L8" s="408"/>
      <c r="M8" s="400"/>
      <c r="N8" s="400"/>
      <c r="O8" s="260"/>
      <c r="P8" s="261"/>
      <c r="Q8" s="262"/>
      <c r="R8" s="263"/>
      <c r="S8" s="264"/>
      <c r="U8" s="409" t="str">
        <f>[1]Birók!P22</f>
        <v xml:space="preserve"> </v>
      </c>
      <c r="Y8" s="221"/>
      <c r="Z8" s="221"/>
      <c r="AA8" s="382" t="s">
        <v>71</v>
      </c>
      <c r="AB8" s="383">
        <v>90</v>
      </c>
      <c r="AC8" s="383">
        <v>60</v>
      </c>
      <c r="AD8" s="383">
        <v>40</v>
      </c>
      <c r="AE8" s="383">
        <v>25</v>
      </c>
      <c r="AF8" s="383">
        <v>10</v>
      </c>
      <c r="AG8" s="383">
        <v>5</v>
      </c>
      <c r="AH8" s="383">
        <v>2</v>
      </c>
      <c r="AI8" s="287"/>
      <c r="AJ8" s="287"/>
      <c r="AK8" s="287"/>
    </row>
    <row r="9" spans="1:37" s="266" customFormat="1" ht="13.05" customHeight="1" x14ac:dyDescent="0.25">
      <c r="A9" s="267">
        <v>2</v>
      </c>
      <c r="B9" s="393" t="str">
        <f>IF($E9="","",VLOOKUP($E9,'[1]1MD ELO'!$A$7:$O$22,14))</f>
        <v/>
      </c>
      <c r="C9" s="394" t="str">
        <f>IF($E9="","",VLOOKUP($E9,'[1]1MD ELO'!$A$7:$O$22,15))</f>
        <v/>
      </c>
      <c r="D9" s="394" t="str">
        <f>IF($E9="","",VLOOKUP($E9,'[1]1MD ELO'!$A$7:$O$22,5))</f>
        <v/>
      </c>
      <c r="E9" s="395"/>
      <c r="F9" s="410" t="str">
        <f>UPPER(IF($E9="","",VLOOKUP($E9,'[1]1MD ELO'!$A$7:$O$22,2)))</f>
        <v/>
      </c>
      <c r="G9" s="410" t="str">
        <f>IF($E9="","",VLOOKUP($E9,'[1]1MD ELO'!$A$7:$O$22,3))</f>
        <v/>
      </c>
      <c r="H9" s="410"/>
      <c r="I9" s="397" t="str">
        <f>IF($E9="","",VLOOKUP($E9,'[1]1MD ELO'!$A$7:$O$22,4))</f>
        <v/>
      </c>
      <c r="J9" s="411"/>
      <c r="K9" s="400"/>
      <c r="L9" s="412"/>
      <c r="M9" s="400"/>
      <c r="N9" s="400"/>
      <c r="O9" s="260"/>
      <c r="P9" s="261"/>
      <c r="Q9" s="262"/>
      <c r="R9" s="263"/>
      <c r="S9" s="264"/>
      <c r="U9" s="409" t="str">
        <f>[1]Birók!P23</f>
        <v xml:space="preserve"> </v>
      </c>
      <c r="Y9" s="221"/>
      <c r="Z9" s="221"/>
      <c r="AA9" s="382" t="s">
        <v>72</v>
      </c>
      <c r="AB9" s="383">
        <v>60</v>
      </c>
      <c r="AC9" s="383">
        <v>40</v>
      </c>
      <c r="AD9" s="383">
        <v>25</v>
      </c>
      <c r="AE9" s="383">
        <v>10</v>
      </c>
      <c r="AF9" s="383">
        <v>5</v>
      </c>
      <c r="AG9" s="383">
        <v>2</v>
      </c>
      <c r="AH9" s="383">
        <v>1</v>
      </c>
      <c r="AI9" s="287"/>
      <c r="AJ9" s="287"/>
      <c r="AK9" s="287"/>
    </row>
    <row r="10" spans="1:37" s="266" customFormat="1" ht="13.05" customHeight="1" x14ac:dyDescent="0.25">
      <c r="A10" s="267"/>
      <c r="B10" s="402"/>
      <c r="C10" s="403"/>
      <c r="D10" s="403"/>
      <c r="E10" s="413"/>
      <c r="F10" s="405"/>
      <c r="G10" s="405"/>
      <c r="H10" s="406"/>
      <c r="I10" s="400"/>
      <c r="J10" s="414"/>
      <c r="K10" s="415" t="s">
        <v>99</v>
      </c>
      <c r="L10" s="283"/>
      <c r="M10" s="408" t="str">
        <f>UPPER(IF(OR(L10="a",L10="as"),K8,IF(OR(L10="b",L10="bs"),K12,)))</f>
        <v/>
      </c>
      <c r="N10" s="416"/>
      <c r="O10" s="417"/>
      <c r="P10" s="417"/>
      <c r="Q10" s="262"/>
      <c r="R10" s="263"/>
      <c r="S10" s="264"/>
      <c r="U10" s="409" t="str">
        <f>[1]Birók!P24</f>
        <v xml:space="preserve"> </v>
      </c>
      <c r="Y10" s="221"/>
      <c r="Z10" s="221"/>
      <c r="AA10" s="382" t="s">
        <v>73</v>
      </c>
      <c r="AB10" s="383">
        <v>40</v>
      </c>
      <c r="AC10" s="383">
        <v>25</v>
      </c>
      <c r="AD10" s="383">
        <v>15</v>
      </c>
      <c r="AE10" s="383">
        <v>7</v>
      </c>
      <c r="AF10" s="383">
        <v>4</v>
      </c>
      <c r="AG10" s="383">
        <v>1</v>
      </c>
      <c r="AH10" s="383">
        <v>0</v>
      </c>
      <c r="AI10" s="287"/>
      <c r="AJ10" s="287"/>
      <c r="AK10" s="287"/>
    </row>
    <row r="11" spans="1:37" s="266" customFormat="1" ht="13.05" customHeight="1" x14ac:dyDescent="0.25">
      <c r="A11" s="267">
        <v>3</v>
      </c>
      <c r="B11" s="393" t="str">
        <f>IF($E11="","",VLOOKUP($E11,'[1]1MD ELO'!$A$7:$O$22,14))</f>
        <v/>
      </c>
      <c r="C11" s="394" t="str">
        <f>IF($E11="","",VLOOKUP($E11,'[1]1MD ELO'!$A$7:$O$22,15))</f>
        <v/>
      </c>
      <c r="D11" s="394" t="str">
        <f>IF($E11="","",VLOOKUP($E11,'[1]1MD ELO'!$A$7:$O$22,5))</f>
        <v/>
      </c>
      <c r="E11" s="395"/>
      <c r="F11" s="418" t="s">
        <v>108</v>
      </c>
      <c r="G11" s="418" t="str">
        <f>IF($E11="","",VLOOKUP($E11,'[2]1Q ELO'!$A$7:$M$32,3))</f>
        <v/>
      </c>
      <c r="H11" s="398" t="s">
        <v>109</v>
      </c>
      <c r="I11" s="410" t="str">
        <f>IF($E11="","",VLOOKUP($E11,'[1]1MD ELO'!$A$7:$O$22,4))</f>
        <v/>
      </c>
      <c r="J11" s="399"/>
      <c r="K11" s="400"/>
      <c r="L11" s="419"/>
      <c r="M11" s="400"/>
      <c r="N11" s="420"/>
      <c r="O11" s="417"/>
      <c r="P11" s="417"/>
      <c r="Q11" s="262"/>
      <c r="R11" s="263"/>
      <c r="S11" s="264"/>
      <c r="U11" s="409" t="str">
        <f>[1]Birók!P25</f>
        <v xml:space="preserve"> </v>
      </c>
      <c r="Y11" s="221"/>
      <c r="Z11" s="221"/>
      <c r="AA11" s="382" t="s">
        <v>74</v>
      </c>
      <c r="AB11" s="383">
        <v>25</v>
      </c>
      <c r="AC11" s="383">
        <v>15</v>
      </c>
      <c r="AD11" s="383">
        <v>10</v>
      </c>
      <c r="AE11" s="383">
        <v>6</v>
      </c>
      <c r="AF11" s="383">
        <v>3</v>
      </c>
      <c r="AG11" s="383">
        <v>1</v>
      </c>
      <c r="AH11" s="383">
        <v>0</v>
      </c>
      <c r="AI11" s="287"/>
      <c r="AJ11" s="287"/>
      <c r="AK11" s="287"/>
    </row>
    <row r="12" spans="1:37" s="266" customFormat="1" ht="13.05" customHeight="1" x14ac:dyDescent="0.25">
      <c r="A12" s="267"/>
      <c r="B12" s="402"/>
      <c r="C12" s="403"/>
      <c r="D12" s="403"/>
      <c r="E12" s="413"/>
      <c r="F12" s="405"/>
      <c r="G12" s="405"/>
      <c r="H12" s="421"/>
      <c r="I12" s="407" t="s">
        <v>99</v>
      </c>
      <c r="J12" s="274"/>
      <c r="K12" s="408" t="str">
        <f>UPPER(IF(OR(J12="a",J12="as"),F11,IF(OR(J12="b",J12="bs"),F13,)))</f>
        <v/>
      </c>
      <c r="L12" s="422"/>
      <c r="M12" s="400"/>
      <c r="N12" s="420"/>
      <c r="O12" s="417"/>
      <c r="P12" s="417"/>
      <c r="Q12" s="262"/>
      <c r="R12" s="263"/>
      <c r="S12" s="264"/>
      <c r="U12" s="409" t="str">
        <f>[1]Birók!P26</f>
        <v xml:space="preserve"> </v>
      </c>
      <c r="Y12" s="221"/>
      <c r="Z12" s="221"/>
      <c r="AA12" s="382" t="s">
        <v>79</v>
      </c>
      <c r="AB12" s="383">
        <v>15</v>
      </c>
      <c r="AC12" s="383">
        <v>10</v>
      </c>
      <c r="AD12" s="383">
        <v>6</v>
      </c>
      <c r="AE12" s="383">
        <v>3</v>
      </c>
      <c r="AF12" s="383">
        <v>1</v>
      </c>
      <c r="AG12" s="383">
        <v>0</v>
      </c>
      <c r="AH12" s="383">
        <v>0</v>
      </c>
      <c r="AI12" s="287"/>
      <c r="AJ12" s="287"/>
      <c r="AK12" s="287"/>
    </row>
    <row r="13" spans="1:37" s="266" customFormat="1" ht="13.05" customHeight="1" x14ac:dyDescent="0.25">
      <c r="A13" s="267">
        <v>4</v>
      </c>
      <c r="B13" s="393" t="str">
        <f>IF($E13="","",VLOOKUP($E13,'[1]1MD ELO'!$A$7:$O$22,14))</f>
        <v/>
      </c>
      <c r="C13" s="394" t="str">
        <f>IF($E13="","",VLOOKUP($E13,'[1]1MD ELO'!$A$7:$O$22,15))</f>
        <v/>
      </c>
      <c r="D13" s="394" t="str">
        <f>IF($E13="","",VLOOKUP($E13,'[1]1MD ELO'!$A$7:$O$22,5))</f>
        <v/>
      </c>
      <c r="E13" s="395"/>
      <c r="F13" s="418" t="s">
        <v>110</v>
      </c>
      <c r="G13" s="418" t="str">
        <f>IF($E13="","",VLOOKUP($E13,'[2]1Q ELO'!$A$7:$M$32,3))</f>
        <v/>
      </c>
      <c r="H13" s="398" t="s">
        <v>92</v>
      </c>
      <c r="I13" s="410" t="str">
        <f>IF($E13="","",VLOOKUP($E13,'[1]1MD ELO'!$A$7:$O$22,4))</f>
        <v/>
      </c>
      <c r="J13" s="423"/>
      <c r="K13" s="400"/>
      <c r="L13" s="400"/>
      <c r="M13" s="400"/>
      <c r="N13" s="420"/>
      <c r="O13" s="417"/>
      <c r="P13" s="417"/>
      <c r="Q13" s="262"/>
      <c r="R13" s="263"/>
      <c r="S13" s="264"/>
      <c r="U13" s="409" t="str">
        <f>[1]Birók!P27</f>
        <v xml:space="preserve"> </v>
      </c>
      <c r="Y13" s="221"/>
      <c r="Z13" s="221"/>
      <c r="AA13" s="382" t="s">
        <v>75</v>
      </c>
      <c r="AB13" s="383">
        <v>10</v>
      </c>
      <c r="AC13" s="383">
        <v>6</v>
      </c>
      <c r="AD13" s="383">
        <v>3</v>
      </c>
      <c r="AE13" s="383">
        <v>1</v>
      </c>
      <c r="AF13" s="383">
        <v>0</v>
      </c>
      <c r="AG13" s="383">
        <v>0</v>
      </c>
      <c r="AH13" s="383">
        <v>0</v>
      </c>
      <c r="AI13" s="287"/>
      <c r="AJ13" s="287"/>
      <c r="AK13" s="287"/>
    </row>
    <row r="14" spans="1:37" s="266" customFormat="1" ht="13.05" customHeight="1" x14ac:dyDescent="0.25">
      <c r="A14" s="267"/>
      <c r="B14" s="402"/>
      <c r="C14" s="403"/>
      <c r="D14" s="403"/>
      <c r="E14" s="413"/>
      <c r="F14" s="405"/>
      <c r="G14" s="405"/>
      <c r="H14" s="421"/>
      <c r="I14" s="424"/>
      <c r="J14" s="414"/>
      <c r="K14" s="400"/>
      <c r="L14" s="400"/>
      <c r="M14" s="415" t="s">
        <v>99</v>
      </c>
      <c r="N14" s="283"/>
      <c r="O14" s="408" t="str">
        <f>UPPER(IF(OR(N14="a",N14="as"),M10,IF(OR(N14="b",N14="bs"),M18,)))</f>
        <v/>
      </c>
      <c r="P14" s="416"/>
      <c r="Q14" s="262"/>
      <c r="R14" s="263"/>
      <c r="S14" s="264"/>
      <c r="U14" s="409" t="str">
        <f>[1]Birók!P28</f>
        <v xml:space="preserve"> </v>
      </c>
      <c r="Y14" s="221"/>
      <c r="Z14" s="221"/>
      <c r="AA14" s="382" t="s">
        <v>76</v>
      </c>
      <c r="AB14" s="383">
        <v>3</v>
      </c>
      <c r="AC14" s="383">
        <v>2</v>
      </c>
      <c r="AD14" s="383">
        <v>1</v>
      </c>
      <c r="AE14" s="383">
        <v>0</v>
      </c>
      <c r="AF14" s="383">
        <v>0</v>
      </c>
      <c r="AG14" s="383">
        <v>0</v>
      </c>
      <c r="AH14" s="383">
        <v>0</v>
      </c>
      <c r="AI14" s="287"/>
      <c r="AJ14" s="287"/>
      <c r="AK14" s="287"/>
    </row>
    <row r="15" spans="1:37" s="266" customFormat="1" ht="13.05" customHeight="1" x14ac:dyDescent="0.25">
      <c r="A15" s="253">
        <v>5</v>
      </c>
      <c r="B15" s="393" t="str">
        <f>IF($E15="","",VLOOKUP($E15,'[1]1MD ELO'!$A$7:$O$22,14))</f>
        <v/>
      </c>
      <c r="C15" s="394" t="str">
        <f>IF($E15="","",VLOOKUP($E15,'[1]1MD ELO'!$A$7:$O$22,15))</f>
        <v/>
      </c>
      <c r="D15" s="394" t="str">
        <f>IF($E15="","",VLOOKUP($E15,'[1]1MD ELO'!$A$7:$O$22,5))</f>
        <v/>
      </c>
      <c r="E15" s="395"/>
      <c r="F15" s="396" t="s">
        <v>111</v>
      </c>
      <c r="G15" s="396" t="str">
        <f>IF($E15="","",VLOOKUP($E15,'[2]1Q ELO'!$A$7:$M$32,3))</f>
        <v/>
      </c>
      <c r="H15" s="398" t="s">
        <v>92</v>
      </c>
      <c r="I15" s="397" t="str">
        <f>IF($E15="","",VLOOKUP($E15,'[1]1MD ELO'!$A$7:$O$22,4))</f>
        <v/>
      </c>
      <c r="J15" s="425"/>
      <c r="K15" s="400"/>
      <c r="L15" s="400"/>
      <c r="M15" s="400"/>
      <c r="N15" s="420"/>
      <c r="O15" s="400"/>
      <c r="P15" s="420"/>
      <c r="Q15" s="262"/>
      <c r="R15" s="263"/>
      <c r="S15" s="264"/>
      <c r="U15" s="409" t="str">
        <f>[1]Birók!P29</f>
        <v xml:space="preserve"> </v>
      </c>
      <c r="Y15" s="221"/>
      <c r="Z15" s="221"/>
      <c r="AA15" s="382"/>
      <c r="AB15" s="382"/>
      <c r="AC15" s="382"/>
      <c r="AD15" s="382"/>
      <c r="AE15" s="382"/>
      <c r="AF15" s="382"/>
      <c r="AG15" s="382"/>
      <c r="AH15" s="382"/>
      <c r="AI15" s="287"/>
      <c r="AJ15" s="287"/>
      <c r="AK15" s="287"/>
    </row>
    <row r="16" spans="1:37" s="266" customFormat="1" ht="13.05" customHeight="1" thickBot="1" x14ac:dyDescent="0.3">
      <c r="A16" s="267"/>
      <c r="B16" s="402"/>
      <c r="C16" s="403"/>
      <c r="D16" s="403"/>
      <c r="E16" s="413"/>
      <c r="F16" s="405"/>
      <c r="G16" s="405"/>
      <c r="H16" s="421"/>
      <c r="I16" s="407" t="s">
        <v>99</v>
      </c>
      <c r="J16" s="274"/>
      <c r="K16" s="408" t="str">
        <f>UPPER(IF(OR(J16="a",J16="as"),F15,IF(OR(J16="b",J16="bs"),F17,)))</f>
        <v/>
      </c>
      <c r="L16" s="408"/>
      <c r="M16" s="400"/>
      <c r="N16" s="420"/>
      <c r="O16" s="417"/>
      <c r="P16" s="420"/>
      <c r="Q16" s="262"/>
      <c r="R16" s="263"/>
      <c r="S16" s="264"/>
      <c r="U16" s="426" t="str">
        <f>[1]Birók!P30</f>
        <v>Egyik sem</v>
      </c>
      <c r="Y16" s="221"/>
      <c r="Z16" s="221"/>
      <c r="AA16" s="382" t="s">
        <v>43</v>
      </c>
      <c r="AB16" s="383">
        <v>150</v>
      </c>
      <c r="AC16" s="383">
        <v>120</v>
      </c>
      <c r="AD16" s="383">
        <v>90</v>
      </c>
      <c r="AE16" s="383">
        <v>60</v>
      </c>
      <c r="AF16" s="383">
        <v>40</v>
      </c>
      <c r="AG16" s="383">
        <v>25</v>
      </c>
      <c r="AH16" s="383">
        <v>15</v>
      </c>
      <c r="AI16" s="287"/>
      <c r="AJ16" s="287"/>
      <c r="AK16" s="287"/>
    </row>
    <row r="17" spans="1:37" s="266" customFormat="1" ht="13.05" customHeight="1" x14ac:dyDescent="0.25">
      <c r="A17" s="267">
        <v>6</v>
      </c>
      <c r="B17" s="393" t="str">
        <f>IF($E17="","",VLOOKUP($E17,'[1]1MD ELO'!$A$7:$O$22,14))</f>
        <v/>
      </c>
      <c r="C17" s="394" t="str">
        <f>IF($E17="","",VLOOKUP($E17,'[1]1MD ELO'!$A$7:$O$22,15))</f>
        <v/>
      </c>
      <c r="D17" s="394" t="str">
        <f>IF($E17="","",VLOOKUP($E17,'[1]1MD ELO'!$A$7:$O$22,5))</f>
        <v/>
      </c>
      <c r="E17" s="395"/>
      <c r="F17" s="418" t="s">
        <v>112</v>
      </c>
      <c r="G17" s="418" t="str">
        <f>IF($E17="","",VLOOKUP($E17,'[2]1Q ELO'!$A$7:$M$32,3))</f>
        <v/>
      </c>
      <c r="H17" s="398" t="s">
        <v>113</v>
      </c>
      <c r="I17" s="410" t="str">
        <f>IF($E17="","",VLOOKUP($E17,'[1]1MD ELO'!$A$7:$O$22,4))</f>
        <v/>
      </c>
      <c r="J17" s="411"/>
      <c r="K17" s="400"/>
      <c r="L17" s="412"/>
      <c r="M17" s="400"/>
      <c r="N17" s="420"/>
      <c r="O17" s="417"/>
      <c r="P17" s="420"/>
      <c r="Q17" s="262"/>
      <c r="R17" s="263"/>
      <c r="S17" s="264"/>
      <c r="Y17" s="221"/>
      <c r="Z17" s="221"/>
      <c r="AA17" s="382" t="s">
        <v>67</v>
      </c>
      <c r="AB17" s="383">
        <v>120</v>
      </c>
      <c r="AC17" s="383">
        <v>90</v>
      </c>
      <c r="AD17" s="383">
        <v>60</v>
      </c>
      <c r="AE17" s="383">
        <v>40</v>
      </c>
      <c r="AF17" s="383">
        <v>25</v>
      </c>
      <c r="AG17" s="383">
        <v>15</v>
      </c>
      <c r="AH17" s="383">
        <v>8</v>
      </c>
      <c r="AI17" s="287"/>
      <c r="AJ17" s="287"/>
      <c r="AK17" s="287"/>
    </row>
    <row r="18" spans="1:37" s="266" customFormat="1" ht="13.05" customHeight="1" x14ac:dyDescent="0.25">
      <c r="A18" s="267"/>
      <c r="B18" s="402"/>
      <c r="C18" s="403"/>
      <c r="D18" s="403"/>
      <c r="E18" s="413"/>
      <c r="F18" s="405"/>
      <c r="G18" s="405"/>
      <c r="H18" s="421"/>
      <c r="I18" s="400"/>
      <c r="J18" s="414"/>
      <c r="K18" s="415" t="s">
        <v>99</v>
      </c>
      <c r="L18" s="283"/>
      <c r="M18" s="408" t="str">
        <f>UPPER(IF(OR(L18="a",L18="as"),K16,IF(OR(L18="b",L18="bs"),K20,)))</f>
        <v/>
      </c>
      <c r="N18" s="427"/>
      <c r="O18" s="417"/>
      <c r="P18" s="420"/>
      <c r="Q18" s="262"/>
      <c r="R18" s="263"/>
      <c r="S18" s="264"/>
      <c r="Y18" s="221"/>
      <c r="Z18" s="221"/>
      <c r="AA18" s="382" t="s">
        <v>68</v>
      </c>
      <c r="AB18" s="383">
        <v>90</v>
      </c>
      <c r="AC18" s="383">
        <v>60</v>
      </c>
      <c r="AD18" s="383">
        <v>40</v>
      </c>
      <c r="AE18" s="383">
        <v>25</v>
      </c>
      <c r="AF18" s="383">
        <v>15</v>
      </c>
      <c r="AG18" s="383">
        <v>8</v>
      </c>
      <c r="AH18" s="383">
        <v>4</v>
      </c>
      <c r="AI18" s="287"/>
      <c r="AJ18" s="287"/>
      <c r="AK18" s="287"/>
    </row>
    <row r="19" spans="1:37" s="266" customFormat="1" ht="13.05" customHeight="1" x14ac:dyDescent="0.25">
      <c r="A19" s="267">
        <v>7</v>
      </c>
      <c r="B19" s="393" t="str">
        <f>IF($E19="","",VLOOKUP($E19,'[1]1MD ELO'!$A$7:$O$22,14))</f>
        <v/>
      </c>
      <c r="C19" s="394" t="str">
        <f>IF($E19="","",VLOOKUP($E19,'[1]1MD ELO'!$A$7:$O$22,15))</f>
        <v/>
      </c>
      <c r="D19" s="394" t="str">
        <f>IF($E19="","",VLOOKUP($E19,'[1]1MD ELO'!$A$7:$O$22,5))</f>
        <v/>
      </c>
      <c r="E19" s="395"/>
      <c r="F19" s="418" t="s">
        <v>114</v>
      </c>
      <c r="G19" s="418" t="str">
        <f>IF($E19="","",VLOOKUP($E19,'[2]1Q ELO'!$A$7:$M$32,3))</f>
        <v/>
      </c>
      <c r="H19" s="398" t="s">
        <v>115</v>
      </c>
      <c r="I19" s="410" t="str">
        <f>IF($E19="","",VLOOKUP($E19,'[1]1MD ELO'!$A$7:$O$22,4))</f>
        <v/>
      </c>
      <c r="J19" s="399"/>
      <c r="K19" s="400"/>
      <c r="L19" s="419"/>
      <c r="M19" s="400"/>
      <c r="N19" s="417"/>
      <c r="O19" s="417"/>
      <c r="P19" s="420"/>
      <c r="Q19" s="262"/>
      <c r="R19" s="263"/>
      <c r="S19" s="264"/>
      <c r="Y19" s="221"/>
      <c r="Z19" s="221"/>
      <c r="AA19" s="382" t="s">
        <v>69</v>
      </c>
      <c r="AB19" s="383">
        <v>60</v>
      </c>
      <c r="AC19" s="383">
        <v>40</v>
      </c>
      <c r="AD19" s="383">
        <v>25</v>
      </c>
      <c r="AE19" s="383">
        <v>15</v>
      </c>
      <c r="AF19" s="383">
        <v>8</v>
      </c>
      <c r="AG19" s="383">
        <v>4</v>
      </c>
      <c r="AH19" s="383">
        <v>2</v>
      </c>
      <c r="AI19" s="287"/>
      <c r="AJ19" s="287"/>
      <c r="AK19" s="287"/>
    </row>
    <row r="20" spans="1:37" s="266" customFormat="1" ht="13.05" customHeight="1" x14ac:dyDescent="0.25">
      <c r="A20" s="267"/>
      <c r="B20" s="402"/>
      <c r="C20" s="403"/>
      <c r="D20" s="403"/>
      <c r="E20" s="404"/>
      <c r="F20" s="405"/>
      <c r="G20" s="405"/>
      <c r="H20" s="421"/>
      <c r="I20" s="407" t="s">
        <v>99</v>
      </c>
      <c r="J20" s="274"/>
      <c r="K20" s="408" t="str">
        <f>UPPER(IF(OR(J20="a",J20="as"),F19,IF(OR(J20="b",J20="bs"),F21,)))</f>
        <v/>
      </c>
      <c r="L20" s="422"/>
      <c r="M20" s="400"/>
      <c r="N20" s="417"/>
      <c r="O20" s="417"/>
      <c r="P20" s="420"/>
      <c r="Q20" s="262"/>
      <c r="R20" s="263"/>
      <c r="S20" s="264"/>
      <c r="Y20" s="221"/>
      <c r="Z20" s="221"/>
      <c r="AA20" s="382" t="s">
        <v>70</v>
      </c>
      <c r="AB20" s="383">
        <v>40</v>
      </c>
      <c r="AC20" s="383">
        <v>25</v>
      </c>
      <c r="AD20" s="383">
        <v>15</v>
      </c>
      <c r="AE20" s="383">
        <v>8</v>
      </c>
      <c r="AF20" s="383">
        <v>4</v>
      </c>
      <c r="AG20" s="383">
        <v>2</v>
      </c>
      <c r="AH20" s="383">
        <v>1</v>
      </c>
      <c r="AI20" s="287"/>
      <c r="AJ20" s="287"/>
      <c r="AK20" s="287"/>
    </row>
    <row r="21" spans="1:37" s="266" customFormat="1" ht="13.05" customHeight="1" x14ac:dyDescent="0.25">
      <c r="A21" s="267">
        <v>8</v>
      </c>
      <c r="B21" s="393" t="str">
        <f>IF($E21="","",VLOOKUP($E21,'[1]1MD ELO'!$A$7:$O$22,14))</f>
        <v/>
      </c>
      <c r="C21" s="394" t="str">
        <f>IF($E21="","",VLOOKUP($E21,'[1]1MD ELO'!$A$7:$O$22,15))</f>
        <v/>
      </c>
      <c r="D21" s="394" t="str">
        <f>IF($E21="","",VLOOKUP($E21,'[1]1MD ELO'!$A$7:$O$22,5))</f>
        <v/>
      </c>
      <c r="E21" s="395"/>
      <c r="F21" s="418" t="s">
        <v>116</v>
      </c>
      <c r="G21" s="418" t="str">
        <f>IF($E21="","",VLOOKUP($E21,'[2]1Q ELO'!$A$7:$M$32,3))</f>
        <v/>
      </c>
      <c r="H21" s="398" t="s">
        <v>103</v>
      </c>
      <c r="I21" s="410" t="str">
        <f>IF($E21="","",VLOOKUP($E21,'[1]1MD ELO'!$A$7:$O$22,4))</f>
        <v/>
      </c>
      <c r="J21" s="423"/>
      <c r="K21" s="400"/>
      <c r="L21" s="400"/>
      <c r="M21" s="400"/>
      <c r="N21" s="417"/>
      <c r="O21" s="417"/>
      <c r="P21" s="420"/>
      <c r="Q21" s="262"/>
      <c r="R21" s="263"/>
      <c r="S21" s="264"/>
      <c r="Y21" s="221"/>
      <c r="Z21" s="221"/>
      <c r="AA21" s="382" t="s">
        <v>71</v>
      </c>
      <c r="AB21" s="383">
        <v>25</v>
      </c>
      <c r="AC21" s="383">
        <v>15</v>
      </c>
      <c r="AD21" s="383">
        <v>10</v>
      </c>
      <c r="AE21" s="383">
        <v>6</v>
      </c>
      <c r="AF21" s="383">
        <v>3</v>
      </c>
      <c r="AG21" s="383">
        <v>1</v>
      </c>
      <c r="AH21" s="383">
        <v>0</v>
      </c>
      <c r="AI21" s="287"/>
      <c r="AJ21" s="287"/>
      <c r="AK21" s="287"/>
    </row>
    <row r="22" spans="1:37" s="266" customFormat="1" ht="13.05" customHeight="1" x14ac:dyDescent="0.25">
      <c r="A22" s="267"/>
      <c r="B22" s="402"/>
      <c r="C22" s="403"/>
      <c r="D22" s="403"/>
      <c r="E22" s="404"/>
      <c r="F22" s="424"/>
      <c r="G22" s="424"/>
      <c r="H22" s="421"/>
      <c r="I22" s="424"/>
      <c r="J22" s="414"/>
      <c r="K22" s="400"/>
      <c r="L22" s="400"/>
      <c r="M22" s="400"/>
      <c r="N22" s="417"/>
      <c r="O22" s="415" t="s">
        <v>99</v>
      </c>
      <c r="P22" s="283"/>
      <c r="Q22" s="408" t="str">
        <f>UPPER(IF(OR(P22="a",P22="as"),O14,IF(OR(P22="b",P22="bs"),O30,)))</f>
        <v/>
      </c>
      <c r="R22" s="416"/>
      <c r="S22" s="264"/>
      <c r="Y22" s="221"/>
      <c r="Z22" s="221"/>
      <c r="AA22" s="382" t="s">
        <v>72</v>
      </c>
      <c r="AB22" s="383">
        <v>15</v>
      </c>
      <c r="AC22" s="383">
        <v>10</v>
      </c>
      <c r="AD22" s="383">
        <v>6</v>
      </c>
      <c r="AE22" s="383">
        <v>3</v>
      </c>
      <c r="AF22" s="383">
        <v>1</v>
      </c>
      <c r="AG22" s="383">
        <v>0</v>
      </c>
      <c r="AH22" s="383">
        <v>0</v>
      </c>
      <c r="AI22" s="287"/>
      <c r="AJ22" s="287"/>
      <c r="AK22" s="287"/>
    </row>
    <row r="23" spans="1:37" s="266" customFormat="1" ht="13.05" customHeight="1" x14ac:dyDescent="0.25">
      <c r="A23" s="267">
        <v>9</v>
      </c>
      <c r="B23" s="393" t="str">
        <f>IF($E23="","",VLOOKUP($E23,'[1]1MD ELO'!$A$7:$O$22,14))</f>
        <v/>
      </c>
      <c r="C23" s="394" t="str">
        <f>IF($E23="","",VLOOKUP($E23,'[1]1MD ELO'!$A$7:$O$22,15))</f>
        <v/>
      </c>
      <c r="D23" s="394" t="str">
        <f>IF($E23="","",VLOOKUP($E23,'[1]1MD ELO'!$A$7:$O$22,5))</f>
        <v/>
      </c>
      <c r="E23" s="395"/>
      <c r="F23" s="396" t="s">
        <v>117</v>
      </c>
      <c r="G23" s="396" t="str">
        <f>IF($E23="","",VLOOKUP($E23,'[2]1Q ELO'!$A$7:$M$32,3))</f>
        <v/>
      </c>
      <c r="H23" s="398" t="s">
        <v>115</v>
      </c>
      <c r="I23" s="410" t="str">
        <f>IF($E23="","",VLOOKUP($E23,'[1]1MD ELO'!$A$7:$O$22,4))</f>
        <v/>
      </c>
      <c r="J23" s="399"/>
      <c r="K23" s="400"/>
      <c r="L23" s="400"/>
      <c r="M23" s="400"/>
      <c r="N23" s="417"/>
      <c r="O23" s="400"/>
      <c r="P23" s="420"/>
      <c r="Q23" s="400"/>
      <c r="R23" s="417"/>
      <c r="S23" s="264"/>
      <c r="Y23" s="221"/>
      <c r="Z23" s="221"/>
      <c r="AA23" s="382" t="s">
        <v>73</v>
      </c>
      <c r="AB23" s="383">
        <v>10</v>
      </c>
      <c r="AC23" s="383">
        <v>6</v>
      </c>
      <c r="AD23" s="383">
        <v>3</v>
      </c>
      <c r="AE23" s="383">
        <v>1</v>
      </c>
      <c r="AF23" s="383">
        <v>0</v>
      </c>
      <c r="AG23" s="383">
        <v>0</v>
      </c>
      <c r="AH23" s="383">
        <v>0</v>
      </c>
      <c r="AI23" s="287"/>
      <c r="AJ23" s="287"/>
      <c r="AK23" s="287"/>
    </row>
    <row r="24" spans="1:37" s="266" customFormat="1" ht="13.05" customHeight="1" x14ac:dyDescent="0.25">
      <c r="A24" s="267"/>
      <c r="B24" s="402"/>
      <c r="C24" s="403"/>
      <c r="D24" s="403"/>
      <c r="E24" s="404"/>
      <c r="F24" s="405"/>
      <c r="G24" s="405"/>
      <c r="H24" s="421"/>
      <c r="I24" s="407" t="s">
        <v>99</v>
      </c>
      <c r="J24" s="274"/>
      <c r="K24" s="408" t="str">
        <f>UPPER(IF(OR(J24="a",J24="as"),F23,IF(OR(J24="b",J24="bs"),F25,)))</f>
        <v/>
      </c>
      <c r="L24" s="408"/>
      <c r="M24" s="400"/>
      <c r="N24" s="417"/>
      <c r="O24" s="417"/>
      <c r="P24" s="420"/>
      <c r="Q24" s="262"/>
      <c r="R24" s="263"/>
      <c r="S24" s="264"/>
      <c r="Y24" s="221"/>
      <c r="Z24" s="221"/>
      <c r="AA24" s="382" t="s">
        <v>74</v>
      </c>
      <c r="AB24" s="383">
        <v>6</v>
      </c>
      <c r="AC24" s="383">
        <v>3</v>
      </c>
      <c r="AD24" s="383">
        <v>1</v>
      </c>
      <c r="AE24" s="383">
        <v>0</v>
      </c>
      <c r="AF24" s="383">
        <v>0</v>
      </c>
      <c r="AG24" s="383">
        <v>0</v>
      </c>
      <c r="AH24" s="383">
        <v>0</v>
      </c>
      <c r="AI24" s="287"/>
      <c r="AJ24" s="287"/>
      <c r="AK24" s="287"/>
    </row>
    <row r="25" spans="1:37" s="266" customFormat="1" ht="13.05" customHeight="1" x14ac:dyDescent="0.25">
      <c r="A25" s="267">
        <v>10</v>
      </c>
      <c r="B25" s="393" t="str">
        <f>IF($E25="","",VLOOKUP($E25,'[1]1MD ELO'!$A$7:$O$22,14))</f>
        <v/>
      </c>
      <c r="C25" s="394" t="str">
        <f>IF($E25="","",VLOOKUP($E25,'[1]1MD ELO'!$A$7:$O$22,15))</f>
        <v/>
      </c>
      <c r="D25" s="394" t="str">
        <f>IF($E25="","",VLOOKUP($E25,'[1]1MD ELO'!$A$7:$O$22,5))</f>
        <v/>
      </c>
      <c r="E25" s="395"/>
      <c r="F25" s="418" t="s">
        <v>118</v>
      </c>
      <c r="G25" s="418" t="str">
        <f>IF($E25="","",VLOOKUP($E25,'[2]1Q ELO'!$A$7:$M$32,3))</f>
        <v/>
      </c>
      <c r="H25" s="398" t="s">
        <v>92</v>
      </c>
      <c r="I25" s="410" t="str">
        <f>IF($E25="","",VLOOKUP($E25,'[1]1MD ELO'!$A$7:$O$22,4))</f>
        <v/>
      </c>
      <c r="J25" s="411"/>
      <c r="K25" s="400"/>
      <c r="L25" s="412"/>
      <c r="M25" s="400"/>
      <c r="N25" s="417"/>
      <c r="O25" s="417"/>
      <c r="P25" s="420"/>
      <c r="Q25" s="262"/>
      <c r="R25" s="263"/>
      <c r="S25" s="264"/>
      <c r="Y25" s="221"/>
      <c r="Z25" s="221"/>
      <c r="AA25" s="382" t="s">
        <v>79</v>
      </c>
      <c r="AB25" s="383">
        <v>3</v>
      </c>
      <c r="AC25" s="383">
        <v>2</v>
      </c>
      <c r="AD25" s="383">
        <v>1</v>
      </c>
      <c r="AE25" s="383">
        <v>0</v>
      </c>
      <c r="AF25" s="383">
        <v>0</v>
      </c>
      <c r="AG25" s="383">
        <v>0</v>
      </c>
      <c r="AH25" s="383">
        <v>0</v>
      </c>
      <c r="AI25" s="287"/>
      <c r="AJ25" s="287"/>
      <c r="AK25" s="287"/>
    </row>
    <row r="26" spans="1:37" s="266" customFormat="1" ht="13.05" customHeight="1" x14ac:dyDescent="0.25">
      <c r="A26" s="267"/>
      <c r="B26" s="402"/>
      <c r="C26" s="403"/>
      <c r="D26" s="403"/>
      <c r="E26" s="413"/>
      <c r="F26" s="405"/>
      <c r="G26" s="405"/>
      <c r="H26" s="421"/>
      <c r="I26" s="400"/>
      <c r="J26" s="414"/>
      <c r="K26" s="415" t="s">
        <v>99</v>
      </c>
      <c r="L26" s="283"/>
      <c r="M26" s="408" t="str">
        <f>UPPER(IF(OR(L26="a",L26="as"),K24,IF(OR(L26="b",L26="bs"),K28,)))</f>
        <v/>
      </c>
      <c r="N26" s="416"/>
      <c r="O26" s="417"/>
      <c r="P26" s="420"/>
      <c r="Q26" s="262"/>
      <c r="R26" s="263"/>
      <c r="S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</row>
    <row r="27" spans="1:37" s="266" customFormat="1" ht="13.05" customHeight="1" x14ac:dyDescent="0.25">
      <c r="A27" s="267">
        <v>11</v>
      </c>
      <c r="B27" s="393" t="str">
        <f>IF($E27="","",VLOOKUP($E27,'[1]1MD ELO'!$A$7:$O$22,14))</f>
        <v/>
      </c>
      <c r="C27" s="394" t="str">
        <f>IF($E27="","",VLOOKUP($E27,'[1]1MD ELO'!$A$7:$O$22,15))</f>
        <v/>
      </c>
      <c r="D27" s="394" t="str">
        <f>IF($E27="","",VLOOKUP($E27,'[1]1MD ELO'!$A$7:$O$22,5))</f>
        <v/>
      </c>
      <c r="E27" s="395"/>
      <c r="F27" s="418" t="s">
        <v>119</v>
      </c>
      <c r="G27" s="418" t="str">
        <f>IF($E27="","",VLOOKUP($E27,'[2]1Q ELO'!$A$7:$M$32,3))</f>
        <v/>
      </c>
      <c r="H27" s="398" t="s">
        <v>92</v>
      </c>
      <c r="I27" s="410" t="str">
        <f>IF($E27="","",VLOOKUP($E27,'[1]1MD ELO'!$A$7:$O$22,4))</f>
        <v/>
      </c>
      <c r="J27" s="399"/>
      <c r="K27" s="400"/>
      <c r="L27" s="419"/>
      <c r="M27" s="400"/>
      <c r="N27" s="420"/>
      <c r="O27" s="417"/>
      <c r="P27" s="420"/>
      <c r="Q27" s="262"/>
      <c r="R27" s="263"/>
      <c r="S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</row>
    <row r="28" spans="1:37" s="266" customFormat="1" ht="13.05" customHeight="1" x14ac:dyDescent="0.25">
      <c r="A28" s="295"/>
      <c r="B28" s="402"/>
      <c r="C28" s="403"/>
      <c r="D28" s="403"/>
      <c r="E28" s="413"/>
      <c r="F28" s="405"/>
      <c r="G28" s="405"/>
      <c r="H28" s="421"/>
      <c r="I28" s="407" t="s">
        <v>99</v>
      </c>
      <c r="J28" s="274"/>
      <c r="K28" s="408" t="str">
        <f>UPPER(IF(OR(J28="a",J28="as"),F27,IF(OR(J28="b",J28="bs"),F29,)))</f>
        <v/>
      </c>
      <c r="L28" s="422"/>
      <c r="M28" s="400"/>
      <c r="N28" s="420"/>
      <c r="O28" s="417"/>
      <c r="P28" s="420"/>
      <c r="Q28" s="262"/>
      <c r="R28" s="263"/>
      <c r="S28" s="264"/>
    </row>
    <row r="29" spans="1:37" s="266" customFormat="1" ht="13.05" customHeight="1" x14ac:dyDescent="0.2">
      <c r="A29" s="253">
        <v>12</v>
      </c>
      <c r="B29" s="393" t="str">
        <f>IF($E29="","",VLOOKUP($E29,'[1]1MD ELO'!$A$7:$O$22,14))</f>
        <v/>
      </c>
      <c r="C29" s="394" t="str">
        <f>IF($E29="","",VLOOKUP($E29,'[1]1MD ELO'!$A$7:$O$22,15))</f>
        <v/>
      </c>
      <c r="D29" s="394" t="str">
        <f>IF($E29="","",VLOOKUP($E29,'[1]1MD ELO'!$A$7:$O$22,5))</f>
        <v/>
      </c>
      <c r="E29" s="395"/>
      <c r="F29" s="418" t="s">
        <v>120</v>
      </c>
      <c r="G29" s="418" t="str">
        <f>IF($E29="","",VLOOKUP($E29,'[2]1Q ELO'!$A$7:$M$32,3))</f>
        <v/>
      </c>
      <c r="H29" s="398" t="s">
        <v>109</v>
      </c>
      <c r="I29" s="397" t="str">
        <f>IF($E29="","",VLOOKUP($E29,'[1]1MD ELO'!$A$7:$O$22,4))</f>
        <v/>
      </c>
      <c r="J29" s="423"/>
      <c r="K29" s="400"/>
      <c r="L29" s="400"/>
      <c r="M29" s="400"/>
      <c r="N29" s="420"/>
      <c r="O29" s="417"/>
      <c r="P29" s="420"/>
      <c r="Q29" s="262"/>
      <c r="R29" s="263"/>
      <c r="S29" s="264"/>
    </row>
    <row r="30" spans="1:37" s="266" customFormat="1" ht="13.05" customHeight="1" x14ac:dyDescent="0.25">
      <c r="A30" s="267"/>
      <c r="B30" s="402"/>
      <c r="C30" s="403"/>
      <c r="D30" s="403"/>
      <c r="E30" s="413"/>
      <c r="F30" s="405"/>
      <c r="G30" s="405"/>
      <c r="H30" s="421"/>
      <c r="I30" s="424"/>
      <c r="J30" s="414"/>
      <c r="K30" s="400"/>
      <c r="L30" s="400"/>
      <c r="M30" s="415" t="s">
        <v>99</v>
      </c>
      <c r="N30" s="283"/>
      <c r="O30" s="408" t="str">
        <f>UPPER(IF(OR(N30="a",N30="as"),M26,IF(OR(N30="b",N30="bs"),M34,)))</f>
        <v/>
      </c>
      <c r="P30" s="427"/>
      <c r="Q30" s="262"/>
      <c r="R30" s="263"/>
      <c r="S30" s="264"/>
    </row>
    <row r="31" spans="1:37" s="266" customFormat="1" ht="13.05" customHeight="1" x14ac:dyDescent="0.2">
      <c r="A31" s="267">
        <v>13</v>
      </c>
      <c r="B31" s="393" t="str">
        <f>IF($E31="","",VLOOKUP($E31,'[1]1MD ELO'!$A$7:$O$22,14))</f>
        <v/>
      </c>
      <c r="C31" s="394" t="str">
        <f>IF($E31="","",VLOOKUP($E31,'[1]1MD ELO'!$A$7:$O$22,15))</f>
        <v/>
      </c>
      <c r="D31" s="394" t="str">
        <f>IF($E31="","",VLOOKUP($E31,'[1]1MD ELO'!$A$7:$O$22,5))</f>
        <v/>
      </c>
      <c r="E31" s="395"/>
      <c r="F31" s="396" t="s">
        <v>121</v>
      </c>
      <c r="G31" s="396" t="str">
        <f>IF($E31="","",VLOOKUP($E31,'[2]1Q ELO'!$A$7:$M$32,3))</f>
        <v/>
      </c>
      <c r="H31" s="398" t="s">
        <v>92</v>
      </c>
      <c r="I31" s="410" t="str">
        <f>IF($E31="","",VLOOKUP($E31,'[1]1MD ELO'!$A$7:$O$22,4))</f>
        <v/>
      </c>
      <c r="J31" s="425"/>
      <c r="K31" s="400"/>
      <c r="L31" s="400"/>
      <c r="M31" s="400"/>
      <c r="N31" s="420"/>
      <c r="O31" s="400"/>
      <c r="P31" s="417"/>
      <c r="Q31" s="262"/>
      <c r="R31" s="263"/>
      <c r="S31" s="264"/>
    </row>
    <row r="32" spans="1:37" s="266" customFormat="1" ht="13.05" customHeight="1" x14ac:dyDescent="0.25">
      <c r="A32" s="267"/>
      <c r="B32" s="402"/>
      <c r="C32" s="403"/>
      <c r="D32" s="403"/>
      <c r="E32" s="413"/>
      <c r="F32" s="405"/>
      <c r="G32" s="405"/>
      <c r="H32" s="421"/>
      <c r="I32" s="415" t="s">
        <v>99</v>
      </c>
      <c r="J32" s="274"/>
      <c r="K32" s="408" t="str">
        <f>UPPER(IF(OR(J32="a",J32="as"),F31,IF(OR(J32="b",J32="bs"),F33,)))</f>
        <v/>
      </c>
      <c r="L32" s="408"/>
      <c r="M32" s="400"/>
      <c r="N32" s="420"/>
      <c r="O32" s="417"/>
      <c r="P32" s="417"/>
      <c r="Q32" s="262"/>
      <c r="R32" s="263"/>
      <c r="S32" s="264"/>
    </row>
    <row r="33" spans="1:19" s="266" customFormat="1" ht="13.05" customHeight="1" x14ac:dyDescent="0.2">
      <c r="A33" s="267">
        <v>14</v>
      </c>
      <c r="B33" s="393" t="str">
        <f>IF($E33="","",VLOOKUP($E33,'[1]1MD ELO'!$A$7:$O$22,14))</f>
        <v/>
      </c>
      <c r="C33" s="394" t="str">
        <f>IF($E33="","",VLOOKUP($E33,'[1]1MD ELO'!$A$7:$O$22,15))</f>
        <v/>
      </c>
      <c r="D33" s="394" t="str">
        <f>IF($E33="","",VLOOKUP($E33,'[1]1MD ELO'!$A$7:$O$22,5))</f>
        <v/>
      </c>
      <c r="E33" s="395"/>
      <c r="F33" s="418" t="s">
        <v>122</v>
      </c>
      <c r="G33" s="418" t="str">
        <f>IF($E33="","",VLOOKUP($E33,'[2]1Q ELO'!$A$7:$M$32,3))</f>
        <v/>
      </c>
      <c r="H33" s="398" t="s">
        <v>123</v>
      </c>
      <c r="I33" s="410" t="str">
        <f>IF($E33="","",VLOOKUP($E33,'[1]1MD ELO'!$A$7:$O$22,4))</f>
        <v/>
      </c>
      <c r="J33" s="411"/>
      <c r="K33" s="400"/>
      <c r="L33" s="412"/>
      <c r="M33" s="400"/>
      <c r="N33" s="420"/>
      <c r="O33" s="417"/>
      <c r="P33" s="417"/>
      <c r="Q33" s="262"/>
      <c r="R33" s="263"/>
      <c r="S33" s="264"/>
    </row>
    <row r="34" spans="1:19" s="266" customFormat="1" ht="13.05" customHeight="1" x14ac:dyDescent="0.25">
      <c r="A34" s="267"/>
      <c r="B34" s="402"/>
      <c r="C34" s="403"/>
      <c r="D34" s="403"/>
      <c r="E34" s="413"/>
      <c r="F34" s="405"/>
      <c r="G34" s="405"/>
      <c r="H34" s="406"/>
      <c r="I34" s="400"/>
      <c r="J34" s="414"/>
      <c r="K34" s="415" t="s">
        <v>99</v>
      </c>
      <c r="L34" s="283"/>
      <c r="M34" s="408" t="str">
        <f>UPPER(IF(OR(L34="a",L34="as"),K32,IF(OR(L34="b",L34="bs"),K36,)))</f>
        <v/>
      </c>
      <c r="N34" s="427"/>
      <c r="O34" s="417"/>
      <c r="P34" s="417"/>
      <c r="Q34" s="262"/>
      <c r="R34" s="263"/>
      <c r="S34" s="264"/>
    </row>
    <row r="35" spans="1:19" s="266" customFormat="1" ht="13.05" customHeight="1" x14ac:dyDescent="0.25">
      <c r="A35" s="267">
        <v>15</v>
      </c>
      <c r="B35" s="393" t="str">
        <f>IF($E35="","",VLOOKUP($E35,'[1]1MD ELO'!$A$7:$O$22,14))</f>
        <v/>
      </c>
      <c r="C35" s="394" t="str">
        <f>IF($E35="","",VLOOKUP($E35,'[1]1MD ELO'!$A$7:$O$22,15))</f>
        <v/>
      </c>
      <c r="D35" s="394" t="str">
        <f>IF($E35="","",VLOOKUP($E35,'[1]1MD ELO'!$A$7:$O$22,5))</f>
        <v/>
      </c>
      <c r="E35" s="395"/>
      <c r="F35" s="410" t="str">
        <f>UPPER(IF($E35="","",VLOOKUP($E35,'[1]1MD ELO'!$A$7:$O$22,2)))</f>
        <v/>
      </c>
      <c r="G35" s="410" t="str">
        <f>IF($E35="","",VLOOKUP($E35,'[1]1MD ELO'!$A$7:$O$22,3))</f>
        <v/>
      </c>
      <c r="H35" s="410"/>
      <c r="I35" s="410" t="str">
        <f>IF($E35="","",VLOOKUP($E35,'[1]1MD ELO'!$A$7:$O$22,4))</f>
        <v/>
      </c>
      <c r="J35" s="399"/>
      <c r="K35" s="400"/>
      <c r="L35" s="419"/>
      <c r="M35" s="400"/>
      <c r="N35" s="417"/>
      <c r="O35" s="417"/>
      <c r="P35" s="417"/>
      <c r="Q35" s="262"/>
      <c r="R35" s="263"/>
      <c r="S35" s="264"/>
    </row>
    <row r="36" spans="1:19" s="266" customFormat="1" ht="13.05" customHeight="1" x14ac:dyDescent="0.25">
      <c r="A36" s="267"/>
      <c r="B36" s="402"/>
      <c r="C36" s="403"/>
      <c r="D36" s="403"/>
      <c r="E36" s="404"/>
      <c r="F36" s="405"/>
      <c r="G36" s="405"/>
      <c r="H36" s="406"/>
      <c r="I36" s="415" t="s">
        <v>99</v>
      </c>
      <c r="J36" s="274"/>
      <c r="K36" s="408" t="str">
        <f>UPPER(IF(OR(J36="a",J36="as"),F35,IF(OR(J36="b",J36="bs"),F37,)))</f>
        <v/>
      </c>
      <c r="L36" s="422"/>
      <c r="M36" s="400"/>
      <c r="N36" s="417"/>
      <c r="O36" s="417"/>
      <c r="P36" s="417"/>
      <c r="Q36" s="262"/>
      <c r="R36" s="263"/>
      <c r="S36" s="264"/>
    </row>
    <row r="37" spans="1:19" s="266" customFormat="1" ht="13.05" customHeight="1" x14ac:dyDescent="0.2">
      <c r="A37" s="253">
        <v>16</v>
      </c>
      <c r="B37" s="393" t="str">
        <f>IF($E37="","",VLOOKUP($E37,'[1]1MD ELO'!$A$7:$O$22,14))</f>
        <v/>
      </c>
      <c r="C37" s="394" t="str">
        <f>IF($E37="","",VLOOKUP($E37,'[1]1MD ELO'!$A$7:$O$22,15))</f>
        <v/>
      </c>
      <c r="D37" s="394" t="str">
        <f>IF($E37="","",VLOOKUP($E37,'[1]1MD ELO'!$A$7:$O$22,5))</f>
        <v/>
      </c>
      <c r="E37" s="395"/>
      <c r="F37" s="418" t="s">
        <v>124</v>
      </c>
      <c r="G37" s="418" t="str">
        <f>IF($E37="","",VLOOKUP($E37,'[2]1Q ELO'!$A$7:$M$32,3))</f>
        <v/>
      </c>
      <c r="H37" s="398" t="s">
        <v>92</v>
      </c>
      <c r="I37" s="397" t="str">
        <f>IF($E37="","",VLOOKUP($E37,'[1]1MD ELO'!$A$7:$O$22,4))</f>
        <v/>
      </c>
      <c r="J37" s="423"/>
      <c r="K37" s="400"/>
      <c r="L37" s="400"/>
      <c r="M37" s="400"/>
      <c r="N37" s="417"/>
      <c r="O37" s="417"/>
      <c r="P37" s="417"/>
      <c r="Q37" s="262"/>
      <c r="R37" s="263"/>
      <c r="S37" s="264"/>
    </row>
    <row r="38" spans="1:19" s="266" customFormat="1" ht="9.4499999999999993" customHeight="1" x14ac:dyDescent="0.25">
      <c r="A38" s="428"/>
      <c r="B38" s="404"/>
      <c r="C38" s="404"/>
      <c r="D38" s="404"/>
      <c r="E38" s="404"/>
      <c r="F38" s="424"/>
      <c r="G38" s="424"/>
      <c r="H38" s="429"/>
      <c r="I38" s="400"/>
      <c r="J38" s="414"/>
      <c r="K38" s="400"/>
      <c r="L38" s="400"/>
      <c r="M38" s="400"/>
      <c r="N38" s="417"/>
      <c r="O38" s="417"/>
      <c r="P38" s="417"/>
      <c r="Q38" s="262"/>
      <c r="R38" s="263"/>
      <c r="S38" s="264"/>
    </row>
    <row r="39" spans="1:19" s="266" customFormat="1" ht="9.4499999999999993" customHeight="1" x14ac:dyDescent="0.25">
      <c r="A39" s="430"/>
      <c r="B39" s="431"/>
      <c r="C39" s="431"/>
      <c r="D39" s="431"/>
      <c r="E39" s="404"/>
      <c r="F39" s="431"/>
      <c r="G39" s="431"/>
      <c r="H39" s="431"/>
      <c r="I39" s="431"/>
      <c r="J39" s="404"/>
      <c r="K39" s="431"/>
      <c r="L39" s="431"/>
      <c r="M39" s="431"/>
      <c r="N39" s="432"/>
      <c r="O39" s="432"/>
      <c r="P39" s="432"/>
      <c r="Q39" s="262"/>
      <c r="R39" s="263"/>
      <c r="S39" s="264"/>
    </row>
    <row r="40" spans="1:19" s="266" customFormat="1" ht="9.4499999999999993" customHeight="1" x14ac:dyDescent="0.25">
      <c r="A40" s="428"/>
      <c r="B40" s="404"/>
      <c r="C40" s="404"/>
      <c r="D40" s="404"/>
      <c r="E40" s="404"/>
      <c r="F40" s="431"/>
      <c r="G40" s="431"/>
      <c r="I40" s="431"/>
      <c r="J40" s="404"/>
      <c r="K40" s="431"/>
      <c r="L40" s="431"/>
      <c r="M40" s="433"/>
      <c r="N40" s="404"/>
      <c r="O40" s="431"/>
      <c r="P40" s="432"/>
      <c r="Q40" s="262"/>
      <c r="R40" s="263"/>
      <c r="S40" s="264"/>
    </row>
    <row r="41" spans="1:19" s="266" customFormat="1" ht="9.4499999999999993" customHeight="1" x14ac:dyDescent="0.25">
      <c r="A41" s="428"/>
      <c r="B41" s="431"/>
      <c r="C41" s="431"/>
      <c r="D41" s="431"/>
      <c r="E41" s="404"/>
      <c r="F41" s="431"/>
      <c r="G41" s="431"/>
      <c r="H41" s="431"/>
      <c r="I41" s="431"/>
      <c r="J41" s="404"/>
      <c r="K41" s="431"/>
      <c r="L41" s="431"/>
      <c r="M41" s="431"/>
      <c r="N41" s="432"/>
      <c r="O41" s="431"/>
      <c r="P41" s="432"/>
      <c r="Q41" s="262"/>
      <c r="R41" s="263"/>
      <c r="S41" s="264"/>
    </row>
    <row r="42" spans="1:19" s="266" customFormat="1" ht="9.4499999999999993" customHeight="1" x14ac:dyDescent="0.25">
      <c r="A42" s="428"/>
      <c r="B42" s="404"/>
      <c r="C42" s="404"/>
      <c r="D42" s="404"/>
      <c r="E42" s="404"/>
      <c r="F42" s="431"/>
      <c r="G42" s="431"/>
      <c r="I42" s="433"/>
      <c r="J42" s="404"/>
      <c r="K42" s="431"/>
      <c r="L42" s="431"/>
      <c r="M42" s="431"/>
      <c r="N42" s="432"/>
      <c r="O42" s="432"/>
      <c r="P42" s="432"/>
      <c r="Q42" s="262"/>
      <c r="R42" s="263"/>
      <c r="S42" s="264"/>
    </row>
    <row r="43" spans="1:19" s="266" customFormat="1" ht="9.4499999999999993" customHeight="1" x14ac:dyDescent="0.25">
      <c r="A43" s="428"/>
      <c r="B43" s="431"/>
      <c r="C43" s="431"/>
      <c r="D43" s="431"/>
      <c r="E43" s="404"/>
      <c r="F43" s="431"/>
      <c r="G43" s="431"/>
      <c r="H43" s="431"/>
      <c r="I43" s="431"/>
      <c r="J43" s="404"/>
      <c r="K43" s="431"/>
      <c r="L43" s="434"/>
      <c r="M43" s="431"/>
      <c r="N43" s="432"/>
      <c r="O43" s="432"/>
      <c r="P43" s="432"/>
      <c r="Q43" s="262"/>
      <c r="R43" s="263"/>
      <c r="S43" s="264"/>
    </row>
    <row r="44" spans="1:19" s="266" customFormat="1" ht="9.4499999999999993" customHeight="1" x14ac:dyDescent="0.25">
      <c r="A44" s="428"/>
      <c r="B44" s="404"/>
      <c r="C44" s="404"/>
      <c r="D44" s="404"/>
      <c r="E44" s="404"/>
      <c r="F44" s="431"/>
      <c r="G44" s="431"/>
      <c r="I44" s="431"/>
      <c r="J44" s="404"/>
      <c r="K44" s="433"/>
      <c r="L44" s="404"/>
      <c r="M44" s="431"/>
      <c r="N44" s="432"/>
      <c r="O44" s="432"/>
      <c r="P44" s="432"/>
      <c r="Q44" s="262"/>
      <c r="R44" s="263"/>
      <c r="S44" s="264"/>
    </row>
    <row r="45" spans="1:19" s="266" customFormat="1" ht="9.4499999999999993" customHeight="1" x14ac:dyDescent="0.25">
      <c r="A45" s="428"/>
      <c r="B45" s="431"/>
      <c r="C45" s="431"/>
      <c r="D45" s="431"/>
      <c r="E45" s="404"/>
      <c r="F45" s="431"/>
      <c r="G45" s="431"/>
      <c r="H45" s="431"/>
      <c r="I45" s="431"/>
      <c r="J45" s="404"/>
      <c r="K45" s="431"/>
      <c r="L45" s="431"/>
      <c r="M45" s="431"/>
      <c r="N45" s="432"/>
      <c r="O45" s="432"/>
      <c r="P45" s="432"/>
      <c r="Q45" s="262"/>
      <c r="R45" s="263"/>
      <c r="S45" s="264"/>
    </row>
    <row r="46" spans="1:19" s="266" customFormat="1" ht="9.4499999999999993" customHeight="1" x14ac:dyDescent="0.25">
      <c r="A46" s="428"/>
      <c r="B46" s="404"/>
      <c r="C46" s="404"/>
      <c r="D46" s="404"/>
      <c r="E46" s="404"/>
      <c r="F46" s="431"/>
      <c r="G46" s="431"/>
      <c r="I46" s="433"/>
      <c r="J46" s="404"/>
      <c r="K46" s="431"/>
      <c r="L46" s="431"/>
      <c r="M46" s="431"/>
      <c r="N46" s="432"/>
      <c r="O46" s="432"/>
      <c r="P46" s="432"/>
      <c r="Q46" s="262"/>
      <c r="R46" s="263"/>
      <c r="S46" s="264"/>
    </row>
    <row r="47" spans="1:19" s="266" customFormat="1" ht="9.4499999999999993" customHeight="1" x14ac:dyDescent="0.25">
      <c r="A47" s="430"/>
      <c r="B47" s="431"/>
      <c r="C47" s="431"/>
      <c r="D47" s="431"/>
      <c r="E47" s="404"/>
      <c r="F47" s="431"/>
      <c r="G47" s="431"/>
      <c r="H47" s="431"/>
      <c r="I47" s="431"/>
      <c r="J47" s="404"/>
      <c r="K47" s="431"/>
      <c r="L47" s="431"/>
      <c r="M47" s="431"/>
      <c r="N47" s="431"/>
      <c r="O47" s="260"/>
      <c r="P47" s="260"/>
      <c r="Q47" s="262"/>
      <c r="R47" s="263"/>
      <c r="S47" s="264"/>
    </row>
    <row r="48" spans="1:19" s="311" customFormat="1" ht="6.75" customHeight="1" x14ac:dyDescent="0.25">
      <c r="A48" s="305"/>
      <c r="B48" s="305"/>
      <c r="C48" s="305"/>
      <c r="D48" s="305"/>
      <c r="E48" s="305"/>
      <c r="F48" s="435"/>
      <c r="G48" s="435"/>
      <c r="H48" s="435"/>
      <c r="I48" s="435"/>
      <c r="J48" s="307"/>
      <c r="K48" s="308"/>
      <c r="L48" s="309"/>
      <c r="M48" s="308"/>
      <c r="N48" s="309"/>
      <c r="O48" s="308"/>
      <c r="P48" s="309"/>
      <c r="Q48" s="308"/>
      <c r="R48" s="309"/>
      <c r="S48" s="310"/>
    </row>
    <row r="49" spans="1:18" s="324" customFormat="1" ht="10.5" customHeight="1" x14ac:dyDescent="0.25">
      <c r="A49" s="312" t="s">
        <v>26</v>
      </c>
      <c r="B49" s="313"/>
      <c r="C49" s="313"/>
      <c r="D49" s="314"/>
      <c r="E49" s="315" t="s">
        <v>0</v>
      </c>
      <c r="F49" s="316" t="s">
        <v>28</v>
      </c>
      <c r="G49" s="315"/>
      <c r="H49" s="317"/>
      <c r="I49" s="318"/>
      <c r="J49" s="315" t="s">
        <v>0</v>
      </c>
      <c r="K49" s="316" t="s">
        <v>35</v>
      </c>
      <c r="L49" s="319"/>
      <c r="M49" s="316" t="s">
        <v>36</v>
      </c>
      <c r="N49" s="320"/>
      <c r="O49" s="321" t="s">
        <v>37</v>
      </c>
      <c r="P49" s="321"/>
      <c r="Q49" s="322"/>
      <c r="R49" s="323"/>
    </row>
    <row r="50" spans="1:18" s="324" customFormat="1" ht="9" customHeight="1" x14ac:dyDescent="0.25">
      <c r="A50" s="436" t="s">
        <v>27</v>
      </c>
      <c r="B50" s="437"/>
      <c r="C50" s="438"/>
      <c r="D50" s="439"/>
      <c r="E50" s="440">
        <v>1</v>
      </c>
      <c r="F50" s="325" t="str">
        <f>IF(E50&gt;$R$57,,UPPER(VLOOKUP(E50,'[1]1MD ELO'!$A$7:$Q$134,2)))</f>
        <v/>
      </c>
      <c r="G50" s="331"/>
      <c r="H50" s="325"/>
      <c r="I50" s="332"/>
      <c r="J50" s="441" t="s">
        <v>1</v>
      </c>
      <c r="K50" s="442"/>
      <c r="L50" s="443"/>
      <c r="M50" s="442"/>
      <c r="N50" s="444"/>
      <c r="O50" s="445" t="s">
        <v>29</v>
      </c>
      <c r="P50" s="446"/>
      <c r="Q50" s="446"/>
      <c r="R50" s="447"/>
    </row>
    <row r="51" spans="1:18" s="324" customFormat="1" ht="9" customHeight="1" x14ac:dyDescent="0.25">
      <c r="A51" s="448" t="s">
        <v>34</v>
      </c>
      <c r="B51" s="449"/>
      <c r="C51" s="450"/>
      <c r="D51" s="451"/>
      <c r="E51" s="440">
        <v>2</v>
      </c>
      <c r="F51" s="325" t="str">
        <f>IF(E51&gt;$R$57,,UPPER(VLOOKUP(E51,'[1]1MD ELO'!$A$7:$Q$134,2)))</f>
        <v/>
      </c>
      <c r="G51" s="331"/>
      <c r="H51" s="325"/>
      <c r="I51" s="332"/>
      <c r="J51" s="441" t="s">
        <v>2</v>
      </c>
      <c r="K51" s="442"/>
      <c r="L51" s="443"/>
      <c r="M51" s="442"/>
      <c r="N51" s="444"/>
      <c r="O51" s="452"/>
      <c r="P51" s="453"/>
      <c r="Q51" s="449"/>
      <c r="R51" s="454"/>
    </row>
    <row r="52" spans="1:18" s="324" customFormat="1" ht="9" customHeight="1" x14ac:dyDescent="0.25">
      <c r="A52" s="346"/>
      <c r="B52" s="347"/>
      <c r="C52" s="348"/>
      <c r="D52" s="349"/>
      <c r="E52" s="440">
        <v>3</v>
      </c>
      <c r="F52" s="325" t="str">
        <f>IF(E52&gt;$R$57,,UPPER(VLOOKUP(E52,'[1]1MD ELO'!$A$7:$Q$134,2)))</f>
        <v/>
      </c>
      <c r="G52" s="331"/>
      <c r="H52" s="325"/>
      <c r="I52" s="332"/>
      <c r="J52" s="441" t="s">
        <v>3</v>
      </c>
      <c r="K52" s="442"/>
      <c r="L52" s="443"/>
      <c r="M52" s="442"/>
      <c r="N52" s="444"/>
      <c r="O52" s="445" t="s">
        <v>30</v>
      </c>
      <c r="P52" s="446"/>
      <c r="Q52" s="446"/>
      <c r="R52" s="447"/>
    </row>
    <row r="53" spans="1:18" s="324" customFormat="1" ht="9" customHeight="1" x14ac:dyDescent="0.25">
      <c r="A53" s="350"/>
      <c r="B53" s="236"/>
      <c r="C53" s="236"/>
      <c r="D53" s="351"/>
      <c r="E53" s="440">
        <v>4</v>
      </c>
      <c r="F53" s="325" t="str">
        <f>IF(E53&gt;$R$57,,UPPER(VLOOKUP(E53,'[1]1MD ELO'!$A$7:$Q$134,2)))</f>
        <v/>
      </c>
      <c r="G53" s="331"/>
      <c r="H53" s="325"/>
      <c r="I53" s="332"/>
      <c r="J53" s="441" t="s">
        <v>4</v>
      </c>
      <c r="K53" s="442"/>
      <c r="L53" s="443"/>
      <c r="M53" s="442"/>
      <c r="N53" s="444"/>
      <c r="O53" s="442"/>
      <c r="P53" s="443"/>
      <c r="Q53" s="442"/>
      <c r="R53" s="444"/>
    </row>
    <row r="54" spans="1:18" s="324" customFormat="1" ht="9" customHeight="1" x14ac:dyDescent="0.25">
      <c r="A54" s="352"/>
      <c r="B54" s="353"/>
      <c r="C54" s="353"/>
      <c r="D54" s="354"/>
      <c r="E54" s="440"/>
      <c r="F54" s="325"/>
      <c r="G54" s="331"/>
      <c r="H54" s="325"/>
      <c r="I54" s="332"/>
      <c r="J54" s="441" t="s">
        <v>5</v>
      </c>
      <c r="K54" s="442"/>
      <c r="L54" s="443"/>
      <c r="M54" s="442"/>
      <c r="N54" s="444"/>
      <c r="O54" s="449"/>
      <c r="P54" s="453"/>
      <c r="Q54" s="449"/>
      <c r="R54" s="454"/>
    </row>
    <row r="55" spans="1:18" s="324" customFormat="1" ht="9" customHeight="1" x14ac:dyDescent="0.25">
      <c r="A55" s="355"/>
      <c r="B55" s="356"/>
      <c r="C55" s="236"/>
      <c r="D55" s="351"/>
      <c r="E55" s="440"/>
      <c r="F55" s="325"/>
      <c r="G55" s="331"/>
      <c r="H55" s="325"/>
      <c r="I55" s="332"/>
      <c r="J55" s="441" t="s">
        <v>6</v>
      </c>
      <c r="K55" s="442"/>
      <c r="L55" s="443"/>
      <c r="M55" s="442"/>
      <c r="N55" s="444"/>
      <c r="O55" s="445" t="s">
        <v>25</v>
      </c>
      <c r="P55" s="446"/>
      <c r="Q55" s="446"/>
      <c r="R55" s="447"/>
    </row>
    <row r="56" spans="1:18" s="324" customFormat="1" ht="9" customHeight="1" x14ac:dyDescent="0.25">
      <c r="A56" s="355"/>
      <c r="B56" s="356"/>
      <c r="C56" s="357"/>
      <c r="D56" s="358"/>
      <c r="E56" s="440"/>
      <c r="F56" s="325"/>
      <c r="G56" s="331"/>
      <c r="H56" s="325"/>
      <c r="I56" s="332"/>
      <c r="J56" s="441" t="s">
        <v>7</v>
      </c>
      <c r="K56" s="442"/>
      <c r="L56" s="443"/>
      <c r="M56" s="442"/>
      <c r="N56" s="444"/>
      <c r="O56" s="442"/>
      <c r="P56" s="443"/>
      <c r="Q56" s="442"/>
      <c r="R56" s="444"/>
    </row>
    <row r="57" spans="1:18" s="324" customFormat="1" ht="9" customHeight="1" x14ac:dyDescent="0.25">
      <c r="A57" s="359"/>
      <c r="B57" s="360"/>
      <c r="C57" s="361"/>
      <c r="D57" s="362"/>
      <c r="E57" s="455"/>
      <c r="F57" s="343"/>
      <c r="G57" s="363"/>
      <c r="H57" s="343"/>
      <c r="I57" s="364"/>
      <c r="J57" s="456" t="s">
        <v>8</v>
      </c>
      <c r="K57" s="449"/>
      <c r="L57" s="453"/>
      <c r="M57" s="449"/>
      <c r="N57" s="454"/>
      <c r="O57" s="449">
        <f>R4</f>
        <v>0</v>
      </c>
      <c r="P57" s="453"/>
      <c r="Q57" s="449"/>
      <c r="R57" s="366">
        <f>MIN(4,'[1]1MD ELO'!Q5)</f>
        <v>4</v>
      </c>
    </row>
  </sheetData>
  <mergeCells count="1">
    <mergeCell ref="A4:C4"/>
  </mergeCells>
  <conditionalFormatting sqref="B39 B41 B43 B45 B47">
    <cfRule type="cellIs" dxfId="175" priority="16" stopIfTrue="1" operator="equal">
      <formula>"QA"</formula>
    </cfRule>
    <cfRule type="cellIs" dxfId="174" priority="17" stopIfTrue="1" operator="equal">
      <formula>"DA"</formula>
    </cfRule>
  </conditionalFormatting>
  <conditionalFormatting sqref="E7 E9 E11 E13 E15 E17 E19 E21 E23 E25 E27 E29 E31 E33 E35 E37">
    <cfRule type="expression" dxfId="173" priority="19" stopIfTrue="1">
      <formula>$E7&lt;5</formula>
    </cfRule>
  </conditionalFormatting>
  <conditionalFormatting sqref="E39 E41 E43 E45 E47">
    <cfRule type="expression" dxfId="172" priority="11" stopIfTrue="1">
      <formula>AND($E39&lt;9,$C39&gt;0)</formula>
    </cfRule>
  </conditionalFormatting>
  <conditionalFormatting sqref="F7">
    <cfRule type="cellIs" dxfId="171" priority="6" stopIfTrue="1" operator="equal">
      <formula>"Bye"</formula>
    </cfRule>
  </conditionalFormatting>
  <conditionalFormatting sqref="F9 F35">
    <cfRule type="cellIs" dxfId="170" priority="20" stopIfTrue="1" operator="equal">
      <formula>"Bye"</formula>
    </cfRule>
  </conditionalFormatting>
  <conditionalFormatting sqref="F11 F13 F15 F17 F19 F21 F23 F25 F27 F29 F31 F33">
    <cfRule type="cellIs" dxfId="169" priority="4" stopIfTrue="1" operator="equal">
      <formula>"Bye"</formula>
    </cfRule>
  </conditionalFormatting>
  <conditionalFormatting sqref="F37">
    <cfRule type="cellIs" dxfId="168" priority="2" stopIfTrue="1" operator="equal">
      <formula>"Bye"</formula>
    </cfRule>
  </conditionalFormatting>
  <conditionalFormatting sqref="F39 F41 F43 F45 F47">
    <cfRule type="cellIs" dxfId="167" priority="12" stopIfTrue="1" operator="equal">
      <formula>"Bye"</formula>
    </cfRule>
    <cfRule type="expression" dxfId="166" priority="13" stopIfTrue="1">
      <formula>AND($E39&lt;9,$C39&gt;0)</formula>
    </cfRule>
  </conditionalFormatting>
  <conditionalFormatting sqref="H7">
    <cfRule type="expression" dxfId="165" priority="5" stopIfTrue="1">
      <formula>AND($E7&lt;9,$C7&gt;0)</formula>
    </cfRule>
  </conditionalFormatting>
  <conditionalFormatting sqref="H9 H35 G39:I39 G41:I41 G43:I43 G45:I45 G47:I47">
    <cfRule type="expression" dxfId="164" priority="7" stopIfTrue="1">
      <formula>AND($E9&lt;9,$C9&gt;0)</formula>
    </cfRule>
  </conditionalFormatting>
  <conditionalFormatting sqref="H11 H13 H15 H17 H19 H21 H23 H25 H27 H29 H31 H33">
    <cfRule type="expression" dxfId="163" priority="3" stopIfTrue="1">
      <formula>AND($E11&lt;9,$C11&gt;0)</formula>
    </cfRule>
  </conditionalFormatting>
  <conditionalFormatting sqref="H37">
    <cfRule type="expression" dxfId="162" priority="1" stopIfTrue="1">
      <formula>AND($E37&lt;9,$C37&gt;0)</formula>
    </cfRule>
  </conditionalFormatting>
  <conditionalFormatting sqref="I8 K10 I12 M14 I16 K18 I20 O22 I24 K26 I28 M30 I32 K34 I36 M40 I42 K44 I46">
    <cfRule type="expression" dxfId="161" priority="8" stopIfTrue="1">
      <formula>AND($O$1="CU",I8="Umpire")</formula>
    </cfRule>
    <cfRule type="expression" dxfId="160" priority="9" stopIfTrue="1">
      <formula>AND($O$1="CU",I8&lt;&gt;"Umpire",J8&lt;&gt;"")</formula>
    </cfRule>
    <cfRule type="expression" dxfId="159" priority="10" stopIfTrue="1">
      <formula>AND($O$1="CU",I8&lt;&gt;"Umpire")</formula>
    </cfRule>
  </conditionalFormatting>
  <conditionalFormatting sqref="J8 L10 J12 N14 J16 L18 J20 P22 J24 L26 J28 N30 J32 L34 J36 R57">
    <cfRule type="expression" dxfId="158" priority="18" stopIfTrue="1">
      <formula>$O$1="CU"</formula>
    </cfRule>
  </conditionalFormatting>
  <conditionalFormatting sqref="K8 M10 K12 O14 K16 M18 K20 Q22 K24 M26 K28 O30 K32 M34 K36 O40 K42 M44 K46">
    <cfRule type="expression" dxfId="157" priority="14" stopIfTrue="1">
      <formula>J8="as"</formula>
    </cfRule>
    <cfRule type="expression" dxfId="156" priority="15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8FF07521-2912-4838-A693-4E3243DB1B9D}">
      <formula1>$U$7:$U$16</formula1>
    </dataValidation>
  </dataValidations>
  <printOptions horizontalCentered="1"/>
  <pageMargins left="0.35" right="0.35" top="0.39" bottom="0.39" header="0" footer="0"/>
  <pageSetup paperSize="9" scale="81" orientation="landscape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E9B87-9941-48AF-964C-119934860C42}">
  <sheetPr>
    <tabColor indexed="11"/>
  </sheetPr>
  <dimension ref="A1:AS140"/>
  <sheetViews>
    <sheetView workbookViewId="0">
      <selection activeCell="B1" sqref="B1"/>
    </sheetView>
  </sheetViews>
  <sheetFormatPr defaultColWidth="8.77734375" defaultRowHeight="13.2" x14ac:dyDescent="0.25"/>
  <cols>
    <col min="1" max="2" width="3.33203125" style="287" customWidth="1"/>
    <col min="3" max="3" width="4.6640625" style="287" customWidth="1"/>
    <col min="4" max="4" width="7.33203125" style="287" customWidth="1"/>
    <col min="5" max="5" width="4.33203125" style="287" customWidth="1"/>
    <col min="6" max="6" width="12.6640625" style="287" customWidth="1"/>
    <col min="7" max="7" width="2.6640625" style="287" customWidth="1"/>
    <col min="8" max="8" width="7.6640625" style="287" customWidth="1"/>
    <col min="9" max="9" width="5.77734375" style="287" customWidth="1"/>
    <col min="10" max="10" width="1.6640625" style="367" customWidth="1"/>
    <col min="11" max="11" width="10.6640625" style="287" customWidth="1"/>
    <col min="12" max="12" width="1.6640625" style="367" customWidth="1"/>
    <col min="13" max="13" width="10.6640625" style="287" customWidth="1"/>
    <col min="14" max="14" width="1.6640625" style="368" customWidth="1"/>
    <col min="15" max="15" width="10.6640625" style="287" customWidth="1"/>
    <col min="16" max="16" width="1.6640625" style="367" customWidth="1"/>
    <col min="17" max="17" width="10.6640625" style="287" customWidth="1"/>
    <col min="18" max="18" width="1.6640625" style="368" customWidth="1"/>
    <col min="19" max="19" width="9.109375" style="287" hidden="1" customWidth="1"/>
    <col min="20" max="20" width="8.6640625" style="287" customWidth="1"/>
    <col min="21" max="21" width="9.109375" style="287" hidden="1" customWidth="1"/>
    <col min="22" max="24" width="8.77734375" style="287"/>
    <col min="25" max="27" width="0" style="287" hidden="1" customWidth="1"/>
    <col min="28" max="28" width="10.33203125" style="287" hidden="1" customWidth="1"/>
    <col min="29" max="34" width="0" style="287" hidden="1" customWidth="1"/>
    <col min="35" max="37" width="9.109375" style="369" customWidth="1"/>
    <col min="38" max="16384" width="8.77734375" style="287"/>
  </cols>
  <sheetData>
    <row r="1" spans="1:45" s="209" customFormat="1" ht="21.75" customHeight="1" x14ac:dyDescent="0.25">
      <c r="A1" s="202" t="str">
        <f>[3]Altalanos!$A$6</f>
        <v>OB</v>
      </c>
      <c r="B1" s="202"/>
      <c r="C1" s="203"/>
      <c r="D1" s="203"/>
      <c r="E1" s="203"/>
      <c r="F1" s="203"/>
      <c r="G1" s="203"/>
      <c r="H1" s="202"/>
      <c r="I1" s="204"/>
      <c r="J1" s="205"/>
      <c r="K1" s="206" t="s">
        <v>33</v>
      </c>
      <c r="L1" s="207"/>
      <c r="M1" s="208"/>
      <c r="N1" s="205"/>
      <c r="O1" s="205" t="s">
        <v>9</v>
      </c>
      <c r="P1" s="205"/>
      <c r="Q1" s="203"/>
      <c r="R1" s="205"/>
      <c r="T1" s="210"/>
      <c r="U1" s="210"/>
      <c r="V1" s="210"/>
      <c r="W1" s="210"/>
      <c r="X1" s="210"/>
      <c r="Y1" s="210"/>
      <c r="Z1" s="210"/>
      <c r="AA1" s="210"/>
      <c r="AB1" s="211" t="e">
        <f>IF($Y$5=1,CONCATENATE(VLOOKUP($Y$3,$AA$2:$AH$14,2)),CONCATENATE(VLOOKUP($Y$3,$AA$16:$AH$25,2)))</f>
        <v>#N/A</v>
      </c>
      <c r="AC1" s="211" t="e">
        <f>IF($Y$5=1,CONCATENATE(VLOOKUP($Y$3,$AA$2:$AH$14,3)),CONCATENATE(VLOOKUP($Y$3,$AA$16:$AH$25,3)))</f>
        <v>#N/A</v>
      </c>
      <c r="AD1" s="211" t="e">
        <f>IF($Y$5=1,CONCATENATE(VLOOKUP($Y$3,$AA$2:$AH$14,4)),CONCATENATE(VLOOKUP($Y$3,$AA$16:$AH$25,4)))</f>
        <v>#N/A</v>
      </c>
      <c r="AE1" s="211" t="e">
        <f>IF($Y$5=1,CONCATENATE(VLOOKUP($Y$3,$AA$2:$AH$14,5)),CONCATENATE(VLOOKUP($Y$3,$AA$16:$AH$25,5)))</f>
        <v>#N/A</v>
      </c>
      <c r="AF1" s="211" t="e">
        <f>IF($Y$5=1,CONCATENATE(VLOOKUP($Y$3,$AA$2:$AH$14,6)),CONCATENATE(VLOOKUP($Y$3,$AA$16:$AH$25,6)))</f>
        <v>#N/A</v>
      </c>
      <c r="AG1" s="211" t="e">
        <f>IF($Y$5=1,CONCATENATE(VLOOKUP($Y$3,$AA$2:$AH$14,7)),CONCATENATE(VLOOKUP($Y$3,$AA$16:$AH$25,7)))</f>
        <v>#N/A</v>
      </c>
      <c r="AH1" s="211" t="e">
        <f>IF($Y$5=1,CONCATENATE(VLOOKUP($Y$3,$AA$2:$AH$14,8)),CONCATENATE(VLOOKUP($Y$3,$AA$16:$AH$25,8)))</f>
        <v>#N/A</v>
      </c>
      <c r="AI1" s="212"/>
      <c r="AJ1" s="212"/>
      <c r="AK1" s="212"/>
    </row>
    <row r="2" spans="1:45" s="218" customFormat="1" x14ac:dyDescent="0.25">
      <c r="A2" s="213" t="s">
        <v>32</v>
      </c>
      <c r="B2" s="214"/>
      <c r="C2" s="214"/>
      <c r="D2" s="214"/>
      <c r="E2" s="214">
        <f>[3]Altalanos!$A$8</f>
        <v>0</v>
      </c>
      <c r="F2" s="214"/>
      <c r="G2" s="215"/>
      <c r="H2" s="216"/>
      <c r="I2" s="216"/>
      <c r="J2" s="217"/>
      <c r="K2" s="207"/>
      <c r="L2" s="207"/>
      <c r="M2" s="207"/>
      <c r="N2" s="217"/>
      <c r="O2" s="216"/>
      <c r="P2" s="217"/>
      <c r="Q2" s="216"/>
      <c r="R2" s="217"/>
      <c r="T2" s="219"/>
      <c r="U2" s="219"/>
      <c r="V2" s="219"/>
      <c r="W2" s="219"/>
      <c r="X2" s="219"/>
      <c r="Y2" s="220"/>
      <c r="Z2" s="221"/>
      <c r="AA2" s="221" t="s">
        <v>43</v>
      </c>
      <c r="AB2" s="222">
        <v>300</v>
      </c>
      <c r="AC2" s="222">
        <v>250</v>
      </c>
      <c r="AD2" s="222">
        <v>200</v>
      </c>
      <c r="AE2" s="222">
        <v>150</v>
      </c>
      <c r="AF2" s="222">
        <v>120</v>
      </c>
      <c r="AG2" s="222">
        <v>90</v>
      </c>
      <c r="AH2" s="222">
        <v>40</v>
      </c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</row>
    <row r="3" spans="1:45" s="226" customFormat="1" ht="11.25" customHeight="1" x14ac:dyDescent="0.25">
      <c r="A3" s="223" t="s">
        <v>17</v>
      </c>
      <c r="B3" s="223"/>
      <c r="C3" s="223"/>
      <c r="D3" s="223"/>
      <c r="E3" s="223"/>
      <c r="F3" s="223"/>
      <c r="G3" s="223" t="s">
        <v>14</v>
      </c>
      <c r="H3" s="223"/>
      <c r="I3" s="223"/>
      <c r="J3" s="224"/>
      <c r="K3" s="223" t="s">
        <v>22</v>
      </c>
      <c r="L3" s="224"/>
      <c r="M3" s="223"/>
      <c r="N3" s="224"/>
      <c r="O3" s="223"/>
      <c r="P3" s="224"/>
      <c r="Q3" s="223"/>
      <c r="R3" s="225" t="s">
        <v>23</v>
      </c>
      <c r="T3" s="227"/>
      <c r="U3" s="227"/>
      <c r="V3" s="227"/>
      <c r="W3" s="227"/>
      <c r="X3" s="227"/>
      <c r="Y3" s="221" t="str">
        <f>IF(K4="OB","A",IF(K4="IX","W",IF(K4="","",K4)))</f>
        <v/>
      </c>
      <c r="Z3" s="221"/>
      <c r="AA3" s="221" t="s">
        <v>44</v>
      </c>
      <c r="AB3" s="222">
        <v>280</v>
      </c>
      <c r="AC3" s="222">
        <v>230</v>
      </c>
      <c r="AD3" s="222">
        <v>180</v>
      </c>
      <c r="AE3" s="222">
        <v>140</v>
      </c>
      <c r="AF3" s="222">
        <v>80</v>
      </c>
      <c r="AG3" s="222">
        <v>0</v>
      </c>
      <c r="AH3" s="222">
        <v>0</v>
      </c>
      <c r="AI3" s="219"/>
      <c r="AJ3" s="219"/>
      <c r="AK3" s="219"/>
      <c r="AL3" s="227"/>
      <c r="AM3" s="227"/>
      <c r="AN3" s="227"/>
      <c r="AO3" s="227"/>
      <c r="AP3" s="227"/>
      <c r="AQ3" s="227"/>
      <c r="AR3" s="227"/>
      <c r="AS3" s="227"/>
    </row>
    <row r="4" spans="1:45" s="234" customFormat="1" ht="11.25" customHeight="1" thickBot="1" x14ac:dyDescent="0.3">
      <c r="A4" s="551">
        <f>[3]Altalanos!$A$10</f>
        <v>0</v>
      </c>
      <c r="B4" s="551"/>
      <c r="C4" s="551"/>
      <c r="D4" s="228"/>
      <c r="E4" s="229"/>
      <c r="F4" s="229"/>
      <c r="G4" s="229">
        <f>[3]Altalanos!$C$10</f>
        <v>0</v>
      </c>
      <c r="H4" s="230"/>
      <c r="I4" s="229"/>
      <c r="J4" s="231"/>
      <c r="K4" s="136"/>
      <c r="L4" s="231"/>
      <c r="M4" s="232"/>
      <c r="N4" s="231"/>
      <c r="O4" s="229"/>
      <c r="P4" s="231"/>
      <c r="Q4" s="229"/>
      <c r="R4" s="233">
        <f>[3]Altalanos!$E$10</f>
        <v>0</v>
      </c>
      <c r="T4" s="235"/>
      <c r="U4" s="235"/>
      <c r="V4" s="235"/>
      <c r="W4" s="235"/>
      <c r="X4" s="235"/>
      <c r="Y4" s="221"/>
      <c r="Z4" s="221"/>
      <c r="AA4" s="221" t="s">
        <v>67</v>
      </c>
      <c r="AB4" s="222">
        <v>250</v>
      </c>
      <c r="AC4" s="222">
        <v>200</v>
      </c>
      <c r="AD4" s="222">
        <v>150</v>
      </c>
      <c r="AE4" s="222">
        <v>120</v>
      </c>
      <c r="AF4" s="222">
        <v>90</v>
      </c>
      <c r="AG4" s="222">
        <v>60</v>
      </c>
      <c r="AH4" s="222">
        <v>25</v>
      </c>
      <c r="AI4" s="219"/>
      <c r="AJ4" s="219"/>
      <c r="AK4" s="219"/>
      <c r="AL4" s="235"/>
      <c r="AM4" s="235"/>
      <c r="AN4" s="235"/>
      <c r="AO4" s="235"/>
      <c r="AP4" s="235"/>
      <c r="AQ4" s="235"/>
      <c r="AR4" s="235"/>
      <c r="AS4" s="235"/>
    </row>
    <row r="5" spans="1:45" s="226" customFormat="1" x14ac:dyDescent="0.25">
      <c r="A5" s="236"/>
      <c r="B5" s="237" t="s">
        <v>93</v>
      </c>
      <c r="C5" s="238" t="s">
        <v>26</v>
      </c>
      <c r="D5" s="237" t="s">
        <v>94</v>
      </c>
      <c r="E5" s="237" t="s">
        <v>95</v>
      </c>
      <c r="F5" s="239" t="s">
        <v>20</v>
      </c>
      <c r="G5" s="239" t="s">
        <v>21</v>
      </c>
      <c r="H5" s="239"/>
      <c r="I5" s="239" t="s">
        <v>24</v>
      </c>
      <c r="J5" s="239"/>
      <c r="K5" s="237" t="s">
        <v>96</v>
      </c>
      <c r="L5" s="240"/>
      <c r="M5" s="237" t="s">
        <v>97</v>
      </c>
      <c r="N5" s="240"/>
      <c r="O5" s="237" t="s">
        <v>98</v>
      </c>
      <c r="P5" s="240"/>
      <c r="Q5" s="237"/>
      <c r="R5" s="241"/>
      <c r="T5" s="227"/>
      <c r="U5" s="227"/>
      <c r="V5" s="227"/>
      <c r="W5" s="227"/>
      <c r="X5" s="227"/>
      <c r="Y5" s="221">
        <f>IF(OR([3]Altalanos!$A$8="F1",[3]Altalanos!$A$8="F2",[3]Altalanos!$A$8="N1",[3]Altalanos!$A$8="N2"),1,2)</f>
        <v>2</v>
      </c>
      <c r="Z5" s="221"/>
      <c r="AA5" s="221" t="s">
        <v>68</v>
      </c>
      <c r="AB5" s="222">
        <v>200</v>
      </c>
      <c r="AC5" s="222">
        <v>150</v>
      </c>
      <c r="AD5" s="222">
        <v>120</v>
      </c>
      <c r="AE5" s="222">
        <v>90</v>
      </c>
      <c r="AF5" s="222">
        <v>60</v>
      </c>
      <c r="AG5" s="222">
        <v>40</v>
      </c>
      <c r="AH5" s="222">
        <v>15</v>
      </c>
      <c r="AI5" s="219"/>
      <c r="AJ5" s="219"/>
      <c r="AK5" s="219"/>
      <c r="AL5" s="227"/>
      <c r="AM5" s="227"/>
      <c r="AN5" s="227"/>
      <c r="AO5" s="227"/>
      <c r="AP5" s="227"/>
      <c r="AQ5" s="227"/>
      <c r="AR5" s="227"/>
      <c r="AS5" s="227"/>
    </row>
    <row r="6" spans="1:45" s="248" customFormat="1" ht="10.95" customHeight="1" thickBot="1" x14ac:dyDescent="0.3">
      <c r="A6" s="242"/>
      <c r="B6" s="243"/>
      <c r="C6" s="243"/>
      <c r="D6" s="243"/>
      <c r="E6" s="243"/>
      <c r="F6" s="242" t="str">
        <f>IF(Y3="","",CONCATENATE(VLOOKUP(Y3,AB1:AH1,4)," pont"))</f>
        <v/>
      </c>
      <c r="G6" s="244"/>
      <c r="H6" s="245"/>
      <c r="I6" s="244"/>
      <c r="J6" s="246"/>
      <c r="K6" s="243" t="str">
        <f>IF(Y3="","",CONCATENATE(VLOOKUP(Y3,AB1:AH1,3)," pont"))</f>
        <v/>
      </c>
      <c r="L6" s="246"/>
      <c r="M6" s="243" t="str">
        <f>IF(Y3="","",CONCATENATE(VLOOKUP(Y3,AB1:AH1,2)," pont"))</f>
        <v/>
      </c>
      <c r="N6" s="246"/>
      <c r="O6" s="243" t="str">
        <f>IF(Y3="","",CONCATENATE(VLOOKUP(Y3,AB1:AH1,1)," pont"))</f>
        <v/>
      </c>
      <c r="P6" s="246"/>
      <c r="Q6" s="243"/>
      <c r="R6" s="247"/>
      <c r="T6" s="249"/>
      <c r="U6" s="249"/>
      <c r="V6" s="249"/>
      <c r="W6" s="249"/>
      <c r="X6" s="249"/>
      <c r="Y6" s="250"/>
      <c r="Z6" s="250"/>
      <c r="AA6" s="250" t="s">
        <v>69</v>
      </c>
      <c r="AB6" s="251">
        <v>150</v>
      </c>
      <c r="AC6" s="251">
        <v>120</v>
      </c>
      <c r="AD6" s="251">
        <v>90</v>
      </c>
      <c r="AE6" s="251">
        <v>60</v>
      </c>
      <c r="AF6" s="251">
        <v>40</v>
      </c>
      <c r="AG6" s="251">
        <v>25</v>
      </c>
      <c r="AH6" s="251">
        <v>10</v>
      </c>
      <c r="AI6" s="252"/>
      <c r="AJ6" s="252"/>
      <c r="AK6" s="252"/>
      <c r="AL6" s="249"/>
      <c r="AM6" s="249"/>
      <c r="AN6" s="249"/>
      <c r="AO6" s="249"/>
      <c r="AP6" s="249"/>
      <c r="AQ6" s="249"/>
      <c r="AR6" s="249"/>
      <c r="AS6" s="249"/>
    </row>
    <row r="7" spans="1:45" s="266" customFormat="1" ht="13.05" customHeight="1" x14ac:dyDescent="0.25">
      <c r="A7" s="253">
        <v>1</v>
      </c>
      <c r="B7" s="254" t="str">
        <f>IF($E7="","",VLOOKUP($E7,'[3]1MD ELO'!$A$7:$O$22,14))</f>
        <v/>
      </c>
      <c r="C7" s="255" t="str">
        <f>IF($E7="","",VLOOKUP($E7,'[3]1MD ELO'!$A$7:$O$22,15))</f>
        <v/>
      </c>
      <c r="D7" s="255" t="str">
        <f>IF($E7="","",VLOOKUP($E7,'[3]1MD ELO'!$A$7:$O$22,5))</f>
        <v/>
      </c>
      <c r="E7" s="256"/>
      <c r="F7" s="257" t="str">
        <f>UPPER(IF($E7="","",VLOOKUP($E7,'[3]1MD ELO'!$A$7:$O$22,2)))</f>
        <v/>
      </c>
      <c r="G7" s="257" t="str">
        <f>IF($E7="","",VLOOKUP($E7,'[3]1MD ELO'!$A$7:$O$22,3))</f>
        <v/>
      </c>
      <c r="H7" s="257"/>
      <c r="I7" s="257" t="str">
        <f>IF($E7="","",VLOOKUP($E7,'[3]1MD ELO'!$A$7:$O$22,4))</f>
        <v/>
      </c>
      <c r="J7" s="258"/>
      <c r="K7" s="259"/>
      <c r="L7" s="259"/>
      <c r="M7" s="259"/>
      <c r="N7" s="259"/>
      <c r="O7" s="260"/>
      <c r="P7" s="261"/>
      <c r="Q7" s="262"/>
      <c r="R7" s="263"/>
      <c r="S7" s="264"/>
      <c r="T7" s="264"/>
      <c r="U7" s="265" t="str">
        <f>[3]Birók!P21</f>
        <v>Bíró</v>
      </c>
      <c r="V7" s="264"/>
      <c r="W7" s="264"/>
      <c r="X7" s="264"/>
      <c r="Y7" s="221"/>
      <c r="Z7" s="221"/>
      <c r="AA7" s="221" t="s">
        <v>70</v>
      </c>
      <c r="AB7" s="222">
        <v>120</v>
      </c>
      <c r="AC7" s="222">
        <v>90</v>
      </c>
      <c r="AD7" s="222">
        <v>60</v>
      </c>
      <c r="AE7" s="222">
        <v>40</v>
      </c>
      <c r="AF7" s="222">
        <v>25</v>
      </c>
      <c r="AG7" s="222">
        <v>10</v>
      </c>
      <c r="AH7" s="222">
        <v>5</v>
      </c>
      <c r="AI7" s="219"/>
      <c r="AJ7" s="219"/>
      <c r="AK7" s="219"/>
      <c r="AL7" s="264"/>
      <c r="AM7" s="264"/>
      <c r="AN7" s="264"/>
      <c r="AO7" s="264"/>
      <c r="AP7" s="264"/>
      <c r="AQ7" s="264"/>
      <c r="AR7" s="264"/>
      <c r="AS7" s="264"/>
    </row>
    <row r="8" spans="1:45" s="266" customFormat="1" ht="13.05" customHeight="1" x14ac:dyDescent="0.25">
      <c r="A8" s="267"/>
      <c r="B8" s="268"/>
      <c r="C8" s="269"/>
      <c r="D8" s="269"/>
      <c r="E8" s="270"/>
      <c r="F8" s="271"/>
      <c r="G8" s="271"/>
      <c r="H8" s="272"/>
      <c r="I8" s="273" t="s">
        <v>99</v>
      </c>
      <c r="J8" s="274"/>
      <c r="K8" s="275" t="str">
        <f>UPPER(IF(OR(J8="a",J8="as"),F7,IF(OR(J8="b",J8="bs"),F9,)))</f>
        <v/>
      </c>
      <c r="L8" s="275"/>
      <c r="M8" s="259"/>
      <c r="N8" s="259"/>
      <c r="O8" s="260"/>
      <c r="P8" s="261"/>
      <c r="Q8" s="262"/>
      <c r="R8" s="263"/>
      <c r="S8" s="264"/>
      <c r="T8" s="264"/>
      <c r="U8" s="276" t="str">
        <f>[3]Birók!P22</f>
        <v xml:space="preserve"> </v>
      </c>
      <c r="V8" s="264"/>
      <c r="W8" s="264"/>
      <c r="X8" s="264"/>
      <c r="Y8" s="221"/>
      <c r="Z8" s="221"/>
      <c r="AA8" s="221" t="s">
        <v>71</v>
      </c>
      <c r="AB8" s="222">
        <v>90</v>
      </c>
      <c r="AC8" s="222">
        <v>60</v>
      </c>
      <c r="AD8" s="222">
        <v>40</v>
      </c>
      <c r="AE8" s="222">
        <v>25</v>
      </c>
      <c r="AF8" s="222">
        <v>10</v>
      </c>
      <c r="AG8" s="222">
        <v>5</v>
      </c>
      <c r="AH8" s="222">
        <v>2</v>
      </c>
      <c r="AI8" s="219"/>
      <c r="AJ8" s="219"/>
      <c r="AK8" s="219"/>
      <c r="AL8" s="264"/>
      <c r="AM8" s="264"/>
      <c r="AN8" s="264"/>
      <c r="AO8" s="264"/>
      <c r="AP8" s="264"/>
      <c r="AQ8" s="264"/>
      <c r="AR8" s="264"/>
      <c r="AS8" s="264"/>
    </row>
    <row r="9" spans="1:45" s="266" customFormat="1" ht="13.05" customHeight="1" x14ac:dyDescent="0.25">
      <c r="A9" s="267">
        <v>2</v>
      </c>
      <c r="B9" s="254" t="str">
        <f>IF($E9="","",VLOOKUP($E9,'[3]1MD ELO'!$A$7:$O$22,14))</f>
        <v/>
      </c>
      <c r="C9" s="255" t="str">
        <f>IF($E9="","",VLOOKUP($E9,'[3]1MD ELO'!$A$7:$O$22,15))</f>
        <v/>
      </c>
      <c r="D9" s="255" t="str">
        <f>IF($E9="","",VLOOKUP($E9,'[3]1MD ELO'!$A$7:$O$22,5))</f>
        <v/>
      </c>
      <c r="E9" s="277"/>
      <c r="F9" s="278" t="str">
        <f>UPPER(IF($E9="","",VLOOKUP($E9,'[3]1MD ELO'!$A$7:$O$22,2)))</f>
        <v/>
      </c>
      <c r="G9" s="278" t="str">
        <f>IF($E9="","",VLOOKUP($E9,'[3]1MD ELO'!$A$7:$O$22,3))</f>
        <v/>
      </c>
      <c r="H9" s="278"/>
      <c r="I9" s="278" t="str">
        <f>IF($E9="","",VLOOKUP($E9,'[3]1MD ELO'!$A$7:$O$22,4))</f>
        <v/>
      </c>
      <c r="J9" s="279"/>
      <c r="K9" s="259"/>
      <c r="L9" s="280"/>
      <c r="M9" s="259"/>
      <c r="N9" s="259"/>
      <c r="O9" s="260"/>
      <c r="P9" s="261"/>
      <c r="Q9" s="262"/>
      <c r="R9" s="263"/>
      <c r="S9" s="264"/>
      <c r="T9" s="264"/>
      <c r="U9" s="276" t="str">
        <f>[3]Birók!P23</f>
        <v xml:space="preserve"> </v>
      </c>
      <c r="V9" s="264"/>
      <c r="W9" s="264"/>
      <c r="X9" s="264"/>
      <c r="Y9" s="221"/>
      <c r="Z9" s="221"/>
      <c r="AA9" s="221" t="s">
        <v>72</v>
      </c>
      <c r="AB9" s="222">
        <v>60</v>
      </c>
      <c r="AC9" s="222">
        <v>40</v>
      </c>
      <c r="AD9" s="222">
        <v>25</v>
      </c>
      <c r="AE9" s="222">
        <v>10</v>
      </c>
      <c r="AF9" s="222">
        <v>5</v>
      </c>
      <c r="AG9" s="222">
        <v>2</v>
      </c>
      <c r="AH9" s="222">
        <v>1</v>
      </c>
      <c r="AI9" s="219"/>
      <c r="AJ9" s="219"/>
      <c r="AK9" s="219"/>
      <c r="AL9" s="264"/>
      <c r="AM9" s="264"/>
      <c r="AN9" s="264"/>
      <c r="AO9" s="264"/>
      <c r="AP9" s="264"/>
      <c r="AQ9" s="264"/>
      <c r="AR9" s="264"/>
      <c r="AS9" s="264"/>
    </row>
    <row r="10" spans="1:45" s="266" customFormat="1" ht="13.05" customHeight="1" x14ac:dyDescent="0.25">
      <c r="A10" s="267"/>
      <c r="B10" s="268"/>
      <c r="C10" s="269"/>
      <c r="D10" s="269"/>
      <c r="E10" s="281"/>
      <c r="F10" s="271"/>
      <c r="G10" s="271"/>
      <c r="H10" s="272"/>
      <c r="I10" s="271"/>
      <c r="J10" s="282"/>
      <c r="K10" s="273" t="s">
        <v>99</v>
      </c>
      <c r="L10" s="283"/>
      <c r="M10" s="275" t="s">
        <v>133</v>
      </c>
      <c r="N10" s="284"/>
      <c r="O10" s="285"/>
      <c r="P10" s="285"/>
      <c r="Q10" s="262"/>
      <c r="R10" s="263"/>
      <c r="S10" s="264"/>
      <c r="T10" s="264"/>
      <c r="U10" s="276" t="str">
        <f>[3]Birók!P24</f>
        <v xml:space="preserve"> </v>
      </c>
      <c r="V10" s="264"/>
      <c r="W10" s="264"/>
      <c r="X10" s="264"/>
      <c r="Y10" s="221"/>
      <c r="Z10" s="221"/>
      <c r="AA10" s="221" t="s">
        <v>73</v>
      </c>
      <c r="AB10" s="222">
        <v>40</v>
      </c>
      <c r="AC10" s="222">
        <v>25</v>
      </c>
      <c r="AD10" s="222">
        <v>15</v>
      </c>
      <c r="AE10" s="222">
        <v>7</v>
      </c>
      <c r="AF10" s="222">
        <v>4</v>
      </c>
      <c r="AG10" s="222">
        <v>1</v>
      </c>
      <c r="AH10" s="222">
        <v>0</v>
      </c>
      <c r="AI10" s="219"/>
      <c r="AJ10" s="219"/>
      <c r="AK10" s="219"/>
      <c r="AL10" s="264"/>
      <c r="AM10" s="264"/>
      <c r="AN10" s="264"/>
      <c r="AO10" s="264"/>
      <c r="AP10" s="264"/>
      <c r="AQ10" s="264"/>
      <c r="AR10" s="264"/>
      <c r="AS10" s="264"/>
    </row>
    <row r="11" spans="1:45" s="266" customFormat="1" ht="13.05" customHeight="1" x14ac:dyDescent="0.25">
      <c r="A11" s="267">
        <v>3</v>
      </c>
      <c r="B11" s="254" t="str">
        <f>IF($E11="","",VLOOKUP($E11,'[3]1MD ELO'!$A$7:$O$22,14))</f>
        <v/>
      </c>
      <c r="C11" s="255" t="str">
        <f>IF($E11="","",VLOOKUP($E11,'[3]1MD ELO'!$A$7:$O$22,15))</f>
        <v/>
      </c>
      <c r="D11" s="255" t="str">
        <f>IF($E11="","",VLOOKUP($E11,'[3]1MD ELO'!$A$7:$O$22,5))</f>
        <v/>
      </c>
      <c r="E11" s="277"/>
      <c r="F11" s="278" t="str">
        <f>UPPER(IF($E11="","",VLOOKUP($E11,'[3]1MD ELO'!$A$7:$O$22,2)))</f>
        <v/>
      </c>
      <c r="G11" s="278" t="str">
        <f>IF($E11="","",VLOOKUP($E11,'[3]1MD ELO'!$A$7:$O$22,3))</f>
        <v/>
      </c>
      <c r="H11" s="278"/>
      <c r="I11" s="278" t="str">
        <f>IF($E11="","",VLOOKUP($E11,'[3]1MD ELO'!$A$7:$O$22,4))</f>
        <v/>
      </c>
      <c r="J11" s="258"/>
      <c r="K11" s="259"/>
      <c r="L11" s="286"/>
      <c r="M11" s="259" t="s">
        <v>134</v>
      </c>
      <c r="N11" s="288"/>
      <c r="O11" s="285"/>
      <c r="P11" s="285"/>
      <c r="Q11" s="262"/>
      <c r="R11" s="263"/>
      <c r="S11" s="264"/>
      <c r="T11" s="264"/>
      <c r="U11" s="276" t="str">
        <f>[3]Birók!P25</f>
        <v xml:space="preserve"> </v>
      </c>
      <c r="V11" s="264"/>
      <c r="W11" s="264"/>
      <c r="X11" s="264"/>
      <c r="Y11" s="221"/>
      <c r="Z11" s="221"/>
      <c r="AA11" s="221" t="s">
        <v>74</v>
      </c>
      <c r="AB11" s="222">
        <v>25</v>
      </c>
      <c r="AC11" s="222">
        <v>15</v>
      </c>
      <c r="AD11" s="222">
        <v>10</v>
      </c>
      <c r="AE11" s="222">
        <v>6</v>
      </c>
      <c r="AF11" s="222">
        <v>3</v>
      </c>
      <c r="AG11" s="222">
        <v>1</v>
      </c>
      <c r="AH11" s="222">
        <v>0</v>
      </c>
      <c r="AI11" s="219"/>
      <c r="AJ11" s="219"/>
      <c r="AK11" s="219"/>
      <c r="AL11" s="264"/>
      <c r="AM11" s="264"/>
      <c r="AN11" s="264"/>
      <c r="AO11" s="264"/>
      <c r="AP11" s="264"/>
      <c r="AQ11" s="264"/>
      <c r="AR11" s="264"/>
      <c r="AS11" s="264"/>
    </row>
    <row r="12" spans="1:45" s="266" customFormat="1" ht="13.05" customHeight="1" x14ac:dyDescent="0.25">
      <c r="A12" s="267"/>
      <c r="B12" s="268"/>
      <c r="C12" s="269"/>
      <c r="D12" s="269"/>
      <c r="E12" s="281"/>
      <c r="F12" s="271"/>
      <c r="G12" s="271"/>
      <c r="H12" s="272"/>
      <c r="I12" s="273" t="s">
        <v>99</v>
      </c>
      <c r="J12" s="274"/>
      <c r="K12" s="275" t="str">
        <f>UPPER(IF(OR(J12="a",J12="as"),F11,IF(OR(J12="b",J12="bs"),F13,)))</f>
        <v/>
      </c>
      <c r="L12" s="289"/>
      <c r="M12" s="259"/>
      <c r="N12" s="288"/>
      <c r="O12" s="285"/>
      <c r="P12" s="285"/>
      <c r="Q12" s="262"/>
      <c r="R12" s="263"/>
      <c r="S12" s="264"/>
      <c r="T12" s="264"/>
      <c r="U12" s="276" t="str">
        <f>[3]Birók!P26</f>
        <v xml:space="preserve"> </v>
      </c>
      <c r="V12" s="264"/>
      <c r="W12" s="264"/>
      <c r="X12" s="264"/>
      <c r="Y12" s="221"/>
      <c r="Z12" s="221"/>
      <c r="AA12" s="221" t="s">
        <v>79</v>
      </c>
      <c r="AB12" s="222">
        <v>15</v>
      </c>
      <c r="AC12" s="222">
        <v>10</v>
      </c>
      <c r="AD12" s="222">
        <v>6</v>
      </c>
      <c r="AE12" s="222">
        <v>3</v>
      </c>
      <c r="AF12" s="222">
        <v>1</v>
      </c>
      <c r="AG12" s="222">
        <v>0</v>
      </c>
      <c r="AH12" s="222">
        <v>0</v>
      </c>
      <c r="AI12" s="219"/>
      <c r="AJ12" s="219"/>
      <c r="AK12" s="219"/>
      <c r="AL12" s="264"/>
      <c r="AM12" s="264"/>
      <c r="AN12" s="264"/>
      <c r="AO12" s="264"/>
      <c r="AP12" s="264"/>
      <c r="AQ12" s="264"/>
      <c r="AR12" s="264"/>
      <c r="AS12" s="264"/>
    </row>
    <row r="13" spans="1:45" s="266" customFormat="1" ht="13.05" customHeight="1" x14ac:dyDescent="0.25">
      <c r="A13" s="267">
        <v>4</v>
      </c>
      <c r="B13" s="254" t="str">
        <f>IF($E13="","",VLOOKUP($E13,'[3]1MD ELO'!$A$7:$O$22,14))</f>
        <v/>
      </c>
      <c r="C13" s="255" t="str">
        <f>IF($E13="","",VLOOKUP($E13,'[3]1MD ELO'!$A$7:$O$22,15))</f>
        <v/>
      </c>
      <c r="D13" s="255" t="str">
        <f>IF($E13="","",VLOOKUP($E13,'[3]1MD ELO'!$A$7:$O$22,5))</f>
        <v/>
      </c>
      <c r="E13" s="277"/>
      <c r="F13" s="278" t="str">
        <f>UPPER(IF($E13="","",VLOOKUP($E13,'[3]1MD ELO'!$A$7:$O$22,2)))</f>
        <v/>
      </c>
      <c r="G13" s="278" t="str">
        <f>IF($E13="","",VLOOKUP($E13,'[3]1MD ELO'!$A$7:$O$22,3))</f>
        <v/>
      </c>
      <c r="H13" s="278"/>
      <c r="I13" s="278" t="str">
        <f>IF($E13="","",VLOOKUP($E13,'[3]1MD ELO'!$A$7:$O$22,4))</f>
        <v/>
      </c>
      <c r="J13" s="290"/>
      <c r="K13" s="259"/>
      <c r="L13" s="259"/>
      <c r="M13" s="259"/>
      <c r="N13" s="288"/>
      <c r="O13" s="285"/>
      <c r="P13" s="285"/>
      <c r="Q13" s="262"/>
      <c r="R13" s="263"/>
      <c r="S13" s="264"/>
      <c r="T13" s="264"/>
      <c r="U13" s="276" t="str">
        <f>[3]Birók!P27</f>
        <v xml:space="preserve"> </v>
      </c>
      <c r="V13" s="264"/>
      <c r="W13" s="264"/>
      <c r="X13" s="264"/>
      <c r="Y13" s="221"/>
      <c r="Z13" s="221"/>
      <c r="AA13" s="221" t="s">
        <v>75</v>
      </c>
      <c r="AB13" s="222">
        <v>10</v>
      </c>
      <c r="AC13" s="222">
        <v>6</v>
      </c>
      <c r="AD13" s="222">
        <v>3</v>
      </c>
      <c r="AE13" s="222">
        <v>1</v>
      </c>
      <c r="AF13" s="222">
        <v>0</v>
      </c>
      <c r="AG13" s="222">
        <v>0</v>
      </c>
      <c r="AH13" s="222">
        <v>0</v>
      </c>
      <c r="AI13" s="219"/>
      <c r="AJ13" s="219"/>
      <c r="AK13" s="219"/>
      <c r="AL13" s="264"/>
      <c r="AM13" s="264"/>
      <c r="AN13" s="264"/>
      <c r="AO13" s="264"/>
      <c r="AP13" s="264"/>
      <c r="AQ13" s="264"/>
      <c r="AR13" s="264"/>
      <c r="AS13" s="264"/>
    </row>
    <row r="14" spans="1:45" s="266" customFormat="1" ht="13.05" customHeight="1" x14ac:dyDescent="0.25">
      <c r="A14" s="267"/>
      <c r="B14" s="268"/>
      <c r="C14" s="269"/>
      <c r="D14" s="269"/>
      <c r="E14" s="281"/>
      <c r="F14" s="271"/>
      <c r="G14" s="271"/>
      <c r="H14" s="272"/>
      <c r="I14" s="271"/>
      <c r="J14" s="282"/>
      <c r="K14" s="259"/>
      <c r="L14" s="259"/>
      <c r="M14" s="273" t="s">
        <v>99</v>
      </c>
      <c r="N14" s="283"/>
      <c r="O14" s="275" t="str">
        <f>UPPER(IF(OR(N14="a",N14="as"),M10,IF(OR(N14="b",N14="bs"),M18,)))</f>
        <v/>
      </c>
      <c r="P14" s="284"/>
      <c r="Q14" s="262"/>
      <c r="R14" s="263"/>
      <c r="S14" s="264"/>
      <c r="T14" s="264"/>
      <c r="U14" s="276" t="str">
        <f>[3]Birók!P28</f>
        <v xml:space="preserve"> </v>
      </c>
      <c r="V14" s="264"/>
      <c r="W14" s="264"/>
      <c r="X14" s="264"/>
      <c r="Y14" s="221"/>
      <c r="Z14" s="221"/>
      <c r="AA14" s="221" t="s">
        <v>76</v>
      </c>
      <c r="AB14" s="222">
        <v>3</v>
      </c>
      <c r="AC14" s="222">
        <v>2</v>
      </c>
      <c r="AD14" s="222">
        <v>1</v>
      </c>
      <c r="AE14" s="222">
        <v>0</v>
      </c>
      <c r="AF14" s="222">
        <v>0</v>
      </c>
      <c r="AG14" s="222">
        <v>0</v>
      </c>
      <c r="AH14" s="222">
        <v>0</v>
      </c>
      <c r="AI14" s="219"/>
      <c r="AJ14" s="219"/>
      <c r="AK14" s="219"/>
      <c r="AL14" s="264"/>
      <c r="AM14" s="264"/>
      <c r="AN14" s="264"/>
      <c r="AO14" s="264"/>
      <c r="AP14" s="264"/>
      <c r="AQ14" s="264"/>
      <c r="AR14" s="264"/>
      <c r="AS14" s="264"/>
    </row>
    <row r="15" spans="1:45" s="266" customFormat="1" ht="13.05" customHeight="1" x14ac:dyDescent="0.25">
      <c r="A15" s="291">
        <v>5</v>
      </c>
      <c r="B15" s="254" t="str">
        <f>IF($E15="","",VLOOKUP($E15,'[3]1MD ELO'!$A$7:$O$22,14))</f>
        <v/>
      </c>
      <c r="C15" s="255" t="str">
        <f>IF($E15="","",VLOOKUP($E15,'[3]1MD ELO'!$A$7:$O$22,15))</f>
        <v/>
      </c>
      <c r="D15" s="255" t="str">
        <f>IF($E15="","",VLOOKUP($E15,'[3]1MD ELO'!$A$7:$O$22,5))</f>
        <v/>
      </c>
      <c r="E15" s="277"/>
      <c r="F15" s="278" t="str">
        <f>UPPER(IF($E15="","",VLOOKUP($E15,'[3]1MD ELO'!$A$7:$O$22,2)))</f>
        <v/>
      </c>
      <c r="G15" s="278" t="str">
        <f>IF($E15="","",VLOOKUP($E15,'[3]1MD ELO'!$A$7:$O$22,3))</f>
        <v/>
      </c>
      <c r="H15" s="278"/>
      <c r="I15" s="278" t="str">
        <f>IF($E15="","",VLOOKUP($E15,'[3]1MD ELO'!$A$7:$O$22,4))</f>
        <v/>
      </c>
      <c r="J15" s="292"/>
      <c r="K15" s="259"/>
      <c r="L15" s="259"/>
      <c r="M15" s="259"/>
      <c r="N15" s="288"/>
      <c r="O15" s="259"/>
      <c r="P15" s="285"/>
      <c r="Q15" s="262"/>
      <c r="R15" s="263"/>
      <c r="S15" s="264"/>
      <c r="T15" s="264"/>
      <c r="U15" s="276" t="str">
        <f>[3]Birók!P29</f>
        <v xml:space="preserve"> </v>
      </c>
      <c r="V15" s="264"/>
      <c r="W15" s="264"/>
      <c r="X15" s="264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19"/>
      <c r="AJ15" s="219"/>
      <c r="AK15" s="219"/>
      <c r="AL15" s="264"/>
      <c r="AM15" s="264"/>
      <c r="AN15" s="264"/>
      <c r="AO15" s="264"/>
      <c r="AP15" s="264"/>
      <c r="AQ15" s="264"/>
      <c r="AR15" s="264"/>
      <c r="AS15" s="264"/>
    </row>
    <row r="16" spans="1:45" s="266" customFormat="1" ht="13.05" customHeight="1" thickBot="1" x14ac:dyDescent="0.3">
      <c r="A16" s="267"/>
      <c r="B16" s="268"/>
      <c r="C16" s="269"/>
      <c r="D16" s="269"/>
      <c r="E16" s="281"/>
      <c r="F16" s="271"/>
      <c r="G16" s="271"/>
      <c r="H16" s="272"/>
      <c r="I16" s="273" t="s">
        <v>99</v>
      </c>
      <c r="J16" s="274"/>
      <c r="K16" s="275" t="str">
        <f>UPPER(IF(OR(J16="a",J16="as"),F15,IF(OR(J16="b",J16="bs"),F17,)))</f>
        <v/>
      </c>
      <c r="L16" s="275"/>
      <c r="M16" s="259"/>
      <c r="N16" s="288"/>
      <c r="O16" s="273"/>
      <c r="P16" s="285"/>
      <c r="Q16" s="262"/>
      <c r="R16" s="263"/>
      <c r="S16" s="264"/>
      <c r="T16" s="264"/>
      <c r="U16" s="293" t="str">
        <f>[3]Birók!P30</f>
        <v>Egyik sem</v>
      </c>
      <c r="V16" s="264"/>
      <c r="W16" s="264"/>
      <c r="X16" s="264"/>
      <c r="Y16" s="221"/>
      <c r="Z16" s="221"/>
      <c r="AA16" s="221" t="s">
        <v>43</v>
      </c>
      <c r="AB16" s="222">
        <v>150</v>
      </c>
      <c r="AC16" s="222">
        <v>120</v>
      </c>
      <c r="AD16" s="222">
        <v>90</v>
      </c>
      <c r="AE16" s="222">
        <v>60</v>
      </c>
      <c r="AF16" s="222">
        <v>40</v>
      </c>
      <c r="AG16" s="222">
        <v>25</v>
      </c>
      <c r="AH16" s="222">
        <v>15</v>
      </c>
      <c r="AI16" s="219"/>
      <c r="AJ16" s="219"/>
      <c r="AK16" s="219"/>
      <c r="AL16" s="264"/>
      <c r="AM16" s="264"/>
      <c r="AN16" s="264"/>
      <c r="AO16" s="264"/>
      <c r="AP16" s="264"/>
      <c r="AQ16" s="264"/>
      <c r="AR16" s="264"/>
      <c r="AS16" s="264"/>
    </row>
    <row r="17" spans="1:45" s="266" customFormat="1" ht="13.05" customHeight="1" x14ac:dyDescent="0.25">
      <c r="A17" s="267">
        <v>6</v>
      </c>
      <c r="B17" s="254" t="str">
        <f>IF($E17="","",VLOOKUP($E17,'[3]1MD ELO'!$A$7:$O$22,14))</f>
        <v/>
      </c>
      <c r="C17" s="255" t="str">
        <f>IF($E17="","",VLOOKUP($E17,'[3]1MD ELO'!$A$7:$O$22,15))</f>
        <v/>
      </c>
      <c r="D17" s="255" t="str">
        <f>IF($E17="","",VLOOKUP($E17,'[3]1MD ELO'!$A$7:$O$22,5))</f>
        <v/>
      </c>
      <c r="E17" s="277"/>
      <c r="F17" s="278" t="str">
        <f>UPPER(IF($E17="","",VLOOKUP($E17,'[3]1MD ELO'!$A$7:$O$22,2)))</f>
        <v/>
      </c>
      <c r="G17" s="278" t="str">
        <f>IF($E17="","",VLOOKUP($E17,'[3]1MD ELO'!$A$7:$O$22,3))</f>
        <v/>
      </c>
      <c r="H17" s="278"/>
      <c r="I17" s="278" t="str">
        <f>IF($E17="","",VLOOKUP($E17,'[3]1MD ELO'!$A$7:$O$22,4))</f>
        <v/>
      </c>
      <c r="J17" s="279"/>
      <c r="K17" s="259"/>
      <c r="L17" s="280"/>
      <c r="M17" s="259"/>
      <c r="N17" s="288"/>
      <c r="O17" s="285"/>
      <c r="P17" s="285"/>
      <c r="Q17" s="262"/>
      <c r="R17" s="263"/>
      <c r="S17" s="264"/>
      <c r="T17" s="264"/>
      <c r="U17" s="264"/>
      <c r="V17" s="264"/>
      <c r="W17" s="264"/>
      <c r="X17" s="264"/>
      <c r="Y17" s="221"/>
      <c r="Z17" s="221"/>
      <c r="AA17" s="221" t="s">
        <v>67</v>
      </c>
      <c r="AB17" s="222">
        <v>120</v>
      </c>
      <c r="AC17" s="222">
        <v>90</v>
      </c>
      <c r="AD17" s="222">
        <v>60</v>
      </c>
      <c r="AE17" s="222">
        <v>40</v>
      </c>
      <c r="AF17" s="222">
        <v>25</v>
      </c>
      <c r="AG17" s="222">
        <v>15</v>
      </c>
      <c r="AH17" s="222">
        <v>8</v>
      </c>
      <c r="AI17" s="219"/>
      <c r="AJ17" s="219"/>
      <c r="AK17" s="219"/>
      <c r="AL17" s="264"/>
      <c r="AM17" s="264"/>
      <c r="AN17" s="264"/>
      <c r="AO17" s="264"/>
      <c r="AP17" s="264"/>
      <c r="AQ17" s="264"/>
      <c r="AR17" s="264"/>
      <c r="AS17" s="264"/>
    </row>
    <row r="18" spans="1:45" s="266" customFormat="1" ht="13.05" customHeight="1" x14ac:dyDescent="0.25">
      <c r="A18" s="267"/>
      <c r="B18" s="268"/>
      <c r="C18" s="269"/>
      <c r="D18" s="269"/>
      <c r="E18" s="281"/>
      <c r="F18" s="271"/>
      <c r="G18" s="271"/>
      <c r="H18" s="272"/>
      <c r="I18" s="271"/>
      <c r="J18" s="282"/>
      <c r="K18" s="273" t="s">
        <v>99</v>
      </c>
      <c r="L18" s="283"/>
      <c r="M18" s="275" t="s">
        <v>135</v>
      </c>
      <c r="N18" s="294"/>
      <c r="O18" s="285"/>
      <c r="P18" s="285"/>
      <c r="Q18" s="262"/>
      <c r="R18" s="263"/>
      <c r="S18" s="264"/>
      <c r="T18" s="264"/>
      <c r="U18" s="264"/>
      <c r="V18" s="264"/>
      <c r="W18" s="264"/>
      <c r="X18" s="264"/>
      <c r="Y18" s="221"/>
      <c r="Z18" s="221"/>
      <c r="AA18" s="221" t="s">
        <v>68</v>
      </c>
      <c r="AB18" s="222">
        <v>90</v>
      </c>
      <c r="AC18" s="222">
        <v>60</v>
      </c>
      <c r="AD18" s="222">
        <v>40</v>
      </c>
      <c r="AE18" s="222">
        <v>25</v>
      </c>
      <c r="AF18" s="222">
        <v>15</v>
      </c>
      <c r="AG18" s="222">
        <v>8</v>
      </c>
      <c r="AH18" s="222">
        <v>4</v>
      </c>
      <c r="AI18" s="219"/>
      <c r="AJ18" s="219"/>
      <c r="AK18" s="219"/>
      <c r="AL18" s="264"/>
      <c r="AM18" s="264"/>
      <c r="AN18" s="264"/>
      <c r="AO18" s="264"/>
      <c r="AP18" s="264"/>
      <c r="AQ18" s="264"/>
      <c r="AR18" s="264"/>
      <c r="AS18" s="264"/>
    </row>
    <row r="19" spans="1:45" s="266" customFormat="1" ht="13.05" customHeight="1" x14ac:dyDescent="0.25">
      <c r="A19" s="267">
        <v>7</v>
      </c>
      <c r="B19" s="254" t="str">
        <f>IF($E19="","",VLOOKUP($E19,'[3]1MD ELO'!$A$7:$O$22,14))</f>
        <v/>
      </c>
      <c r="C19" s="255" t="str">
        <f>IF($E19="","",VLOOKUP($E19,'[3]1MD ELO'!$A$7:$O$22,15))</f>
        <v/>
      </c>
      <c r="D19" s="255" t="str">
        <f>IF($E19="","",VLOOKUP($E19,'[3]1MD ELO'!$A$7:$O$22,5))</f>
        <v/>
      </c>
      <c r="E19" s="277"/>
      <c r="F19" s="278" t="str">
        <f>UPPER(IF($E19="","",VLOOKUP($E19,'[3]1MD ELO'!$A$7:$O$22,2)))</f>
        <v/>
      </c>
      <c r="G19" s="278" t="str">
        <f>IF($E19="","",VLOOKUP($E19,'[3]1MD ELO'!$A$7:$O$22,3))</f>
        <v/>
      </c>
      <c r="H19" s="278"/>
      <c r="I19" s="278" t="str">
        <f>IF($E19="","",VLOOKUP($E19,'[3]1MD ELO'!$A$7:$O$22,4))</f>
        <v/>
      </c>
      <c r="J19" s="258"/>
      <c r="K19" s="259"/>
      <c r="L19" s="286"/>
      <c r="M19" s="259" t="s">
        <v>136</v>
      </c>
      <c r="N19" s="285"/>
      <c r="O19" s="285"/>
      <c r="P19" s="285"/>
      <c r="Q19" s="262"/>
      <c r="R19" s="263"/>
      <c r="S19" s="264"/>
      <c r="T19" s="264"/>
      <c r="U19" s="264"/>
      <c r="V19" s="264"/>
      <c r="W19" s="264"/>
      <c r="X19" s="264"/>
      <c r="Y19" s="221"/>
      <c r="Z19" s="221"/>
      <c r="AA19" s="221" t="s">
        <v>69</v>
      </c>
      <c r="AB19" s="222">
        <v>60</v>
      </c>
      <c r="AC19" s="222">
        <v>40</v>
      </c>
      <c r="AD19" s="222">
        <v>25</v>
      </c>
      <c r="AE19" s="222">
        <v>15</v>
      </c>
      <c r="AF19" s="222">
        <v>8</v>
      </c>
      <c r="AG19" s="222">
        <v>4</v>
      </c>
      <c r="AH19" s="222">
        <v>2</v>
      </c>
      <c r="AI19" s="219"/>
      <c r="AJ19" s="219"/>
      <c r="AK19" s="219"/>
      <c r="AL19" s="264"/>
      <c r="AM19" s="264"/>
      <c r="AN19" s="264"/>
      <c r="AO19" s="264"/>
      <c r="AP19" s="264"/>
      <c r="AQ19" s="264"/>
      <c r="AR19" s="264"/>
      <c r="AS19" s="264"/>
    </row>
    <row r="20" spans="1:45" s="266" customFormat="1" ht="13.05" customHeight="1" x14ac:dyDescent="0.25">
      <c r="A20" s="267"/>
      <c r="B20" s="268"/>
      <c r="C20" s="269"/>
      <c r="D20" s="269"/>
      <c r="E20" s="270"/>
      <c r="F20" s="271"/>
      <c r="G20" s="271"/>
      <c r="H20" s="272"/>
      <c r="I20" s="273" t="s">
        <v>99</v>
      </c>
      <c r="J20" s="274"/>
      <c r="K20" s="275" t="str">
        <f>UPPER(IF(OR(J20="a",J20="as"),F19,IF(OR(J20="b",J20="bs"),F21,)))</f>
        <v/>
      </c>
      <c r="L20" s="289"/>
      <c r="M20" s="259"/>
      <c r="N20" s="285"/>
      <c r="O20" s="285"/>
      <c r="P20" s="285"/>
      <c r="Q20" s="262"/>
      <c r="R20" s="263"/>
      <c r="S20" s="264"/>
      <c r="T20" s="264"/>
      <c r="U20" s="264"/>
      <c r="V20" s="264"/>
      <c r="W20" s="264"/>
      <c r="X20" s="264"/>
      <c r="Y20" s="221"/>
      <c r="Z20" s="221"/>
      <c r="AA20" s="221" t="s">
        <v>70</v>
      </c>
      <c r="AB20" s="222">
        <v>40</v>
      </c>
      <c r="AC20" s="222">
        <v>25</v>
      </c>
      <c r="AD20" s="222">
        <v>15</v>
      </c>
      <c r="AE20" s="222">
        <v>8</v>
      </c>
      <c r="AF20" s="222">
        <v>4</v>
      </c>
      <c r="AG20" s="222">
        <v>2</v>
      </c>
      <c r="AH20" s="222">
        <v>1</v>
      </c>
      <c r="AI20" s="219"/>
      <c r="AJ20" s="219"/>
      <c r="AK20" s="219"/>
      <c r="AL20" s="264"/>
      <c r="AM20" s="264"/>
      <c r="AN20" s="264"/>
      <c r="AO20" s="264"/>
      <c r="AP20" s="264"/>
      <c r="AQ20" s="264"/>
      <c r="AR20" s="264"/>
      <c r="AS20" s="264"/>
    </row>
    <row r="21" spans="1:45" s="266" customFormat="1" ht="13.05" customHeight="1" x14ac:dyDescent="0.25">
      <c r="A21" s="295">
        <v>8</v>
      </c>
      <c r="B21" s="254" t="str">
        <f>IF($E21="","",VLOOKUP($E21,'[3]1MD ELO'!$A$7:$O$22,14))</f>
        <v/>
      </c>
      <c r="C21" s="255" t="str">
        <f>IF($E21="","",VLOOKUP($E21,'[3]1MD ELO'!$A$7:$O$22,15))</f>
        <v/>
      </c>
      <c r="D21" s="255" t="str">
        <f>IF($E21="","",VLOOKUP($E21,'[3]1MD ELO'!$A$7:$O$22,5))</f>
        <v/>
      </c>
      <c r="E21" s="256"/>
      <c r="F21" s="296" t="str">
        <f>UPPER(IF($E21="","",VLOOKUP($E21,'[3]1MD ELO'!$A$7:$O$22,2)))</f>
        <v/>
      </c>
      <c r="G21" s="296" t="str">
        <f>IF($E21="","",VLOOKUP($E21,'[3]1MD ELO'!$A$7:$O$22,3))</f>
        <v/>
      </c>
      <c r="H21" s="296"/>
      <c r="I21" s="296" t="str">
        <f>IF($E21="","",VLOOKUP($E21,'[3]1MD ELO'!$A$7:$O$22,4))</f>
        <v/>
      </c>
      <c r="J21" s="290"/>
      <c r="K21" s="259"/>
      <c r="L21" s="259"/>
      <c r="M21" s="259"/>
      <c r="N21" s="285"/>
      <c r="O21" s="285"/>
      <c r="P21" s="285"/>
      <c r="Q21" s="262"/>
      <c r="R21" s="263"/>
      <c r="S21" s="264"/>
      <c r="T21" s="264"/>
      <c r="U21" s="264"/>
      <c r="V21" s="264"/>
      <c r="W21" s="264"/>
      <c r="X21" s="264"/>
      <c r="Y21" s="221"/>
      <c r="Z21" s="221"/>
      <c r="AA21" s="221" t="s">
        <v>71</v>
      </c>
      <c r="AB21" s="222">
        <v>25</v>
      </c>
      <c r="AC21" s="222">
        <v>15</v>
      </c>
      <c r="AD21" s="222">
        <v>10</v>
      </c>
      <c r="AE21" s="222">
        <v>6</v>
      </c>
      <c r="AF21" s="222">
        <v>3</v>
      </c>
      <c r="AG21" s="222">
        <v>1</v>
      </c>
      <c r="AH21" s="222">
        <v>0</v>
      </c>
      <c r="AI21" s="219"/>
      <c r="AJ21" s="219"/>
      <c r="AK21" s="219"/>
      <c r="AL21" s="264"/>
      <c r="AM21" s="264"/>
      <c r="AN21" s="264"/>
      <c r="AO21" s="264"/>
      <c r="AP21" s="264"/>
      <c r="AQ21" s="264"/>
      <c r="AR21" s="264"/>
      <c r="AS21" s="264"/>
    </row>
    <row r="22" spans="1:45" s="266" customFormat="1" ht="9.4499999999999993" customHeight="1" x14ac:dyDescent="0.25">
      <c r="A22" s="297"/>
      <c r="B22" s="260"/>
      <c r="C22" s="260"/>
      <c r="D22" s="260"/>
      <c r="E22" s="270"/>
      <c r="F22" s="260"/>
      <c r="G22" s="260"/>
      <c r="H22" s="260"/>
      <c r="I22" s="260"/>
      <c r="J22" s="270"/>
      <c r="K22" s="260"/>
      <c r="L22" s="260"/>
      <c r="M22" s="260"/>
      <c r="N22" s="262"/>
      <c r="O22" s="262"/>
      <c r="P22" s="262"/>
      <c r="Q22" s="262"/>
      <c r="R22" s="263"/>
      <c r="S22" s="264"/>
      <c r="T22" s="264"/>
      <c r="U22" s="264"/>
      <c r="V22" s="264"/>
      <c r="W22" s="264"/>
      <c r="X22" s="264"/>
      <c r="Y22" s="221"/>
      <c r="Z22" s="221"/>
      <c r="AA22" s="221" t="s">
        <v>72</v>
      </c>
      <c r="AB22" s="222">
        <v>15</v>
      </c>
      <c r="AC22" s="222">
        <v>10</v>
      </c>
      <c r="AD22" s="222">
        <v>6</v>
      </c>
      <c r="AE22" s="222">
        <v>3</v>
      </c>
      <c r="AF22" s="222">
        <v>1</v>
      </c>
      <c r="AG22" s="222">
        <v>0</v>
      </c>
      <c r="AH22" s="222">
        <v>0</v>
      </c>
      <c r="AI22" s="219"/>
      <c r="AJ22" s="219"/>
      <c r="AK22" s="219"/>
      <c r="AL22" s="264"/>
      <c r="AM22" s="264"/>
      <c r="AN22" s="264"/>
      <c r="AO22" s="264"/>
      <c r="AP22" s="264"/>
      <c r="AQ22" s="264"/>
      <c r="AR22" s="264"/>
      <c r="AS22" s="264"/>
    </row>
    <row r="23" spans="1:45" s="266" customFormat="1" ht="9.4499999999999993" customHeight="1" x14ac:dyDescent="0.25">
      <c r="A23" s="298"/>
      <c r="B23" s="270"/>
      <c r="C23" s="270"/>
      <c r="D23" s="270"/>
      <c r="E23" s="270"/>
      <c r="F23" s="260"/>
      <c r="G23" s="260"/>
      <c r="H23" s="264"/>
      <c r="I23" s="299"/>
      <c r="J23" s="270"/>
      <c r="K23" s="260"/>
      <c r="L23" s="260"/>
      <c r="M23" s="260"/>
      <c r="N23" s="262"/>
      <c r="O23" s="262"/>
      <c r="P23" s="262"/>
      <c r="Q23" s="262"/>
      <c r="R23" s="263"/>
      <c r="S23" s="264"/>
      <c r="T23" s="264"/>
      <c r="U23" s="264"/>
      <c r="V23" s="264"/>
      <c r="W23" s="264"/>
      <c r="X23" s="264"/>
      <c r="Y23" s="221"/>
      <c r="Z23" s="221"/>
      <c r="AA23" s="221" t="s">
        <v>73</v>
      </c>
      <c r="AB23" s="222">
        <v>10</v>
      </c>
      <c r="AC23" s="222">
        <v>6</v>
      </c>
      <c r="AD23" s="222">
        <v>3</v>
      </c>
      <c r="AE23" s="222">
        <v>1</v>
      </c>
      <c r="AF23" s="222">
        <v>0</v>
      </c>
      <c r="AG23" s="222">
        <v>0</v>
      </c>
      <c r="AH23" s="222">
        <v>0</v>
      </c>
      <c r="AI23" s="219"/>
      <c r="AJ23" s="219"/>
      <c r="AK23" s="219"/>
      <c r="AL23" s="264"/>
      <c r="AM23" s="264"/>
      <c r="AN23" s="264"/>
      <c r="AO23" s="264"/>
      <c r="AP23" s="264"/>
      <c r="AQ23" s="264"/>
      <c r="AR23" s="264"/>
      <c r="AS23" s="264"/>
    </row>
    <row r="24" spans="1:45" s="266" customFormat="1" ht="9.4499999999999993" customHeight="1" x14ac:dyDescent="0.25">
      <c r="A24" s="298"/>
      <c r="B24" s="260"/>
      <c r="C24" s="260"/>
      <c r="D24" s="260"/>
      <c r="E24" s="270"/>
      <c r="F24" s="260"/>
      <c r="G24" s="260"/>
      <c r="H24" s="260"/>
      <c r="I24" s="260"/>
      <c r="J24" s="270"/>
      <c r="K24" s="260"/>
      <c r="L24" s="300"/>
      <c r="M24" s="260"/>
      <c r="N24" s="262"/>
      <c r="O24" s="262"/>
      <c r="P24" s="262"/>
      <c r="Q24" s="262"/>
      <c r="R24" s="263"/>
      <c r="S24" s="264"/>
      <c r="T24" s="264"/>
      <c r="U24" s="264"/>
      <c r="V24" s="264"/>
      <c r="W24" s="264"/>
      <c r="X24" s="264"/>
      <c r="Y24" s="221"/>
      <c r="Z24" s="221"/>
      <c r="AA24" s="221" t="s">
        <v>74</v>
      </c>
      <c r="AB24" s="222">
        <v>6</v>
      </c>
      <c r="AC24" s="222">
        <v>3</v>
      </c>
      <c r="AD24" s="222">
        <v>1</v>
      </c>
      <c r="AE24" s="222">
        <v>0</v>
      </c>
      <c r="AF24" s="222">
        <v>0</v>
      </c>
      <c r="AG24" s="222">
        <v>0</v>
      </c>
      <c r="AH24" s="222">
        <v>0</v>
      </c>
      <c r="AI24" s="219"/>
      <c r="AJ24" s="219"/>
      <c r="AK24" s="219"/>
      <c r="AL24" s="264"/>
      <c r="AM24" s="264"/>
      <c r="AN24" s="264"/>
      <c r="AO24" s="264"/>
      <c r="AP24" s="264"/>
      <c r="AQ24" s="264"/>
      <c r="AR24" s="264"/>
      <c r="AS24" s="264"/>
    </row>
    <row r="25" spans="1:45" s="266" customFormat="1" ht="9.4499999999999993" customHeight="1" x14ac:dyDescent="0.25">
      <c r="A25" s="298"/>
      <c r="B25" s="270"/>
      <c r="C25" s="270"/>
      <c r="D25" s="270"/>
      <c r="E25" s="270"/>
      <c r="F25" s="260"/>
      <c r="G25" s="260"/>
      <c r="H25" s="264"/>
      <c r="I25" s="260"/>
      <c r="J25" s="270"/>
      <c r="K25" s="299"/>
      <c r="L25" s="270"/>
      <c r="M25" s="260"/>
      <c r="N25" s="262"/>
      <c r="O25" s="262"/>
      <c r="P25" s="262"/>
      <c r="Q25" s="262"/>
      <c r="R25" s="263"/>
      <c r="S25" s="264"/>
      <c r="T25" s="264"/>
      <c r="U25" s="264"/>
      <c r="V25" s="264"/>
      <c r="W25" s="264"/>
      <c r="X25" s="264"/>
      <c r="Y25" s="221"/>
      <c r="Z25" s="221"/>
      <c r="AA25" s="221" t="s">
        <v>79</v>
      </c>
      <c r="AB25" s="222">
        <v>3</v>
      </c>
      <c r="AC25" s="222">
        <v>2</v>
      </c>
      <c r="AD25" s="222">
        <v>1</v>
      </c>
      <c r="AE25" s="222">
        <v>0</v>
      </c>
      <c r="AF25" s="222">
        <v>0</v>
      </c>
      <c r="AG25" s="222">
        <v>0</v>
      </c>
      <c r="AH25" s="222">
        <v>0</v>
      </c>
      <c r="AI25" s="219"/>
      <c r="AJ25" s="219"/>
      <c r="AK25" s="219"/>
      <c r="AL25" s="264"/>
      <c r="AM25" s="264"/>
      <c r="AN25" s="264"/>
      <c r="AO25" s="264"/>
      <c r="AP25" s="264"/>
      <c r="AQ25" s="264"/>
      <c r="AR25" s="264"/>
      <c r="AS25" s="264"/>
    </row>
    <row r="26" spans="1:45" s="266" customFormat="1" ht="9.4499999999999993" customHeight="1" x14ac:dyDescent="0.25">
      <c r="A26" s="298"/>
      <c r="B26" s="260"/>
      <c r="C26" s="260"/>
      <c r="D26" s="260"/>
      <c r="E26" s="270"/>
      <c r="F26" s="260"/>
      <c r="G26" s="260"/>
      <c r="H26" s="260"/>
      <c r="I26" s="260"/>
      <c r="J26" s="270"/>
      <c r="K26" s="260"/>
      <c r="L26" s="260"/>
      <c r="M26" s="260"/>
      <c r="N26" s="262"/>
      <c r="O26" s="262"/>
      <c r="P26" s="262"/>
      <c r="Q26" s="262"/>
      <c r="R26" s="263"/>
      <c r="S26" s="301"/>
      <c r="T26" s="264"/>
      <c r="U26" s="264"/>
      <c r="V26" s="264"/>
      <c r="W26" s="264"/>
      <c r="X26" s="264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19"/>
      <c r="AJ26" s="219"/>
      <c r="AK26" s="219"/>
      <c r="AL26" s="264"/>
      <c r="AM26" s="264"/>
      <c r="AN26" s="264"/>
      <c r="AO26" s="264"/>
      <c r="AP26" s="264"/>
      <c r="AQ26" s="264"/>
      <c r="AR26" s="264"/>
      <c r="AS26" s="264"/>
    </row>
    <row r="27" spans="1:45" s="266" customFormat="1" ht="9.4499999999999993" customHeight="1" x14ac:dyDescent="0.25">
      <c r="A27" s="298"/>
      <c r="B27" s="270"/>
      <c r="C27" s="270"/>
      <c r="D27" s="270"/>
      <c r="E27" s="270"/>
      <c r="F27" s="260"/>
      <c r="G27" s="260"/>
      <c r="H27" s="264"/>
      <c r="I27" s="299"/>
      <c r="J27" s="270"/>
      <c r="K27" s="260"/>
      <c r="L27" s="260"/>
      <c r="M27" s="260"/>
      <c r="N27" s="262"/>
      <c r="O27" s="262"/>
      <c r="P27" s="262"/>
      <c r="Q27" s="262"/>
      <c r="R27" s="263"/>
      <c r="S27" s="264"/>
      <c r="T27" s="264"/>
      <c r="U27" s="264"/>
      <c r="V27" s="264"/>
      <c r="W27" s="264"/>
      <c r="X27" s="264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19"/>
      <c r="AJ27" s="219"/>
      <c r="AK27" s="219"/>
      <c r="AL27" s="264"/>
      <c r="AM27" s="264"/>
      <c r="AN27" s="264"/>
      <c r="AO27" s="264"/>
      <c r="AP27" s="264"/>
      <c r="AQ27" s="264"/>
      <c r="AR27" s="264"/>
      <c r="AS27" s="264"/>
    </row>
    <row r="28" spans="1:45" s="266" customFormat="1" ht="9.4499999999999993" customHeight="1" x14ac:dyDescent="0.25">
      <c r="A28" s="298"/>
      <c r="B28" s="260"/>
      <c r="C28" s="260"/>
      <c r="D28" s="260"/>
      <c r="E28" s="270"/>
      <c r="F28" s="260"/>
      <c r="G28" s="260"/>
      <c r="H28" s="260"/>
      <c r="I28" s="260"/>
      <c r="J28" s="270"/>
      <c r="K28" s="260"/>
      <c r="L28" s="260"/>
      <c r="M28" s="260"/>
      <c r="N28" s="262"/>
      <c r="O28" s="262"/>
      <c r="P28" s="262"/>
      <c r="Q28" s="262"/>
      <c r="R28" s="263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</row>
    <row r="29" spans="1:45" s="266" customFormat="1" ht="9.4499999999999993" customHeight="1" x14ac:dyDescent="0.25">
      <c r="A29" s="298"/>
      <c r="B29" s="270"/>
      <c r="C29" s="270"/>
      <c r="D29" s="270"/>
      <c r="E29" s="270"/>
      <c r="F29" s="260"/>
      <c r="G29" s="260"/>
      <c r="H29" s="264"/>
      <c r="I29" s="260"/>
      <c r="J29" s="270"/>
      <c r="K29" s="260"/>
      <c r="L29" s="260"/>
      <c r="M29" s="299"/>
      <c r="N29" s="270"/>
      <c r="O29" s="260"/>
      <c r="P29" s="262"/>
      <c r="Q29" s="262"/>
      <c r="R29" s="263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</row>
    <row r="30" spans="1:45" s="266" customFormat="1" ht="9.4499999999999993" customHeight="1" x14ac:dyDescent="0.25">
      <c r="A30" s="298"/>
      <c r="B30" s="260"/>
      <c r="C30" s="260"/>
      <c r="D30" s="260"/>
      <c r="E30" s="270"/>
      <c r="F30" s="260"/>
      <c r="G30" s="260"/>
      <c r="H30" s="260"/>
      <c r="I30" s="260"/>
      <c r="J30" s="270"/>
      <c r="K30" s="260"/>
      <c r="L30" s="260"/>
      <c r="M30" s="260"/>
      <c r="N30" s="262"/>
      <c r="O30" s="260"/>
      <c r="P30" s="262"/>
      <c r="Q30" s="262"/>
      <c r="R30" s="263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</row>
    <row r="31" spans="1:45" s="266" customFormat="1" ht="9.4499999999999993" customHeight="1" x14ac:dyDescent="0.25">
      <c r="A31" s="298"/>
      <c r="B31" s="270"/>
      <c r="C31" s="270"/>
      <c r="D31" s="270"/>
      <c r="E31" s="270"/>
      <c r="F31" s="260"/>
      <c r="G31" s="260"/>
      <c r="H31" s="264"/>
      <c r="I31" s="299"/>
      <c r="J31" s="270"/>
      <c r="K31" s="260"/>
      <c r="L31" s="260"/>
      <c r="M31" s="260"/>
      <c r="N31" s="262"/>
      <c r="O31" s="262"/>
      <c r="P31" s="262"/>
      <c r="Q31" s="262"/>
      <c r="R31" s="263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</row>
    <row r="32" spans="1:45" s="266" customFormat="1" ht="9.4499999999999993" customHeight="1" x14ac:dyDescent="0.25">
      <c r="A32" s="298"/>
      <c r="B32" s="260"/>
      <c r="C32" s="260"/>
      <c r="D32" s="260"/>
      <c r="E32" s="270"/>
      <c r="F32" s="260"/>
      <c r="G32" s="260"/>
      <c r="H32" s="260"/>
      <c r="I32" s="260"/>
      <c r="J32" s="270"/>
      <c r="K32" s="260"/>
      <c r="L32" s="300"/>
      <c r="M32" s="260"/>
      <c r="N32" s="262"/>
      <c r="O32" s="262"/>
      <c r="P32" s="262"/>
      <c r="Q32" s="262"/>
      <c r="R32" s="263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</row>
    <row r="33" spans="1:45" s="266" customFormat="1" ht="9.4499999999999993" customHeight="1" x14ac:dyDescent="0.25">
      <c r="A33" s="298"/>
      <c r="B33" s="270"/>
      <c r="C33" s="270"/>
      <c r="D33" s="270"/>
      <c r="E33" s="270"/>
      <c r="F33" s="260"/>
      <c r="G33" s="260"/>
      <c r="H33" s="264"/>
      <c r="I33" s="260"/>
      <c r="J33" s="270"/>
      <c r="K33" s="299"/>
      <c r="L33" s="270"/>
      <c r="M33" s="260"/>
      <c r="N33" s="262"/>
      <c r="O33" s="262"/>
      <c r="P33" s="262"/>
      <c r="Q33" s="262"/>
      <c r="R33" s="26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</row>
    <row r="34" spans="1:45" s="266" customFormat="1" ht="9.4499999999999993" customHeight="1" x14ac:dyDescent="0.25">
      <c r="A34" s="298"/>
      <c r="B34" s="260"/>
      <c r="C34" s="260"/>
      <c r="D34" s="260"/>
      <c r="E34" s="270"/>
      <c r="F34" s="260"/>
      <c r="G34" s="260"/>
      <c r="H34" s="260"/>
      <c r="I34" s="260"/>
      <c r="J34" s="270"/>
      <c r="K34" s="260"/>
      <c r="L34" s="260"/>
      <c r="M34" s="260"/>
      <c r="N34" s="262"/>
      <c r="O34" s="262"/>
      <c r="P34" s="262"/>
      <c r="Q34" s="262"/>
      <c r="R34" s="263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</row>
    <row r="35" spans="1:45" s="266" customFormat="1" ht="9.4499999999999993" customHeight="1" x14ac:dyDescent="0.25">
      <c r="A35" s="298"/>
      <c r="B35" s="270"/>
      <c r="C35" s="270"/>
      <c r="D35" s="270"/>
      <c r="E35" s="270"/>
      <c r="F35" s="260"/>
      <c r="G35" s="260"/>
      <c r="H35" s="264"/>
      <c r="I35" s="299"/>
      <c r="J35" s="270"/>
      <c r="K35" s="260"/>
      <c r="L35" s="260"/>
      <c r="M35" s="260"/>
      <c r="N35" s="262"/>
      <c r="O35" s="262"/>
      <c r="P35" s="262"/>
      <c r="Q35" s="262"/>
      <c r="R35" s="263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</row>
    <row r="36" spans="1:45" s="266" customFormat="1" ht="9.4499999999999993" customHeight="1" x14ac:dyDescent="0.25">
      <c r="A36" s="297"/>
      <c r="B36" s="260"/>
      <c r="C36" s="260"/>
      <c r="D36" s="260"/>
      <c r="E36" s="270"/>
      <c r="F36" s="260"/>
      <c r="G36" s="260"/>
      <c r="H36" s="260"/>
      <c r="I36" s="260"/>
      <c r="J36" s="270"/>
      <c r="K36" s="260"/>
      <c r="L36" s="260"/>
      <c r="M36" s="260"/>
      <c r="N36" s="260"/>
      <c r="O36" s="260"/>
      <c r="P36" s="260"/>
      <c r="Q36" s="262"/>
      <c r="R36" s="263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</row>
    <row r="37" spans="1:45" s="266" customFormat="1" ht="9.4499999999999993" customHeight="1" x14ac:dyDescent="0.25">
      <c r="A37" s="298"/>
      <c r="B37" s="270"/>
      <c r="C37" s="270"/>
      <c r="D37" s="270"/>
      <c r="E37" s="270"/>
      <c r="F37" s="302"/>
      <c r="G37" s="302"/>
      <c r="H37" s="303"/>
      <c r="I37" s="259"/>
      <c r="J37" s="282"/>
      <c r="K37" s="259"/>
      <c r="L37" s="259"/>
      <c r="M37" s="259"/>
      <c r="N37" s="285"/>
      <c r="O37" s="285"/>
      <c r="P37" s="285"/>
      <c r="Q37" s="262"/>
      <c r="R37" s="263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</row>
    <row r="38" spans="1:45" s="266" customFormat="1" ht="9.4499999999999993" customHeight="1" x14ac:dyDescent="0.25">
      <c r="A38" s="297"/>
      <c r="B38" s="260"/>
      <c r="C38" s="260"/>
      <c r="D38" s="260"/>
      <c r="E38" s="270"/>
      <c r="F38" s="260"/>
      <c r="G38" s="260"/>
      <c r="H38" s="260"/>
      <c r="I38" s="260"/>
      <c r="J38" s="270"/>
      <c r="K38" s="260"/>
      <c r="L38" s="260"/>
      <c r="M38" s="260"/>
      <c r="N38" s="262"/>
      <c r="O38" s="262"/>
      <c r="P38" s="262"/>
      <c r="Q38" s="262"/>
      <c r="R38" s="263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</row>
    <row r="39" spans="1:45" s="266" customFormat="1" ht="9.4499999999999993" customHeight="1" x14ac:dyDescent="0.25">
      <c r="A39" s="298"/>
      <c r="B39" s="270"/>
      <c r="C39" s="270"/>
      <c r="D39" s="270"/>
      <c r="E39" s="270"/>
      <c r="F39" s="260"/>
      <c r="G39" s="260"/>
      <c r="H39" s="264"/>
      <c r="I39" s="299"/>
      <c r="J39" s="270"/>
      <c r="K39" s="260"/>
      <c r="L39" s="260"/>
      <c r="M39" s="260"/>
      <c r="N39" s="262"/>
      <c r="O39" s="262"/>
      <c r="P39" s="262"/>
      <c r="Q39" s="262"/>
      <c r="R39" s="263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</row>
    <row r="40" spans="1:45" s="266" customFormat="1" ht="9.4499999999999993" customHeight="1" x14ac:dyDescent="0.25">
      <c r="A40" s="298"/>
      <c r="B40" s="260"/>
      <c r="C40" s="260"/>
      <c r="D40" s="260"/>
      <c r="E40" s="270"/>
      <c r="F40" s="260"/>
      <c r="G40" s="260"/>
      <c r="H40" s="260"/>
      <c r="I40" s="260"/>
      <c r="J40" s="270"/>
      <c r="K40" s="260"/>
      <c r="L40" s="300"/>
      <c r="M40" s="260"/>
      <c r="N40" s="262"/>
      <c r="O40" s="262"/>
      <c r="P40" s="262"/>
      <c r="Q40" s="262"/>
      <c r="R40" s="263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</row>
    <row r="41" spans="1:45" s="266" customFormat="1" ht="9.4499999999999993" customHeight="1" x14ac:dyDescent="0.25">
      <c r="A41" s="298"/>
      <c r="B41" s="270"/>
      <c r="C41" s="270"/>
      <c r="D41" s="270"/>
      <c r="E41" s="270"/>
      <c r="F41" s="260"/>
      <c r="G41" s="260"/>
      <c r="H41" s="264"/>
      <c r="I41" s="260"/>
      <c r="J41" s="270"/>
      <c r="K41" s="299"/>
      <c r="L41" s="270"/>
      <c r="M41" s="260"/>
      <c r="N41" s="262"/>
      <c r="O41" s="262"/>
      <c r="P41" s="262"/>
      <c r="Q41" s="262"/>
      <c r="R41" s="263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</row>
    <row r="42" spans="1:45" s="266" customFormat="1" ht="9.4499999999999993" customHeight="1" x14ac:dyDescent="0.25">
      <c r="A42" s="298"/>
      <c r="B42" s="260"/>
      <c r="C42" s="260"/>
      <c r="D42" s="260"/>
      <c r="E42" s="270"/>
      <c r="F42" s="260"/>
      <c r="G42" s="260"/>
      <c r="H42" s="260"/>
      <c r="I42" s="260"/>
      <c r="J42" s="270"/>
      <c r="K42" s="260"/>
      <c r="L42" s="260"/>
      <c r="M42" s="260"/>
      <c r="N42" s="262"/>
      <c r="O42" s="262"/>
      <c r="P42" s="262"/>
      <c r="Q42" s="262"/>
      <c r="R42" s="263"/>
      <c r="S42" s="301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</row>
    <row r="43" spans="1:45" s="266" customFormat="1" ht="9.4499999999999993" customHeight="1" x14ac:dyDescent="0.25">
      <c r="A43" s="298"/>
      <c r="B43" s="270"/>
      <c r="C43" s="270"/>
      <c r="D43" s="270"/>
      <c r="E43" s="270"/>
      <c r="F43" s="260"/>
      <c r="G43" s="260"/>
      <c r="H43" s="264"/>
      <c r="I43" s="299"/>
      <c r="J43" s="270"/>
      <c r="K43" s="260"/>
      <c r="L43" s="260"/>
      <c r="M43" s="260"/>
      <c r="N43" s="262"/>
      <c r="O43" s="262"/>
      <c r="P43" s="262"/>
      <c r="Q43" s="262"/>
      <c r="R43" s="263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</row>
    <row r="44" spans="1:45" s="266" customFormat="1" ht="9.4499999999999993" customHeight="1" x14ac:dyDescent="0.25">
      <c r="A44" s="298"/>
      <c r="B44" s="260"/>
      <c r="C44" s="260"/>
      <c r="D44" s="260"/>
      <c r="E44" s="270"/>
      <c r="F44" s="260"/>
      <c r="G44" s="260"/>
      <c r="H44" s="260"/>
      <c r="I44" s="260"/>
      <c r="J44" s="270"/>
      <c r="K44" s="260"/>
      <c r="L44" s="260"/>
      <c r="M44" s="260"/>
      <c r="N44" s="262"/>
      <c r="O44" s="262"/>
      <c r="P44" s="262"/>
      <c r="Q44" s="262"/>
      <c r="R44" s="263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</row>
    <row r="45" spans="1:45" s="266" customFormat="1" ht="9.4499999999999993" customHeight="1" x14ac:dyDescent="0.25">
      <c r="A45" s="298"/>
      <c r="B45" s="270"/>
      <c r="C45" s="270"/>
      <c r="D45" s="270"/>
      <c r="E45" s="270"/>
      <c r="F45" s="260"/>
      <c r="G45" s="260"/>
      <c r="H45" s="264"/>
      <c r="I45" s="260"/>
      <c r="J45" s="270"/>
      <c r="K45" s="260"/>
      <c r="L45" s="260"/>
      <c r="M45" s="299"/>
      <c r="N45" s="270"/>
      <c r="O45" s="260"/>
      <c r="P45" s="262"/>
      <c r="Q45" s="262"/>
      <c r="R45" s="263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</row>
    <row r="46" spans="1:45" s="266" customFormat="1" ht="9.4499999999999993" customHeight="1" x14ac:dyDescent="0.25">
      <c r="A46" s="298"/>
      <c r="B46" s="260"/>
      <c r="C46" s="260"/>
      <c r="D46" s="260"/>
      <c r="E46" s="270"/>
      <c r="F46" s="260"/>
      <c r="G46" s="260"/>
      <c r="H46" s="260"/>
      <c r="I46" s="260"/>
      <c r="J46" s="270"/>
      <c r="K46" s="260"/>
      <c r="L46" s="260"/>
      <c r="M46" s="260"/>
      <c r="N46" s="262"/>
      <c r="O46" s="260"/>
      <c r="P46" s="262"/>
      <c r="Q46" s="262"/>
      <c r="R46" s="263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</row>
    <row r="47" spans="1:45" s="266" customFormat="1" ht="9.4499999999999993" customHeight="1" x14ac:dyDescent="0.25">
      <c r="A47" s="298"/>
      <c r="B47" s="270"/>
      <c r="C47" s="270"/>
      <c r="D47" s="270"/>
      <c r="E47" s="270"/>
      <c r="F47" s="260"/>
      <c r="G47" s="260"/>
      <c r="H47" s="264"/>
      <c r="I47" s="299"/>
      <c r="J47" s="270"/>
      <c r="K47" s="260"/>
      <c r="L47" s="260"/>
      <c r="M47" s="260"/>
      <c r="N47" s="262"/>
      <c r="O47" s="262"/>
      <c r="P47" s="262"/>
      <c r="Q47" s="262"/>
      <c r="R47" s="263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</row>
    <row r="48" spans="1:45" s="266" customFormat="1" ht="9.4499999999999993" customHeight="1" x14ac:dyDescent="0.25">
      <c r="A48" s="298"/>
      <c r="B48" s="260"/>
      <c r="C48" s="260"/>
      <c r="D48" s="260"/>
      <c r="E48" s="270"/>
      <c r="F48" s="260"/>
      <c r="G48" s="260"/>
      <c r="H48" s="260"/>
      <c r="I48" s="260"/>
      <c r="J48" s="270"/>
      <c r="K48" s="260"/>
      <c r="L48" s="300"/>
      <c r="M48" s="260"/>
      <c r="N48" s="262"/>
      <c r="O48" s="262"/>
      <c r="P48" s="262"/>
      <c r="Q48" s="262"/>
      <c r="R48" s="263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</row>
    <row r="49" spans="1:45" s="266" customFormat="1" ht="9.4499999999999993" customHeight="1" x14ac:dyDescent="0.25">
      <c r="A49" s="298"/>
      <c r="B49" s="270"/>
      <c r="C49" s="270"/>
      <c r="D49" s="270"/>
      <c r="E49" s="270"/>
      <c r="F49" s="260"/>
      <c r="G49" s="260"/>
      <c r="H49" s="264"/>
      <c r="I49" s="260"/>
      <c r="J49" s="270"/>
      <c r="K49" s="299"/>
      <c r="L49" s="270"/>
      <c r="M49" s="260"/>
      <c r="N49" s="262"/>
      <c r="O49" s="262"/>
      <c r="P49" s="262"/>
      <c r="Q49" s="262"/>
      <c r="R49" s="263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</row>
    <row r="50" spans="1:45" s="266" customFormat="1" ht="9.4499999999999993" customHeight="1" x14ac:dyDescent="0.25">
      <c r="A50" s="298"/>
      <c r="B50" s="260"/>
      <c r="C50" s="260"/>
      <c r="D50" s="260"/>
      <c r="E50" s="270"/>
      <c r="F50" s="260"/>
      <c r="G50" s="260"/>
      <c r="H50" s="260"/>
      <c r="I50" s="260"/>
      <c r="J50" s="270"/>
      <c r="K50" s="260"/>
      <c r="L50" s="260"/>
      <c r="M50" s="260"/>
      <c r="N50" s="262"/>
      <c r="O50" s="262"/>
      <c r="P50" s="262"/>
      <c r="Q50" s="262"/>
      <c r="R50" s="263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</row>
    <row r="51" spans="1:45" s="266" customFormat="1" ht="9.4499999999999993" customHeight="1" x14ac:dyDescent="0.25">
      <c r="A51" s="298"/>
      <c r="B51" s="270"/>
      <c r="C51" s="270"/>
      <c r="D51" s="270"/>
      <c r="E51" s="270"/>
      <c r="F51" s="260"/>
      <c r="G51" s="260"/>
      <c r="H51" s="264"/>
      <c r="I51" s="299"/>
      <c r="J51" s="270"/>
      <c r="K51" s="260"/>
      <c r="L51" s="260"/>
      <c r="M51" s="260"/>
      <c r="N51" s="262"/>
      <c r="O51" s="262"/>
      <c r="P51" s="262"/>
      <c r="Q51" s="262"/>
      <c r="R51" s="263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</row>
    <row r="52" spans="1:45" s="266" customFormat="1" ht="9.4499999999999993" customHeight="1" x14ac:dyDescent="0.25">
      <c r="A52" s="297"/>
      <c r="B52" s="260"/>
      <c r="C52" s="260"/>
      <c r="D52" s="260"/>
      <c r="E52" s="270"/>
      <c r="F52" s="304"/>
      <c r="G52" s="304"/>
      <c r="H52" s="304"/>
      <c r="I52" s="304"/>
      <c r="J52" s="270"/>
      <c r="K52" s="260"/>
      <c r="L52" s="260"/>
      <c r="M52" s="260"/>
      <c r="N52" s="260"/>
      <c r="O52" s="260"/>
      <c r="P52" s="260"/>
      <c r="Q52" s="262"/>
      <c r="R52" s="263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</row>
    <row r="53" spans="1:45" s="311" customFormat="1" ht="6.75" customHeight="1" x14ac:dyDescent="0.25">
      <c r="A53" s="305"/>
      <c r="B53" s="305"/>
      <c r="C53" s="305"/>
      <c r="D53" s="305"/>
      <c r="E53" s="305"/>
      <c r="F53" s="306"/>
      <c r="G53" s="306"/>
      <c r="H53" s="306"/>
      <c r="I53" s="306"/>
      <c r="J53" s="307"/>
      <c r="K53" s="308"/>
      <c r="L53" s="309"/>
      <c r="M53" s="308"/>
      <c r="N53" s="309"/>
      <c r="O53" s="308"/>
      <c r="P53" s="309"/>
      <c r="Q53" s="308"/>
      <c r="R53" s="309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264"/>
      <c r="AJ53" s="264"/>
      <c r="AK53" s="264"/>
      <c r="AL53" s="310"/>
      <c r="AM53" s="310"/>
      <c r="AN53" s="310"/>
      <c r="AO53" s="310"/>
      <c r="AP53" s="310"/>
      <c r="AQ53" s="310"/>
      <c r="AR53" s="310"/>
      <c r="AS53" s="310"/>
    </row>
    <row r="54" spans="1:45" s="324" customFormat="1" ht="10.5" customHeight="1" x14ac:dyDescent="0.25">
      <c r="A54" s="312" t="s">
        <v>26</v>
      </c>
      <c r="B54" s="313"/>
      <c r="C54" s="313"/>
      <c r="D54" s="314"/>
      <c r="E54" s="315" t="s">
        <v>0</v>
      </c>
      <c r="F54" s="316" t="s">
        <v>28</v>
      </c>
      <c r="G54" s="315"/>
      <c r="H54" s="317"/>
      <c r="I54" s="318"/>
      <c r="J54" s="315" t="s">
        <v>0</v>
      </c>
      <c r="K54" s="316" t="s">
        <v>35</v>
      </c>
      <c r="L54" s="319"/>
      <c r="M54" s="316" t="s">
        <v>36</v>
      </c>
      <c r="N54" s="320"/>
      <c r="O54" s="321" t="s">
        <v>37</v>
      </c>
      <c r="P54" s="321"/>
      <c r="Q54" s="322"/>
      <c r="R54" s="323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6"/>
      <c r="AJ54" s="326"/>
      <c r="AK54" s="326"/>
      <c r="AL54" s="325"/>
      <c r="AM54" s="325"/>
      <c r="AN54" s="325"/>
      <c r="AO54" s="325"/>
      <c r="AP54" s="325"/>
      <c r="AQ54" s="325"/>
      <c r="AR54" s="325"/>
      <c r="AS54" s="325"/>
    </row>
    <row r="55" spans="1:45" s="324" customFormat="1" ht="9" customHeight="1" x14ac:dyDescent="0.25">
      <c r="A55" s="327" t="s">
        <v>27</v>
      </c>
      <c r="B55" s="328"/>
      <c r="C55" s="329"/>
      <c r="D55" s="330"/>
      <c r="E55" s="331">
        <v>1</v>
      </c>
      <c r="F55" s="325" t="str">
        <f>IF(E55&gt;$R$62,,UPPER(VLOOKUP(E55,'[3]1MD ELO'!$A$7:$Q$134,2)))</f>
        <v/>
      </c>
      <c r="G55" s="331"/>
      <c r="H55" s="325"/>
      <c r="I55" s="332"/>
      <c r="J55" s="333" t="s">
        <v>1</v>
      </c>
      <c r="K55" s="334"/>
      <c r="L55" s="335"/>
      <c r="M55" s="334"/>
      <c r="N55" s="336"/>
      <c r="O55" s="337" t="s">
        <v>29</v>
      </c>
      <c r="P55" s="338"/>
      <c r="Q55" s="338"/>
      <c r="R55" s="336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6"/>
      <c r="AJ55" s="326"/>
      <c r="AK55" s="326"/>
      <c r="AL55" s="325"/>
      <c r="AM55" s="325"/>
      <c r="AN55" s="325"/>
      <c r="AO55" s="325"/>
      <c r="AP55" s="325"/>
      <c r="AQ55" s="325"/>
      <c r="AR55" s="325"/>
      <c r="AS55" s="325"/>
    </row>
    <row r="56" spans="1:45" s="324" customFormat="1" ht="9" customHeight="1" x14ac:dyDescent="0.25">
      <c r="A56" s="339" t="s">
        <v>34</v>
      </c>
      <c r="B56" s="340"/>
      <c r="C56" s="341"/>
      <c r="D56" s="342"/>
      <c r="E56" s="331">
        <v>2</v>
      </c>
      <c r="F56" s="325" t="str">
        <f>IF(E56&gt;$R$62,,UPPER(VLOOKUP(E56,'[3]1MD ELO'!$A$7:$Q$134,2)))</f>
        <v/>
      </c>
      <c r="G56" s="331"/>
      <c r="H56" s="325"/>
      <c r="I56" s="332"/>
      <c r="J56" s="333" t="s">
        <v>2</v>
      </c>
      <c r="K56" s="334"/>
      <c r="L56" s="335"/>
      <c r="M56" s="334"/>
      <c r="N56" s="336"/>
      <c r="O56" s="343"/>
      <c r="P56" s="344"/>
      <c r="Q56" s="340"/>
      <c r="R56" s="34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6"/>
      <c r="AJ56" s="326"/>
      <c r="AK56" s="326"/>
      <c r="AL56" s="325"/>
      <c r="AM56" s="325"/>
      <c r="AN56" s="325"/>
      <c r="AO56" s="325"/>
      <c r="AP56" s="325"/>
      <c r="AQ56" s="325"/>
      <c r="AR56" s="325"/>
      <c r="AS56" s="325"/>
    </row>
    <row r="57" spans="1:45" s="324" customFormat="1" ht="9" customHeight="1" x14ac:dyDescent="0.25">
      <c r="A57" s="346"/>
      <c r="B57" s="347"/>
      <c r="C57" s="348"/>
      <c r="D57" s="349"/>
      <c r="E57" s="331"/>
      <c r="F57" s="325"/>
      <c r="G57" s="331"/>
      <c r="H57" s="325"/>
      <c r="I57" s="332"/>
      <c r="J57" s="333" t="s">
        <v>3</v>
      </c>
      <c r="K57" s="334"/>
      <c r="L57" s="335"/>
      <c r="M57" s="334"/>
      <c r="N57" s="336"/>
      <c r="O57" s="337" t="s">
        <v>30</v>
      </c>
      <c r="P57" s="338"/>
      <c r="Q57" s="338"/>
      <c r="R57" s="336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6"/>
      <c r="AJ57" s="326"/>
      <c r="AK57" s="326"/>
      <c r="AL57" s="325"/>
      <c r="AM57" s="325"/>
      <c r="AN57" s="325"/>
      <c r="AO57" s="325"/>
      <c r="AP57" s="325"/>
      <c r="AQ57" s="325"/>
      <c r="AR57" s="325"/>
      <c r="AS57" s="325"/>
    </row>
    <row r="58" spans="1:45" s="324" customFormat="1" ht="9" customHeight="1" x14ac:dyDescent="0.25">
      <c r="A58" s="350"/>
      <c r="B58" s="236"/>
      <c r="C58" s="236"/>
      <c r="D58" s="351"/>
      <c r="E58" s="331"/>
      <c r="F58" s="325"/>
      <c r="G58" s="331"/>
      <c r="H58" s="325"/>
      <c r="I58" s="332"/>
      <c r="J58" s="333" t="s">
        <v>4</v>
      </c>
      <c r="K58" s="334"/>
      <c r="L58" s="335"/>
      <c r="M58" s="334"/>
      <c r="N58" s="336"/>
      <c r="O58" s="334"/>
      <c r="P58" s="335"/>
      <c r="Q58" s="334"/>
      <c r="R58" s="336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6"/>
      <c r="AJ58" s="326"/>
      <c r="AK58" s="326"/>
      <c r="AL58" s="325"/>
      <c r="AM58" s="325"/>
      <c r="AN58" s="325"/>
      <c r="AO58" s="325"/>
      <c r="AP58" s="325"/>
      <c r="AQ58" s="325"/>
      <c r="AR58" s="325"/>
      <c r="AS58" s="325"/>
    </row>
    <row r="59" spans="1:45" s="324" customFormat="1" ht="9" customHeight="1" x14ac:dyDescent="0.25">
      <c r="A59" s="352"/>
      <c r="B59" s="353"/>
      <c r="C59" s="353"/>
      <c r="D59" s="354"/>
      <c r="E59" s="331"/>
      <c r="F59" s="325"/>
      <c r="G59" s="331"/>
      <c r="H59" s="325"/>
      <c r="I59" s="332"/>
      <c r="J59" s="333" t="s">
        <v>5</v>
      </c>
      <c r="K59" s="334"/>
      <c r="L59" s="335"/>
      <c r="M59" s="334"/>
      <c r="N59" s="336"/>
      <c r="O59" s="340"/>
      <c r="P59" s="344"/>
      <c r="Q59" s="340"/>
      <c r="R59" s="34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6"/>
      <c r="AJ59" s="326"/>
      <c r="AK59" s="326"/>
      <c r="AL59" s="325"/>
      <c r="AM59" s="325"/>
      <c r="AN59" s="325"/>
      <c r="AO59" s="325"/>
      <c r="AP59" s="325"/>
      <c r="AQ59" s="325"/>
      <c r="AR59" s="325"/>
      <c r="AS59" s="325"/>
    </row>
    <row r="60" spans="1:45" s="324" customFormat="1" ht="9" customHeight="1" x14ac:dyDescent="0.25">
      <c r="A60" s="355"/>
      <c r="B60" s="356"/>
      <c r="C60" s="236"/>
      <c r="D60" s="351"/>
      <c r="E60" s="331"/>
      <c r="F60" s="325"/>
      <c r="G60" s="331"/>
      <c r="H60" s="325"/>
      <c r="I60" s="332"/>
      <c r="J60" s="333" t="s">
        <v>6</v>
      </c>
      <c r="K60" s="334"/>
      <c r="L60" s="335"/>
      <c r="M60" s="334"/>
      <c r="N60" s="336"/>
      <c r="O60" s="337" t="s">
        <v>25</v>
      </c>
      <c r="P60" s="338"/>
      <c r="Q60" s="338"/>
      <c r="R60" s="336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6"/>
      <c r="AJ60" s="326"/>
      <c r="AK60" s="326"/>
      <c r="AL60" s="325"/>
      <c r="AM60" s="325"/>
      <c r="AN60" s="325"/>
      <c r="AO60" s="325"/>
      <c r="AP60" s="325"/>
      <c r="AQ60" s="325"/>
      <c r="AR60" s="325"/>
      <c r="AS60" s="325"/>
    </row>
    <row r="61" spans="1:45" s="324" customFormat="1" ht="9" customHeight="1" x14ac:dyDescent="0.25">
      <c r="A61" s="355"/>
      <c r="B61" s="356"/>
      <c r="C61" s="357"/>
      <c r="D61" s="358"/>
      <c r="E61" s="331"/>
      <c r="F61" s="325"/>
      <c r="G61" s="331"/>
      <c r="H61" s="325"/>
      <c r="I61" s="332"/>
      <c r="J61" s="333" t="s">
        <v>7</v>
      </c>
      <c r="K61" s="334"/>
      <c r="L61" s="335"/>
      <c r="M61" s="334"/>
      <c r="N61" s="336"/>
      <c r="O61" s="334"/>
      <c r="P61" s="335"/>
      <c r="Q61" s="334"/>
      <c r="R61" s="336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6"/>
      <c r="AJ61" s="326"/>
      <c r="AK61" s="326"/>
      <c r="AL61" s="325"/>
      <c r="AM61" s="325"/>
      <c r="AN61" s="325"/>
      <c r="AO61" s="325"/>
      <c r="AP61" s="325"/>
      <c r="AQ61" s="325"/>
      <c r="AR61" s="325"/>
      <c r="AS61" s="325"/>
    </row>
    <row r="62" spans="1:45" s="324" customFormat="1" ht="9" customHeight="1" x14ac:dyDescent="0.25">
      <c r="A62" s="359"/>
      <c r="B62" s="360"/>
      <c r="C62" s="361"/>
      <c r="D62" s="362"/>
      <c r="E62" s="363"/>
      <c r="F62" s="343"/>
      <c r="G62" s="363"/>
      <c r="H62" s="343"/>
      <c r="I62" s="364"/>
      <c r="J62" s="365" t="s">
        <v>8</v>
      </c>
      <c r="K62" s="340"/>
      <c r="L62" s="344"/>
      <c r="M62" s="340"/>
      <c r="N62" s="345"/>
      <c r="O62" s="340">
        <f>R4</f>
        <v>0</v>
      </c>
      <c r="P62" s="344"/>
      <c r="Q62" s="340"/>
      <c r="R62" s="366">
        <f>MIN(4,'[3]1MD ELO'!Q5)</f>
        <v>4</v>
      </c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6"/>
      <c r="AJ62" s="326"/>
      <c r="AK62" s="326"/>
      <c r="AL62" s="325"/>
      <c r="AM62" s="325"/>
      <c r="AN62" s="325"/>
      <c r="AO62" s="325"/>
      <c r="AP62" s="325"/>
      <c r="AQ62" s="325"/>
      <c r="AR62" s="325"/>
      <c r="AS62" s="325"/>
    </row>
    <row r="63" spans="1:45" x14ac:dyDescent="0.25"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L63" s="369"/>
      <c r="AM63" s="369"/>
      <c r="AN63" s="369"/>
      <c r="AO63" s="369"/>
      <c r="AP63" s="369"/>
      <c r="AQ63" s="369"/>
      <c r="AR63" s="369"/>
      <c r="AS63" s="369"/>
    </row>
    <row r="64" spans="1:45" x14ac:dyDescent="0.25"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L64" s="369"/>
      <c r="AM64" s="369"/>
      <c r="AN64" s="369"/>
      <c r="AO64" s="369"/>
      <c r="AP64" s="369"/>
      <c r="AQ64" s="369"/>
      <c r="AR64" s="369"/>
      <c r="AS64" s="369"/>
    </row>
    <row r="65" spans="20:45" x14ac:dyDescent="0.25"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L65" s="369"/>
      <c r="AM65" s="369"/>
      <c r="AN65" s="369"/>
      <c r="AO65" s="369"/>
      <c r="AP65" s="369"/>
      <c r="AQ65" s="369"/>
      <c r="AR65" s="369"/>
      <c r="AS65" s="369"/>
    </row>
    <row r="66" spans="20:45" x14ac:dyDescent="0.25"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L66" s="369"/>
      <c r="AM66" s="369"/>
      <c r="AN66" s="369"/>
      <c r="AO66" s="369"/>
      <c r="AP66" s="369"/>
      <c r="AQ66" s="369"/>
      <c r="AR66" s="369"/>
      <c r="AS66" s="369"/>
    </row>
    <row r="67" spans="20:45" x14ac:dyDescent="0.25"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L67" s="369"/>
      <c r="AM67" s="369"/>
      <c r="AN67" s="369"/>
      <c r="AO67" s="369"/>
      <c r="AP67" s="369"/>
      <c r="AQ67" s="369"/>
      <c r="AR67" s="369"/>
      <c r="AS67" s="369"/>
    </row>
    <row r="68" spans="20:45" x14ac:dyDescent="0.25"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L68" s="369"/>
      <c r="AM68" s="369"/>
      <c r="AN68" s="369"/>
      <c r="AO68" s="369"/>
      <c r="AP68" s="369"/>
      <c r="AQ68" s="369"/>
      <c r="AR68" s="369"/>
      <c r="AS68" s="369"/>
    </row>
    <row r="69" spans="20:45" x14ac:dyDescent="0.25"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L69" s="369"/>
      <c r="AM69" s="369"/>
      <c r="AN69" s="369"/>
      <c r="AO69" s="369"/>
      <c r="AP69" s="369"/>
      <c r="AQ69" s="369"/>
      <c r="AR69" s="369"/>
      <c r="AS69" s="369"/>
    </row>
    <row r="70" spans="20:45" x14ac:dyDescent="0.25"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L70" s="369"/>
      <c r="AM70" s="369"/>
      <c r="AN70" s="369"/>
      <c r="AO70" s="369"/>
      <c r="AP70" s="369"/>
      <c r="AQ70" s="369"/>
      <c r="AR70" s="369"/>
      <c r="AS70" s="369"/>
    </row>
    <row r="71" spans="20:45" x14ac:dyDescent="0.25"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L71" s="369"/>
      <c r="AM71" s="369"/>
      <c r="AN71" s="369"/>
      <c r="AO71" s="369"/>
      <c r="AP71" s="369"/>
      <c r="AQ71" s="369"/>
      <c r="AR71" s="369"/>
      <c r="AS71" s="369"/>
    </row>
    <row r="72" spans="20:45" x14ac:dyDescent="0.25"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L72" s="369"/>
      <c r="AM72" s="369"/>
      <c r="AN72" s="369"/>
      <c r="AO72" s="369"/>
      <c r="AP72" s="369"/>
      <c r="AQ72" s="369"/>
      <c r="AR72" s="369"/>
      <c r="AS72" s="369"/>
    </row>
    <row r="73" spans="20:45" x14ac:dyDescent="0.25"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L73" s="369"/>
      <c r="AM73" s="369"/>
      <c r="AN73" s="369"/>
      <c r="AO73" s="369"/>
      <c r="AP73" s="369"/>
      <c r="AQ73" s="369"/>
      <c r="AR73" s="369"/>
      <c r="AS73" s="369"/>
    </row>
    <row r="74" spans="20:45" x14ac:dyDescent="0.25"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L74" s="369"/>
      <c r="AM74" s="369"/>
      <c r="AN74" s="369"/>
      <c r="AO74" s="369"/>
      <c r="AP74" s="369"/>
      <c r="AQ74" s="369"/>
      <c r="AR74" s="369"/>
      <c r="AS74" s="369"/>
    </row>
    <row r="75" spans="20:45" x14ac:dyDescent="0.25"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L75" s="369"/>
      <c r="AM75" s="369"/>
      <c r="AN75" s="369"/>
      <c r="AO75" s="369"/>
      <c r="AP75" s="369"/>
      <c r="AQ75" s="369"/>
      <c r="AR75" s="369"/>
      <c r="AS75" s="369"/>
    </row>
    <row r="76" spans="20:45" x14ac:dyDescent="0.25"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L76" s="369"/>
      <c r="AM76" s="369"/>
      <c r="AN76" s="369"/>
      <c r="AO76" s="369"/>
      <c r="AP76" s="369"/>
      <c r="AQ76" s="369"/>
      <c r="AR76" s="369"/>
      <c r="AS76" s="369"/>
    </row>
    <row r="77" spans="20:45" x14ac:dyDescent="0.25"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L77" s="369"/>
      <c r="AM77" s="369"/>
      <c r="AN77" s="369"/>
      <c r="AO77" s="369"/>
      <c r="AP77" s="369"/>
      <c r="AQ77" s="369"/>
      <c r="AR77" s="369"/>
      <c r="AS77" s="369"/>
    </row>
    <row r="78" spans="20:45" x14ac:dyDescent="0.25"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L78" s="369"/>
      <c r="AM78" s="369"/>
      <c r="AN78" s="369"/>
      <c r="AO78" s="369"/>
      <c r="AP78" s="369"/>
      <c r="AQ78" s="369"/>
      <c r="AR78" s="369"/>
      <c r="AS78" s="369"/>
    </row>
    <row r="79" spans="20:45" x14ac:dyDescent="0.25"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L79" s="369"/>
      <c r="AM79" s="369"/>
      <c r="AN79" s="369"/>
      <c r="AO79" s="369"/>
      <c r="AP79" s="369"/>
      <c r="AQ79" s="369"/>
      <c r="AR79" s="369"/>
      <c r="AS79" s="369"/>
    </row>
    <row r="80" spans="20:45" x14ac:dyDescent="0.25"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L80" s="369"/>
      <c r="AM80" s="369"/>
      <c r="AN80" s="369"/>
      <c r="AO80" s="369"/>
      <c r="AP80" s="369"/>
      <c r="AQ80" s="369"/>
      <c r="AR80" s="369"/>
      <c r="AS80" s="369"/>
    </row>
    <row r="81" spans="20:45" x14ac:dyDescent="0.25"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L81" s="369"/>
      <c r="AM81" s="369"/>
      <c r="AN81" s="369"/>
      <c r="AO81" s="369"/>
      <c r="AP81" s="369"/>
      <c r="AQ81" s="369"/>
      <c r="AR81" s="369"/>
      <c r="AS81" s="369"/>
    </row>
    <row r="82" spans="20:45" x14ac:dyDescent="0.25"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L82" s="369"/>
      <c r="AM82" s="369"/>
      <c r="AN82" s="369"/>
      <c r="AO82" s="369"/>
      <c r="AP82" s="369"/>
      <c r="AQ82" s="369"/>
      <c r="AR82" s="369"/>
      <c r="AS82" s="369"/>
    </row>
    <row r="83" spans="20:45" x14ac:dyDescent="0.25"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L83" s="369"/>
      <c r="AM83" s="369"/>
      <c r="AN83" s="369"/>
      <c r="AO83" s="369"/>
      <c r="AP83" s="369"/>
      <c r="AQ83" s="369"/>
      <c r="AR83" s="369"/>
      <c r="AS83" s="369"/>
    </row>
    <row r="84" spans="20:45" x14ac:dyDescent="0.25"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L84" s="369"/>
      <c r="AM84" s="369"/>
      <c r="AN84" s="369"/>
      <c r="AO84" s="369"/>
      <c r="AP84" s="369"/>
      <c r="AQ84" s="369"/>
      <c r="AR84" s="369"/>
      <c r="AS84" s="369"/>
    </row>
    <row r="85" spans="20:45" x14ac:dyDescent="0.25"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L85" s="369"/>
      <c r="AM85" s="369"/>
      <c r="AN85" s="369"/>
      <c r="AO85" s="369"/>
      <c r="AP85" s="369"/>
      <c r="AQ85" s="369"/>
      <c r="AR85" s="369"/>
      <c r="AS85" s="369"/>
    </row>
    <row r="86" spans="20:45" x14ac:dyDescent="0.25"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L86" s="369"/>
      <c r="AM86" s="369"/>
      <c r="AN86" s="369"/>
      <c r="AO86" s="369"/>
      <c r="AP86" s="369"/>
      <c r="AQ86" s="369"/>
      <c r="AR86" s="369"/>
      <c r="AS86" s="369"/>
    </row>
    <row r="87" spans="20:45" x14ac:dyDescent="0.25"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L87" s="369"/>
      <c r="AM87" s="369"/>
      <c r="AN87" s="369"/>
      <c r="AO87" s="369"/>
      <c r="AP87" s="369"/>
      <c r="AQ87" s="369"/>
      <c r="AR87" s="369"/>
      <c r="AS87" s="369"/>
    </row>
    <row r="88" spans="20:45" x14ac:dyDescent="0.25"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L88" s="369"/>
      <c r="AM88" s="369"/>
      <c r="AN88" s="369"/>
      <c r="AO88" s="369"/>
      <c r="AP88" s="369"/>
      <c r="AQ88" s="369"/>
      <c r="AR88" s="369"/>
      <c r="AS88" s="369"/>
    </row>
    <row r="89" spans="20:45" x14ac:dyDescent="0.25"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L89" s="369"/>
      <c r="AM89" s="369"/>
      <c r="AN89" s="369"/>
      <c r="AO89" s="369"/>
      <c r="AP89" s="369"/>
      <c r="AQ89" s="369"/>
      <c r="AR89" s="369"/>
      <c r="AS89" s="369"/>
    </row>
    <row r="90" spans="20:45" x14ac:dyDescent="0.25"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L90" s="369"/>
      <c r="AM90" s="369"/>
      <c r="AN90" s="369"/>
      <c r="AO90" s="369"/>
      <c r="AP90" s="369"/>
      <c r="AQ90" s="369"/>
      <c r="AR90" s="369"/>
      <c r="AS90" s="369"/>
    </row>
    <row r="91" spans="20:45" x14ac:dyDescent="0.25"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L91" s="369"/>
      <c r="AM91" s="369"/>
      <c r="AN91" s="369"/>
      <c r="AO91" s="369"/>
      <c r="AP91" s="369"/>
      <c r="AQ91" s="369"/>
      <c r="AR91" s="369"/>
      <c r="AS91" s="369"/>
    </row>
    <row r="92" spans="20:45" x14ac:dyDescent="0.25"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L92" s="369"/>
      <c r="AM92" s="369"/>
      <c r="AN92" s="369"/>
      <c r="AO92" s="369"/>
      <c r="AP92" s="369"/>
      <c r="AQ92" s="369"/>
      <c r="AR92" s="369"/>
      <c r="AS92" s="369"/>
    </row>
    <row r="93" spans="20:45" x14ac:dyDescent="0.25"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L93" s="369"/>
      <c r="AM93" s="369"/>
      <c r="AN93" s="369"/>
      <c r="AO93" s="369"/>
      <c r="AP93" s="369"/>
      <c r="AQ93" s="369"/>
      <c r="AR93" s="369"/>
      <c r="AS93" s="369"/>
    </row>
    <row r="94" spans="20:45" x14ac:dyDescent="0.25"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L94" s="369"/>
      <c r="AM94" s="369"/>
      <c r="AN94" s="369"/>
      <c r="AO94" s="369"/>
      <c r="AP94" s="369"/>
      <c r="AQ94" s="369"/>
      <c r="AR94" s="369"/>
      <c r="AS94" s="369"/>
    </row>
    <row r="95" spans="20:45" x14ac:dyDescent="0.25"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L95" s="369"/>
      <c r="AM95" s="369"/>
      <c r="AN95" s="369"/>
      <c r="AO95" s="369"/>
      <c r="AP95" s="369"/>
      <c r="AQ95" s="369"/>
      <c r="AR95" s="369"/>
      <c r="AS95" s="369"/>
    </row>
    <row r="96" spans="20:45" x14ac:dyDescent="0.25"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L96" s="369"/>
      <c r="AM96" s="369"/>
      <c r="AN96" s="369"/>
      <c r="AO96" s="369"/>
      <c r="AP96" s="369"/>
      <c r="AQ96" s="369"/>
      <c r="AR96" s="369"/>
      <c r="AS96" s="369"/>
    </row>
    <row r="97" spans="20:45" x14ac:dyDescent="0.25"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L97" s="369"/>
      <c r="AM97" s="369"/>
      <c r="AN97" s="369"/>
      <c r="AO97" s="369"/>
      <c r="AP97" s="369"/>
      <c r="AQ97" s="369"/>
      <c r="AR97" s="369"/>
      <c r="AS97" s="369"/>
    </row>
    <row r="98" spans="20:45" x14ac:dyDescent="0.25"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L98" s="369"/>
      <c r="AM98" s="369"/>
      <c r="AN98" s="369"/>
      <c r="AO98" s="369"/>
      <c r="AP98" s="369"/>
      <c r="AQ98" s="369"/>
      <c r="AR98" s="369"/>
      <c r="AS98" s="369"/>
    </row>
    <row r="99" spans="20:45" x14ac:dyDescent="0.25"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L99" s="369"/>
      <c r="AM99" s="369"/>
      <c r="AN99" s="369"/>
      <c r="AO99" s="369"/>
      <c r="AP99" s="369"/>
      <c r="AQ99" s="369"/>
      <c r="AR99" s="369"/>
      <c r="AS99" s="369"/>
    </row>
    <row r="100" spans="20:45" x14ac:dyDescent="0.25"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L100" s="369"/>
      <c r="AM100" s="369"/>
      <c r="AN100" s="369"/>
      <c r="AO100" s="369"/>
      <c r="AP100" s="369"/>
      <c r="AQ100" s="369"/>
      <c r="AR100" s="369"/>
      <c r="AS100" s="369"/>
    </row>
    <row r="101" spans="20:45" x14ac:dyDescent="0.25"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L101" s="369"/>
      <c r="AM101" s="369"/>
      <c r="AN101" s="369"/>
      <c r="AO101" s="369"/>
      <c r="AP101" s="369"/>
      <c r="AQ101" s="369"/>
      <c r="AR101" s="369"/>
      <c r="AS101" s="369"/>
    </row>
    <row r="102" spans="20:45" x14ac:dyDescent="0.25"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L102" s="369"/>
      <c r="AM102" s="369"/>
      <c r="AN102" s="369"/>
      <c r="AO102" s="369"/>
      <c r="AP102" s="369"/>
      <c r="AQ102" s="369"/>
      <c r="AR102" s="369"/>
      <c r="AS102" s="369"/>
    </row>
    <row r="103" spans="20:45" x14ac:dyDescent="0.25"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L103" s="369"/>
      <c r="AM103" s="369"/>
      <c r="AN103" s="369"/>
      <c r="AO103" s="369"/>
      <c r="AP103" s="369"/>
      <c r="AQ103" s="369"/>
      <c r="AR103" s="369"/>
      <c r="AS103" s="369"/>
    </row>
    <row r="104" spans="20:45" x14ac:dyDescent="0.25"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L104" s="369"/>
      <c r="AM104" s="369"/>
      <c r="AN104" s="369"/>
      <c r="AO104" s="369"/>
      <c r="AP104" s="369"/>
      <c r="AQ104" s="369"/>
      <c r="AR104" s="369"/>
      <c r="AS104" s="369"/>
    </row>
    <row r="105" spans="20:45" x14ac:dyDescent="0.25"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L105" s="369"/>
      <c r="AM105" s="369"/>
      <c r="AN105" s="369"/>
      <c r="AO105" s="369"/>
      <c r="AP105" s="369"/>
      <c r="AQ105" s="369"/>
      <c r="AR105" s="369"/>
      <c r="AS105" s="369"/>
    </row>
    <row r="106" spans="20:45" x14ac:dyDescent="0.25"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L106" s="369"/>
      <c r="AM106" s="369"/>
      <c r="AN106" s="369"/>
      <c r="AO106" s="369"/>
      <c r="AP106" s="369"/>
      <c r="AQ106" s="369"/>
      <c r="AR106" s="369"/>
      <c r="AS106" s="369"/>
    </row>
    <row r="107" spans="20:45" x14ac:dyDescent="0.25"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L107" s="369"/>
      <c r="AM107" s="369"/>
      <c r="AN107" s="369"/>
      <c r="AO107" s="369"/>
      <c r="AP107" s="369"/>
      <c r="AQ107" s="369"/>
      <c r="AR107" s="369"/>
      <c r="AS107" s="369"/>
    </row>
    <row r="108" spans="20:45" x14ac:dyDescent="0.25"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L108" s="369"/>
      <c r="AM108" s="369"/>
      <c r="AN108" s="369"/>
      <c r="AO108" s="369"/>
      <c r="AP108" s="369"/>
      <c r="AQ108" s="369"/>
      <c r="AR108" s="369"/>
      <c r="AS108" s="369"/>
    </row>
    <row r="109" spans="20:45" x14ac:dyDescent="0.25"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L109" s="369"/>
      <c r="AM109" s="369"/>
      <c r="AN109" s="369"/>
      <c r="AO109" s="369"/>
      <c r="AP109" s="369"/>
      <c r="AQ109" s="369"/>
      <c r="AR109" s="369"/>
      <c r="AS109" s="369"/>
    </row>
    <row r="110" spans="20:45" x14ac:dyDescent="0.25"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L110" s="369"/>
      <c r="AM110" s="369"/>
      <c r="AN110" s="369"/>
      <c r="AO110" s="369"/>
      <c r="AP110" s="369"/>
      <c r="AQ110" s="369"/>
      <c r="AR110" s="369"/>
      <c r="AS110" s="369"/>
    </row>
    <row r="111" spans="20:45" x14ac:dyDescent="0.25"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L111" s="369"/>
      <c r="AM111" s="369"/>
      <c r="AN111" s="369"/>
      <c r="AO111" s="369"/>
      <c r="AP111" s="369"/>
      <c r="AQ111" s="369"/>
      <c r="AR111" s="369"/>
      <c r="AS111" s="369"/>
    </row>
    <row r="112" spans="20:45" x14ac:dyDescent="0.25"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L112" s="369"/>
      <c r="AM112" s="369"/>
      <c r="AN112" s="369"/>
      <c r="AO112" s="369"/>
      <c r="AP112" s="369"/>
      <c r="AQ112" s="369"/>
      <c r="AR112" s="369"/>
      <c r="AS112" s="369"/>
    </row>
    <row r="113" spans="20:45" x14ac:dyDescent="0.25"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L113" s="369"/>
      <c r="AM113" s="369"/>
      <c r="AN113" s="369"/>
      <c r="AO113" s="369"/>
      <c r="AP113" s="369"/>
      <c r="AQ113" s="369"/>
      <c r="AR113" s="369"/>
      <c r="AS113" s="369"/>
    </row>
    <row r="114" spans="20:45" x14ac:dyDescent="0.25"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L114" s="369"/>
      <c r="AM114" s="369"/>
      <c r="AN114" s="369"/>
      <c r="AO114" s="369"/>
      <c r="AP114" s="369"/>
      <c r="AQ114" s="369"/>
      <c r="AR114" s="369"/>
      <c r="AS114" s="369"/>
    </row>
    <row r="115" spans="20:45" x14ac:dyDescent="0.25"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L115" s="369"/>
      <c r="AM115" s="369"/>
      <c r="AN115" s="369"/>
      <c r="AO115" s="369"/>
      <c r="AP115" s="369"/>
      <c r="AQ115" s="369"/>
      <c r="AR115" s="369"/>
      <c r="AS115" s="369"/>
    </row>
    <row r="116" spans="20:45" x14ac:dyDescent="0.25"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L116" s="369"/>
      <c r="AM116" s="369"/>
      <c r="AN116" s="369"/>
      <c r="AO116" s="369"/>
      <c r="AP116" s="369"/>
      <c r="AQ116" s="369"/>
      <c r="AR116" s="369"/>
      <c r="AS116" s="369"/>
    </row>
    <row r="117" spans="20:45" x14ac:dyDescent="0.25"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L117" s="369"/>
      <c r="AM117" s="369"/>
      <c r="AN117" s="369"/>
      <c r="AO117" s="369"/>
      <c r="AP117" s="369"/>
      <c r="AQ117" s="369"/>
      <c r="AR117" s="369"/>
      <c r="AS117" s="369"/>
    </row>
    <row r="118" spans="20:45" x14ac:dyDescent="0.25"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L118" s="369"/>
      <c r="AM118" s="369"/>
      <c r="AN118" s="369"/>
      <c r="AO118" s="369"/>
      <c r="AP118" s="369"/>
      <c r="AQ118" s="369"/>
      <c r="AR118" s="369"/>
      <c r="AS118" s="369"/>
    </row>
    <row r="119" spans="20:45" x14ac:dyDescent="0.25"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L119" s="369"/>
      <c r="AM119" s="369"/>
      <c r="AN119" s="369"/>
      <c r="AO119" s="369"/>
      <c r="AP119" s="369"/>
      <c r="AQ119" s="369"/>
      <c r="AR119" s="369"/>
      <c r="AS119" s="369"/>
    </row>
    <row r="120" spans="20:45" x14ac:dyDescent="0.25"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L120" s="369"/>
      <c r="AM120" s="369"/>
      <c r="AN120" s="369"/>
      <c r="AO120" s="369"/>
      <c r="AP120" s="369"/>
      <c r="AQ120" s="369"/>
      <c r="AR120" s="369"/>
      <c r="AS120" s="369"/>
    </row>
    <row r="121" spans="20:45" x14ac:dyDescent="0.25"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L121" s="369"/>
      <c r="AM121" s="369"/>
      <c r="AN121" s="369"/>
      <c r="AO121" s="369"/>
      <c r="AP121" s="369"/>
      <c r="AQ121" s="369"/>
      <c r="AR121" s="369"/>
      <c r="AS121" s="369"/>
    </row>
    <row r="122" spans="20:45" x14ac:dyDescent="0.25"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L122" s="369"/>
      <c r="AM122" s="369"/>
      <c r="AN122" s="369"/>
      <c r="AO122" s="369"/>
      <c r="AP122" s="369"/>
      <c r="AQ122" s="369"/>
      <c r="AR122" s="369"/>
      <c r="AS122" s="369"/>
    </row>
    <row r="123" spans="20:45" x14ac:dyDescent="0.25"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L123" s="369"/>
      <c r="AM123" s="369"/>
      <c r="AN123" s="369"/>
      <c r="AO123" s="369"/>
      <c r="AP123" s="369"/>
      <c r="AQ123" s="369"/>
      <c r="AR123" s="369"/>
      <c r="AS123" s="369"/>
    </row>
    <row r="124" spans="20:45" x14ac:dyDescent="0.25"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L124" s="369"/>
      <c r="AM124" s="369"/>
      <c r="AN124" s="369"/>
      <c r="AO124" s="369"/>
      <c r="AP124" s="369"/>
      <c r="AQ124" s="369"/>
      <c r="AR124" s="369"/>
      <c r="AS124" s="369"/>
    </row>
    <row r="125" spans="20:45" x14ac:dyDescent="0.25"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L125" s="369"/>
      <c r="AM125" s="369"/>
      <c r="AN125" s="369"/>
      <c r="AO125" s="369"/>
      <c r="AP125" s="369"/>
      <c r="AQ125" s="369"/>
      <c r="AR125" s="369"/>
      <c r="AS125" s="369"/>
    </row>
    <row r="126" spans="20:45" x14ac:dyDescent="0.25"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L126" s="369"/>
      <c r="AM126" s="369"/>
      <c r="AN126" s="369"/>
      <c r="AO126" s="369"/>
      <c r="AP126" s="369"/>
      <c r="AQ126" s="369"/>
      <c r="AR126" s="369"/>
      <c r="AS126" s="369"/>
    </row>
    <row r="127" spans="20:45" x14ac:dyDescent="0.25"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L127" s="369"/>
      <c r="AM127" s="369"/>
      <c r="AN127" s="369"/>
      <c r="AO127" s="369"/>
      <c r="AP127" s="369"/>
      <c r="AQ127" s="369"/>
      <c r="AR127" s="369"/>
      <c r="AS127" s="369"/>
    </row>
    <row r="128" spans="20:45" x14ac:dyDescent="0.25">
      <c r="T128" s="369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L128" s="369"/>
      <c r="AM128" s="369"/>
      <c r="AN128" s="369"/>
      <c r="AO128" s="369"/>
      <c r="AP128" s="369"/>
      <c r="AQ128" s="369"/>
      <c r="AR128" s="369"/>
      <c r="AS128" s="369"/>
    </row>
    <row r="129" spans="20:45" x14ac:dyDescent="0.25"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L129" s="369"/>
      <c r="AM129" s="369"/>
      <c r="AN129" s="369"/>
      <c r="AO129" s="369"/>
      <c r="AP129" s="369"/>
      <c r="AQ129" s="369"/>
      <c r="AR129" s="369"/>
      <c r="AS129" s="369"/>
    </row>
    <row r="130" spans="20:45" x14ac:dyDescent="0.25"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L130" s="369"/>
      <c r="AM130" s="369"/>
      <c r="AN130" s="369"/>
      <c r="AO130" s="369"/>
      <c r="AP130" s="369"/>
      <c r="AQ130" s="369"/>
      <c r="AR130" s="369"/>
      <c r="AS130" s="369"/>
    </row>
    <row r="131" spans="20:45" x14ac:dyDescent="0.25"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L131" s="369"/>
      <c r="AM131" s="369"/>
      <c r="AN131" s="369"/>
      <c r="AO131" s="369"/>
      <c r="AP131" s="369"/>
      <c r="AQ131" s="369"/>
      <c r="AR131" s="369"/>
      <c r="AS131" s="369"/>
    </row>
    <row r="132" spans="20:45" x14ac:dyDescent="0.25">
      <c r="T132" s="369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L132" s="369"/>
      <c r="AM132" s="369"/>
      <c r="AN132" s="369"/>
      <c r="AO132" s="369"/>
      <c r="AP132" s="369"/>
      <c r="AQ132" s="369"/>
      <c r="AR132" s="369"/>
      <c r="AS132" s="369"/>
    </row>
    <row r="133" spans="20:45" x14ac:dyDescent="0.25"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L133" s="369"/>
      <c r="AM133" s="369"/>
      <c r="AN133" s="369"/>
      <c r="AO133" s="369"/>
      <c r="AP133" s="369"/>
      <c r="AQ133" s="369"/>
      <c r="AR133" s="369"/>
      <c r="AS133" s="369"/>
    </row>
    <row r="134" spans="20:45" x14ac:dyDescent="0.25"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L134" s="369"/>
      <c r="AM134" s="369"/>
      <c r="AN134" s="369"/>
      <c r="AO134" s="369"/>
      <c r="AP134" s="369"/>
      <c r="AQ134" s="369"/>
      <c r="AR134" s="369"/>
      <c r="AS134" s="369"/>
    </row>
    <row r="135" spans="20:45" x14ac:dyDescent="0.25"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L135" s="369"/>
      <c r="AM135" s="369"/>
      <c r="AN135" s="369"/>
      <c r="AO135" s="369"/>
      <c r="AP135" s="369"/>
      <c r="AQ135" s="369"/>
      <c r="AR135" s="369"/>
      <c r="AS135" s="369"/>
    </row>
    <row r="136" spans="20:45" x14ac:dyDescent="0.25"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L136" s="369"/>
      <c r="AM136" s="369"/>
      <c r="AN136" s="369"/>
      <c r="AO136" s="369"/>
      <c r="AP136" s="369"/>
      <c r="AQ136" s="369"/>
      <c r="AR136" s="369"/>
      <c r="AS136" s="369"/>
    </row>
    <row r="137" spans="20:45" x14ac:dyDescent="0.25"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L137" s="369"/>
      <c r="AM137" s="369"/>
      <c r="AN137" s="369"/>
      <c r="AO137" s="369"/>
      <c r="AP137" s="369"/>
      <c r="AQ137" s="369"/>
      <c r="AR137" s="369"/>
      <c r="AS137" s="369"/>
    </row>
    <row r="138" spans="20:45" x14ac:dyDescent="0.25"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L138" s="369"/>
      <c r="AM138" s="369"/>
      <c r="AN138" s="369"/>
      <c r="AO138" s="369"/>
      <c r="AP138" s="369"/>
      <c r="AQ138" s="369"/>
      <c r="AR138" s="369"/>
      <c r="AS138" s="369"/>
    </row>
    <row r="139" spans="20:45" x14ac:dyDescent="0.25"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L139" s="369"/>
      <c r="AM139" s="369"/>
      <c r="AN139" s="369"/>
      <c r="AO139" s="369"/>
      <c r="AP139" s="369"/>
      <c r="AQ139" s="369"/>
      <c r="AR139" s="369"/>
      <c r="AS139" s="369"/>
    </row>
    <row r="140" spans="20:45" x14ac:dyDescent="0.25"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L140" s="369"/>
      <c r="AM140" s="369"/>
      <c r="AN140" s="369"/>
      <c r="AO140" s="369"/>
      <c r="AP140" s="369"/>
      <c r="AQ140" s="369"/>
      <c r="AR140" s="369"/>
      <c r="AS140" s="369"/>
    </row>
  </sheetData>
  <mergeCells count="1">
    <mergeCell ref="A4:C4"/>
  </mergeCells>
  <conditionalFormatting sqref="B22 B24 B26 B28 B30 B32 B34 B36 B38 B40 B42 B44 B46 B48 B50 B52">
    <cfRule type="cellIs" dxfId="155" priority="13" stopIfTrue="1" operator="equal">
      <formula>"QA"</formula>
    </cfRule>
    <cfRule type="cellIs" dxfId="154" priority="14" stopIfTrue="1" operator="equal">
      <formula>"DA"</formula>
    </cfRule>
  </conditionalFormatting>
  <conditionalFormatting sqref="E7 E21">
    <cfRule type="expression" dxfId="153" priority="16" stopIfTrue="1">
      <formula>$E7&lt;5</formula>
    </cfRule>
  </conditionalFormatting>
  <conditionalFormatting sqref="E22 E24 E26 E28 E30 E32 E34 E36 E38 E40 E42 E44 E46 E48 E50 E52">
    <cfRule type="expression" dxfId="152" priority="8" stopIfTrue="1">
      <formula>AND($E22&lt;9,$C22&gt;0)</formula>
    </cfRule>
  </conditionalFormatting>
  <conditionalFormatting sqref="F7 F9 F11 F13 F15 F17 F19">
    <cfRule type="cellIs" dxfId="151" priority="17" stopIfTrue="1" operator="equal">
      <formula>"Bye"</formula>
    </cfRule>
  </conditionalFormatting>
  <conditionalFormatting sqref="F21:F22 F24 F26 F28 F30 F32 F34 F36 F38 F40 F42 F44 F46 F48 F50">
    <cfRule type="cellIs" dxfId="150" priority="9" stopIfTrue="1" operator="equal">
      <formula>"Bye"</formula>
    </cfRule>
  </conditionalFormatting>
  <conditionalFormatting sqref="F22 F24 F26 F28 F30 F32 F34 F36 F38 F40 F42 F44 F46 F48 F50">
    <cfRule type="expression" dxfId="149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48" priority="4" stopIfTrue="1">
      <formula>AND($E7&lt;9,$C7&gt;0)</formula>
    </cfRule>
  </conditionalFormatting>
  <conditionalFormatting sqref="I8 K10 I12 M14 I16 K18 I20 I23 K25 I27 M29 I31 K33 I35 I39 K41 I43 M45 I47 K49 I51">
    <cfRule type="expression" dxfId="147" priority="5" stopIfTrue="1">
      <formula>AND($O$1="CU",I8="Umpire")</formula>
    </cfRule>
    <cfRule type="expression" dxfId="146" priority="6" stopIfTrue="1">
      <formula>AND($O$1="CU",I8&lt;&gt;"Umpire",J8&lt;&gt;"")</formula>
    </cfRule>
    <cfRule type="expression" dxfId="145" priority="7" stopIfTrue="1">
      <formula>AND($O$1="CU",I8&lt;&gt;"Umpire")</formula>
    </cfRule>
  </conditionalFormatting>
  <conditionalFormatting sqref="J8 L10 J12 N14 J16 L18 J20 R62">
    <cfRule type="expression" dxfId="144" priority="15" stopIfTrue="1">
      <formula>$O$1="CU"</formula>
    </cfRule>
  </conditionalFormatting>
  <conditionalFormatting sqref="K8 M10 K12 O14 K16 M18 K20 K23 M25 K27 O29 K31 M33 K35 K39 M41 K43 O45 K47 M49 K51">
    <cfRule type="expression" dxfId="143" priority="11" stopIfTrue="1">
      <formula>J8="as"</formula>
    </cfRule>
    <cfRule type="expression" dxfId="142" priority="12" stopIfTrue="1">
      <formula>J8="bs"</formula>
    </cfRule>
  </conditionalFormatting>
  <conditionalFormatting sqref="O16">
    <cfRule type="expression" dxfId="141" priority="1" stopIfTrue="1">
      <formula>AND($O$1="CU",O16="Umpire")</formula>
    </cfRule>
    <cfRule type="expression" dxfId="140" priority="2" stopIfTrue="1">
      <formula>AND($O$1="CU",O16&lt;&gt;"Umpire",P16&lt;&gt;"")</formula>
    </cfRule>
    <cfRule type="expression" dxfId="139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76FE0617-2671-4131-A3B5-A40AFC3B96BF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01C1-3CEA-430A-9A81-FF09A5473961}">
  <sheetPr>
    <tabColor indexed="11"/>
  </sheetPr>
  <dimension ref="A1:AJ47"/>
  <sheetViews>
    <sheetView topLeftCell="A12" workbookViewId="0">
      <selection sqref="A1:F1"/>
    </sheetView>
  </sheetViews>
  <sheetFormatPr defaultColWidth="8.77734375" defaultRowHeight="13.2" x14ac:dyDescent="0.25"/>
  <cols>
    <col min="1" max="1" width="6.109375" style="287" customWidth="1"/>
    <col min="2" max="2" width="4.44140625" style="287" customWidth="1"/>
    <col min="3" max="3" width="8.33203125" style="287" customWidth="1"/>
    <col min="4" max="4" width="7.109375" style="287" customWidth="1"/>
    <col min="5" max="5" width="9.33203125" style="287" customWidth="1"/>
    <col min="6" max="6" width="7.109375" style="287" customWidth="1"/>
    <col min="7" max="7" width="9.33203125" style="287" customWidth="1"/>
    <col min="8" max="8" width="7.109375" style="287" customWidth="1"/>
    <col min="9" max="9" width="9.33203125" style="287" customWidth="1"/>
    <col min="10" max="10" width="7.77734375" style="287" customWidth="1"/>
    <col min="11" max="13" width="8.44140625" style="287" customWidth="1"/>
    <col min="14" max="14" width="8.77734375" style="287"/>
    <col min="15" max="15" width="7.44140625" style="287" customWidth="1"/>
    <col min="16" max="16" width="8.44140625" style="287" customWidth="1"/>
    <col min="17" max="17" width="6.44140625" style="287" customWidth="1"/>
    <col min="18" max="20" width="8.44140625" style="287" customWidth="1"/>
    <col min="21" max="23" width="8.77734375" style="287"/>
    <col min="24" max="36" width="0" style="287" hidden="1" customWidth="1"/>
    <col min="37" max="16384" width="8.77734375" style="287"/>
  </cols>
  <sheetData>
    <row r="1" spans="1:36" ht="24.6" x14ac:dyDescent="0.25">
      <c r="A1" s="560" t="str">
        <f>[4]Altalanos!$A$6</f>
        <v>OB</v>
      </c>
      <c r="B1" s="560"/>
      <c r="C1" s="560"/>
      <c r="D1" s="560"/>
      <c r="E1" s="560"/>
      <c r="F1" s="560"/>
      <c r="G1" s="203"/>
      <c r="H1" s="206" t="s">
        <v>33</v>
      </c>
      <c r="I1" s="204"/>
      <c r="J1" s="205"/>
      <c r="L1" s="207"/>
      <c r="M1" s="208"/>
      <c r="N1" s="373"/>
      <c r="O1" s="373" t="s">
        <v>9</v>
      </c>
      <c r="P1" s="371"/>
      <c r="Q1" s="373"/>
      <c r="AA1" s="211" t="e">
        <f>IF(X5=1,CONCATENATE(VLOOKUP(X3,Z16:AG27,2)),CONCATENATE(VLOOKUP(X3,Z2:AJ13,2)))</f>
        <v>#N/A</v>
      </c>
      <c r="AB1" s="211" t="e">
        <f>IF(X5=1,CONCATENATE(VLOOKUP(X3,Z16:AJ27,3)),CONCATENATE(VLOOKUP(X3,Z2:AJ13,3)))</f>
        <v>#N/A</v>
      </c>
      <c r="AC1" s="211" t="e">
        <f>IF(X5=1,CONCATENATE(VLOOKUP(X3,Z16:AJ27,4)),CONCATENATE(VLOOKUP(X3,Z2:AJ13,4)))</f>
        <v>#N/A</v>
      </c>
      <c r="AD1" s="211" t="e">
        <f>IF(X5=1,CONCATENATE(VLOOKUP(X3,Z16:AJ27,5)),CONCATENATE(VLOOKUP(X3,Z2:AJ13,5)))</f>
        <v>#N/A</v>
      </c>
      <c r="AE1" s="211" t="e">
        <f>IF(X5=1,CONCATENATE(VLOOKUP(X3,Z16:AJ27,6)),CONCATENATE(VLOOKUP(X3,Z2:AJ13,6)))</f>
        <v>#N/A</v>
      </c>
      <c r="AF1" s="211" t="e">
        <f>IF(X5=1,CONCATENATE(VLOOKUP(X3,Z16:AJ27,7)),CONCATENATE(VLOOKUP(X3,Z2:AJ13,7)))</f>
        <v>#N/A</v>
      </c>
      <c r="AG1" s="211" t="e">
        <f>IF(X5=1,CONCATENATE(VLOOKUP(X3,Z16:AJ27,8)),CONCATENATE(VLOOKUP(X3,Z2:AJ13,8)))</f>
        <v>#N/A</v>
      </c>
      <c r="AH1" s="211" t="e">
        <f>IF(X5=1,CONCATENATE(VLOOKUP(X3,Z16:AJ27,9)),CONCATENATE(VLOOKUP(X3,Z2:AJ13,9)))</f>
        <v>#N/A</v>
      </c>
      <c r="AI1" s="211" t="e">
        <f>IF(X5=1,CONCATENATE(VLOOKUP(X3,Z16:AJ27,10)),CONCATENATE(VLOOKUP(X3,Z2:AJ13,10)))</f>
        <v>#N/A</v>
      </c>
      <c r="AJ1" s="211" t="e">
        <f>IF(X5=1,CONCATENATE(VLOOKUP(X3,Z16:AJ27,11)),CONCATENATE(VLOOKUP(X3,Z2:AJ13,11)))</f>
        <v>#N/A</v>
      </c>
    </row>
    <row r="2" spans="1:36" x14ac:dyDescent="0.25">
      <c r="A2" s="213" t="s">
        <v>32</v>
      </c>
      <c r="B2" s="214"/>
      <c r="C2" s="214"/>
      <c r="D2" s="214"/>
      <c r="E2" s="214">
        <f>[4]Altalanos!$A$8</f>
        <v>0</v>
      </c>
      <c r="F2" s="214"/>
      <c r="G2" s="215"/>
      <c r="H2" s="216"/>
      <c r="I2" s="216"/>
      <c r="J2" s="217"/>
      <c r="K2" s="207"/>
      <c r="L2" s="207"/>
      <c r="M2" s="207"/>
      <c r="N2" s="381"/>
      <c r="O2" s="380"/>
      <c r="P2" s="380"/>
      <c r="Q2" s="381"/>
      <c r="X2" s="220"/>
      <c r="Y2" s="221"/>
      <c r="Z2" s="221" t="s">
        <v>43</v>
      </c>
      <c r="AA2" s="222">
        <v>150</v>
      </c>
      <c r="AB2" s="222">
        <v>120</v>
      </c>
      <c r="AC2" s="222">
        <v>100</v>
      </c>
      <c r="AD2" s="222">
        <v>80</v>
      </c>
      <c r="AE2" s="222">
        <v>70</v>
      </c>
      <c r="AF2" s="222">
        <v>60</v>
      </c>
      <c r="AG2" s="222">
        <v>55</v>
      </c>
      <c r="AH2" s="222">
        <v>50</v>
      </c>
      <c r="AI2" s="222">
        <v>45</v>
      </c>
      <c r="AJ2" s="222">
        <v>40</v>
      </c>
    </row>
    <row r="3" spans="1:36" x14ac:dyDescent="0.25">
      <c r="A3" s="223" t="s">
        <v>17</v>
      </c>
      <c r="B3" s="223"/>
      <c r="C3" s="223"/>
      <c r="D3" s="223"/>
      <c r="E3" s="223" t="s">
        <v>14</v>
      </c>
      <c r="F3" s="223"/>
      <c r="G3" s="223"/>
      <c r="H3" s="223" t="s">
        <v>22</v>
      </c>
      <c r="I3" s="223"/>
      <c r="J3" s="224"/>
      <c r="K3" s="223"/>
      <c r="L3" s="225" t="s">
        <v>23</v>
      </c>
      <c r="M3" s="223"/>
      <c r="N3" s="470"/>
      <c r="O3" s="471"/>
      <c r="X3" s="221">
        <f>IF(H4="OB","A",IF(H4="IX","W",H4))</f>
        <v>0</v>
      </c>
      <c r="Y3" s="221"/>
      <c r="Z3" s="221" t="s">
        <v>67</v>
      </c>
      <c r="AA3" s="222">
        <v>120</v>
      </c>
      <c r="AB3" s="222">
        <v>90</v>
      </c>
      <c r="AC3" s="222">
        <v>65</v>
      </c>
      <c r="AD3" s="222">
        <v>55</v>
      </c>
      <c r="AE3" s="222">
        <v>50</v>
      </c>
      <c r="AF3" s="222">
        <v>45</v>
      </c>
      <c r="AG3" s="222">
        <v>40</v>
      </c>
      <c r="AH3" s="222">
        <v>35</v>
      </c>
      <c r="AI3" s="222">
        <v>25</v>
      </c>
      <c r="AJ3" s="222">
        <v>20</v>
      </c>
    </row>
    <row r="4" spans="1:36" ht="13.8" thickBot="1" x14ac:dyDescent="0.3">
      <c r="A4" s="551">
        <f>[4]Altalanos!$A$10</f>
        <v>0</v>
      </c>
      <c r="B4" s="551"/>
      <c r="C4" s="551"/>
      <c r="D4" s="228"/>
      <c r="E4" s="229">
        <f>[4]Altalanos!$C$10</f>
        <v>0</v>
      </c>
      <c r="F4" s="229"/>
      <c r="G4" s="229"/>
      <c r="H4" s="136"/>
      <c r="I4" s="229"/>
      <c r="J4" s="231"/>
      <c r="K4" s="136"/>
      <c r="L4" s="233">
        <f>[4]Altalanos!$E$10</f>
        <v>0</v>
      </c>
      <c r="M4" s="136"/>
      <c r="N4" s="472"/>
      <c r="O4" s="473"/>
      <c r="X4" s="221"/>
      <c r="Y4" s="221"/>
      <c r="Z4" s="221" t="s">
        <v>68</v>
      </c>
      <c r="AA4" s="222">
        <v>90</v>
      </c>
      <c r="AB4" s="222">
        <v>60</v>
      </c>
      <c r="AC4" s="222">
        <v>45</v>
      </c>
      <c r="AD4" s="222">
        <v>34</v>
      </c>
      <c r="AE4" s="222">
        <v>27</v>
      </c>
      <c r="AF4" s="222">
        <v>22</v>
      </c>
      <c r="AG4" s="222">
        <v>18</v>
      </c>
      <c r="AH4" s="222">
        <v>15</v>
      </c>
      <c r="AI4" s="222">
        <v>12</v>
      </c>
      <c r="AJ4" s="222">
        <v>9</v>
      </c>
    </row>
    <row r="5" spans="1:36" x14ac:dyDescent="0.25">
      <c r="A5" s="474"/>
      <c r="B5" s="474" t="s">
        <v>31</v>
      </c>
      <c r="C5" s="475" t="s">
        <v>41</v>
      </c>
      <c r="D5" s="474" t="s">
        <v>26</v>
      </c>
      <c r="E5" s="474" t="s">
        <v>46</v>
      </c>
      <c r="F5" s="474"/>
      <c r="G5" s="474" t="s">
        <v>21</v>
      </c>
      <c r="H5" s="474"/>
      <c r="I5" s="474" t="s">
        <v>24</v>
      </c>
      <c r="J5" s="474"/>
      <c r="K5" s="476" t="s">
        <v>47</v>
      </c>
      <c r="L5" s="476" t="s">
        <v>48</v>
      </c>
      <c r="M5" s="476" t="s">
        <v>49</v>
      </c>
      <c r="N5" s="477" t="s">
        <v>52</v>
      </c>
      <c r="O5" s="222" t="s">
        <v>57</v>
      </c>
      <c r="P5" s="477" t="s">
        <v>52</v>
      </c>
      <c r="Q5" s="222" t="s">
        <v>463</v>
      </c>
      <c r="X5" s="221">
        <f>IF(OR([4]Altalanos!$A$8="F1",[4]Altalanos!$A$8="F2",[4]Altalanos!$A$8="N1",[4]Altalanos!$A$8="N2"),1,2)</f>
        <v>2</v>
      </c>
      <c r="Y5" s="221"/>
      <c r="Z5" s="221" t="s">
        <v>69</v>
      </c>
      <c r="AA5" s="222">
        <v>60</v>
      </c>
      <c r="AB5" s="222">
        <v>40</v>
      </c>
      <c r="AC5" s="222">
        <v>30</v>
      </c>
      <c r="AD5" s="222">
        <v>20</v>
      </c>
      <c r="AE5" s="222">
        <v>18</v>
      </c>
      <c r="AF5" s="222">
        <v>15</v>
      </c>
      <c r="AG5" s="222">
        <v>12</v>
      </c>
      <c r="AH5" s="222">
        <v>10</v>
      </c>
      <c r="AI5" s="222">
        <v>8</v>
      </c>
      <c r="AJ5" s="222">
        <v>6</v>
      </c>
    </row>
    <row r="6" spans="1:36" x14ac:dyDescent="0.25">
      <c r="A6" s="369"/>
      <c r="B6" s="369"/>
      <c r="C6" s="21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478" t="s">
        <v>58</v>
      </c>
      <c r="O6" s="479" t="s">
        <v>53</v>
      </c>
      <c r="P6" s="478" t="s">
        <v>58</v>
      </c>
      <c r="Q6" s="479" t="s">
        <v>464</v>
      </c>
      <c r="X6" s="221"/>
      <c r="Y6" s="221"/>
      <c r="Z6" s="221" t="s">
        <v>70</v>
      </c>
      <c r="AA6" s="222">
        <v>40</v>
      </c>
      <c r="AB6" s="222">
        <v>25</v>
      </c>
      <c r="AC6" s="222">
        <v>18</v>
      </c>
      <c r="AD6" s="222">
        <v>13</v>
      </c>
      <c r="AE6" s="222">
        <v>10</v>
      </c>
      <c r="AF6" s="222">
        <v>8</v>
      </c>
      <c r="AG6" s="222">
        <v>6</v>
      </c>
      <c r="AH6" s="222">
        <v>5</v>
      </c>
      <c r="AI6" s="222">
        <v>4</v>
      </c>
      <c r="AJ6" s="222">
        <v>3</v>
      </c>
    </row>
    <row r="7" spans="1:36" x14ac:dyDescent="0.25">
      <c r="A7" s="480" t="s">
        <v>43</v>
      </c>
      <c r="B7" s="481"/>
      <c r="C7" s="255" t="str">
        <f>IF($B7="","",VLOOKUP($B7,'[4]1MD ELO'!$A$7:$O$22,5))</f>
        <v/>
      </c>
      <c r="D7" s="255" t="str">
        <f>IF($B7="","",VLOOKUP($B7,'[4]1MD ELO'!$A$7:$O$22,15))</f>
        <v/>
      </c>
      <c r="E7" s="296" t="s">
        <v>405</v>
      </c>
      <c r="F7" s="482"/>
      <c r="G7" s="296" t="str">
        <f>IF($B7="","",VLOOKUP($B7,'[4]1MD ELO'!$A$7:$O$22,3))</f>
        <v/>
      </c>
      <c r="H7" s="482"/>
      <c r="I7" s="287" t="s">
        <v>92</v>
      </c>
      <c r="J7" s="369"/>
      <c r="K7" s="483"/>
      <c r="L7" s="484" t="str">
        <f>IF(K7="","",CONCATENATE(VLOOKUP($X$3,$AA$1:$AJ$1,K7)," pont"))</f>
        <v/>
      </c>
      <c r="M7" s="485"/>
      <c r="N7" s="486" t="s">
        <v>59</v>
      </c>
      <c r="O7" s="487" t="s">
        <v>55</v>
      </c>
      <c r="P7" s="486" t="s">
        <v>59</v>
      </c>
      <c r="Q7" s="487" t="s">
        <v>63</v>
      </c>
      <c r="X7" s="221"/>
      <c r="Y7" s="221"/>
      <c r="Z7" s="221" t="s">
        <v>71</v>
      </c>
      <c r="AA7" s="222">
        <v>25</v>
      </c>
      <c r="AB7" s="222">
        <v>15</v>
      </c>
      <c r="AC7" s="222">
        <v>13</v>
      </c>
      <c r="AD7" s="222">
        <v>8</v>
      </c>
      <c r="AE7" s="222">
        <v>6</v>
      </c>
      <c r="AF7" s="222">
        <v>4</v>
      </c>
      <c r="AG7" s="222">
        <v>3</v>
      </c>
      <c r="AH7" s="222">
        <v>2</v>
      </c>
      <c r="AI7" s="222">
        <v>1</v>
      </c>
      <c r="AJ7" s="222">
        <v>0</v>
      </c>
    </row>
    <row r="8" spans="1:36" x14ac:dyDescent="0.25">
      <c r="A8" s="488"/>
      <c r="B8" s="489"/>
      <c r="C8" s="369"/>
      <c r="D8" s="369"/>
      <c r="E8" s="369"/>
      <c r="F8" s="369"/>
      <c r="G8" s="369"/>
      <c r="H8" s="369"/>
      <c r="I8" s="369"/>
      <c r="J8" s="369"/>
      <c r="K8" s="488"/>
      <c r="L8" s="488"/>
      <c r="M8" s="490"/>
      <c r="X8" s="221"/>
      <c r="Y8" s="221"/>
      <c r="Z8" s="221" t="s">
        <v>72</v>
      </c>
      <c r="AA8" s="222">
        <v>15</v>
      </c>
      <c r="AB8" s="222">
        <v>10</v>
      </c>
      <c r="AC8" s="222">
        <v>7</v>
      </c>
      <c r="AD8" s="222">
        <v>5</v>
      </c>
      <c r="AE8" s="222">
        <v>4</v>
      </c>
      <c r="AF8" s="222">
        <v>3</v>
      </c>
      <c r="AG8" s="222">
        <v>2</v>
      </c>
      <c r="AH8" s="222">
        <v>1</v>
      </c>
      <c r="AI8" s="222">
        <v>0</v>
      </c>
      <c r="AJ8" s="222">
        <v>0</v>
      </c>
    </row>
    <row r="9" spans="1:36" x14ac:dyDescent="0.25">
      <c r="A9" s="488" t="s">
        <v>44</v>
      </c>
      <c r="B9" s="491"/>
      <c r="C9" s="255" t="str">
        <f>IF($B9="","",VLOOKUP($B9,'[4]1MD ELO'!$A$7:$O$22,5))</f>
        <v/>
      </c>
      <c r="D9" s="255" t="str">
        <f>IF($B9="","",VLOOKUP($B9,'[4]1MD ELO'!$A$7:$O$22,15))</f>
        <v/>
      </c>
      <c r="E9" s="278" t="s">
        <v>406</v>
      </c>
      <c r="F9" s="492"/>
      <c r="G9" s="278" t="str">
        <f>IF($B9="","",VLOOKUP($B9,'[4]1MD ELO'!$A$7:$O$22,3))</f>
        <v/>
      </c>
      <c r="H9" s="492"/>
      <c r="I9" s="287" t="s">
        <v>92</v>
      </c>
      <c r="J9" s="369"/>
      <c r="K9" s="483"/>
      <c r="L9" s="484" t="str">
        <f>IF(K9="","",CONCATENATE(VLOOKUP($X$3,$AA$1:$AJ$1,K9)," pont"))</f>
        <v/>
      </c>
      <c r="M9" s="485"/>
      <c r="X9" s="221"/>
      <c r="Y9" s="221"/>
      <c r="Z9" s="221" t="s">
        <v>73</v>
      </c>
      <c r="AA9" s="222">
        <v>10</v>
      </c>
      <c r="AB9" s="222">
        <v>6</v>
      </c>
      <c r="AC9" s="222">
        <v>4</v>
      </c>
      <c r="AD9" s="222">
        <v>2</v>
      </c>
      <c r="AE9" s="222">
        <v>1</v>
      </c>
      <c r="AF9" s="222">
        <v>0</v>
      </c>
      <c r="AG9" s="222">
        <v>0</v>
      </c>
      <c r="AH9" s="222">
        <v>0</v>
      </c>
      <c r="AI9" s="222">
        <v>0</v>
      </c>
      <c r="AJ9" s="222">
        <v>0</v>
      </c>
    </row>
    <row r="10" spans="1:36" x14ac:dyDescent="0.25">
      <c r="A10" s="488"/>
      <c r="B10" s="489"/>
      <c r="C10" s="369"/>
      <c r="D10" s="369"/>
      <c r="E10" s="369"/>
      <c r="F10" s="369"/>
      <c r="G10" s="369"/>
      <c r="H10" s="369"/>
      <c r="J10" s="369"/>
      <c r="K10" s="488"/>
      <c r="L10" s="488"/>
      <c r="M10" s="490"/>
      <c r="X10" s="221"/>
      <c r="Y10" s="221"/>
      <c r="Z10" s="221" t="s">
        <v>74</v>
      </c>
      <c r="AA10" s="222">
        <v>6</v>
      </c>
      <c r="AB10" s="222">
        <v>3</v>
      </c>
      <c r="AC10" s="222">
        <v>2</v>
      </c>
      <c r="AD10" s="222">
        <v>1</v>
      </c>
      <c r="AE10" s="222">
        <v>0</v>
      </c>
      <c r="AF10" s="222">
        <v>0</v>
      </c>
      <c r="AG10" s="222">
        <v>0</v>
      </c>
      <c r="AH10" s="222">
        <v>0</v>
      </c>
      <c r="AI10" s="222">
        <v>0</v>
      </c>
      <c r="AJ10" s="222">
        <v>0</v>
      </c>
    </row>
    <row r="11" spans="1:36" x14ac:dyDescent="0.25">
      <c r="A11" s="488" t="s">
        <v>45</v>
      </c>
      <c r="B11" s="491"/>
      <c r="C11" s="255" t="str">
        <f>IF($B11="","",VLOOKUP($B11,'[4]1MD ELO'!$A$7:$O$22,5))</f>
        <v/>
      </c>
      <c r="D11" s="255" t="str">
        <f>IF($B11="","",VLOOKUP($B11,'[4]1MD ELO'!$A$7:$O$22,15))</f>
        <v/>
      </c>
      <c r="E11" s="278" t="s">
        <v>407</v>
      </c>
      <c r="F11" s="492"/>
      <c r="G11" s="278" t="str">
        <f>IF($B11="","",VLOOKUP($B11,'[4]1MD ELO'!$A$7:$O$22,3))</f>
        <v/>
      </c>
      <c r="H11" s="492"/>
      <c r="I11" s="287" t="s">
        <v>92</v>
      </c>
      <c r="J11" s="369"/>
      <c r="K11" s="483"/>
      <c r="L11" s="484" t="str">
        <f>IF(K11="","",CONCATENATE(VLOOKUP($X$3,$AA$1:$AJ$1,K11)," pont"))</f>
        <v/>
      </c>
      <c r="M11" s="485"/>
      <c r="X11" s="221"/>
      <c r="Y11" s="221"/>
      <c r="Z11" s="221" t="s">
        <v>79</v>
      </c>
      <c r="AA11" s="222">
        <v>3</v>
      </c>
      <c r="AB11" s="222">
        <v>2</v>
      </c>
      <c r="AC11" s="222">
        <v>1</v>
      </c>
      <c r="AD11" s="222">
        <v>0</v>
      </c>
      <c r="AE11" s="222">
        <v>0</v>
      </c>
      <c r="AF11" s="222">
        <v>0</v>
      </c>
      <c r="AG11" s="222">
        <v>0</v>
      </c>
      <c r="AH11" s="222">
        <v>0</v>
      </c>
      <c r="AI11" s="222">
        <v>0</v>
      </c>
      <c r="AJ11" s="222">
        <v>0</v>
      </c>
    </row>
    <row r="12" spans="1:36" x14ac:dyDescent="0.25">
      <c r="A12" s="369"/>
      <c r="B12" s="480"/>
      <c r="C12" s="219"/>
      <c r="D12" s="369"/>
      <c r="E12" s="369"/>
      <c r="F12" s="369"/>
      <c r="G12" s="369"/>
      <c r="H12" s="369"/>
      <c r="I12" s="369"/>
      <c r="J12" s="369"/>
      <c r="K12" s="219"/>
      <c r="L12" s="219"/>
      <c r="M12" s="490"/>
      <c r="X12" s="221"/>
      <c r="Y12" s="221"/>
      <c r="Z12" s="221" t="s">
        <v>75</v>
      </c>
      <c r="AA12" s="493">
        <v>0</v>
      </c>
      <c r="AB12" s="493">
        <v>0</v>
      </c>
      <c r="AC12" s="493">
        <v>0</v>
      </c>
      <c r="AD12" s="493">
        <v>0</v>
      </c>
      <c r="AE12" s="493">
        <v>0</v>
      </c>
      <c r="AF12" s="493">
        <v>0</v>
      </c>
      <c r="AG12" s="493">
        <v>0</v>
      </c>
      <c r="AH12" s="493">
        <v>0</v>
      </c>
      <c r="AI12" s="493">
        <v>0</v>
      </c>
      <c r="AJ12" s="493">
        <v>0</v>
      </c>
    </row>
    <row r="13" spans="1:36" x14ac:dyDescent="0.25">
      <c r="A13" s="480" t="s">
        <v>50</v>
      </c>
      <c r="B13" s="481"/>
      <c r="C13" s="255" t="str">
        <f>IF($B13="","",VLOOKUP($B13,'[4]1MD ELO'!$A$7:$O$22,5))</f>
        <v/>
      </c>
      <c r="D13" s="255" t="str">
        <f>IF($B13="","",VLOOKUP($B13,'[4]1MD ELO'!$A$7:$O$22,15))</f>
        <v/>
      </c>
      <c r="E13" s="296" t="s">
        <v>408</v>
      </c>
      <c r="F13" s="482"/>
      <c r="G13" s="296" t="str">
        <f>IF($B13="","",VLOOKUP($B13,'[4]1MD ELO'!$A$7:$O$22,3))</f>
        <v/>
      </c>
      <c r="H13" s="482"/>
      <c r="I13" s="287" t="s">
        <v>92</v>
      </c>
      <c r="J13" s="369"/>
      <c r="K13" s="483"/>
      <c r="L13" s="484" t="str">
        <f>IF(K13="","",CONCATENATE(VLOOKUP($X$3,$AA$1:$AJ$1,K13)," pont"))</f>
        <v/>
      </c>
      <c r="M13" s="485"/>
      <c r="X13" s="221"/>
      <c r="Y13" s="221"/>
      <c r="Z13" s="221" t="s">
        <v>76</v>
      </c>
      <c r="AA13" s="493">
        <v>0</v>
      </c>
      <c r="AB13" s="493">
        <v>0</v>
      </c>
      <c r="AC13" s="493">
        <v>0</v>
      </c>
      <c r="AD13" s="493">
        <v>0</v>
      </c>
      <c r="AE13" s="493">
        <v>0</v>
      </c>
      <c r="AF13" s="493">
        <v>0</v>
      </c>
      <c r="AG13" s="493">
        <v>0</v>
      </c>
      <c r="AH13" s="493">
        <v>0</v>
      </c>
      <c r="AI13" s="493">
        <v>0</v>
      </c>
      <c r="AJ13" s="493">
        <v>0</v>
      </c>
    </row>
    <row r="14" spans="1:36" x14ac:dyDescent="0.25">
      <c r="A14" s="488"/>
      <c r="B14" s="489"/>
      <c r="C14" s="369"/>
      <c r="D14" s="369"/>
      <c r="E14" s="369"/>
      <c r="F14" s="369"/>
      <c r="G14" s="369"/>
      <c r="H14" s="369"/>
      <c r="I14" s="369"/>
      <c r="J14" s="369"/>
      <c r="K14" s="488"/>
      <c r="L14" s="488"/>
      <c r="M14" s="490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</row>
    <row r="15" spans="1:36" x14ac:dyDescent="0.25">
      <c r="A15" s="488" t="s">
        <v>51</v>
      </c>
      <c r="B15" s="491"/>
      <c r="C15" s="255" t="str">
        <f>IF($B15="","",VLOOKUP($B15,'[4]1MD ELO'!$A$7:$O$22,5))</f>
        <v/>
      </c>
      <c r="D15" s="255" t="str">
        <f>IF($B15="","",VLOOKUP($B15,'[4]1MD ELO'!$A$7:$O$22,15))</f>
        <v/>
      </c>
      <c r="E15" s="278" t="s">
        <v>409</v>
      </c>
      <c r="F15" s="492"/>
      <c r="G15" s="278" t="str">
        <f>IF($B15="","",VLOOKUP($B15,'[4]1MD ELO'!$A$7:$O$22,3))</f>
        <v/>
      </c>
      <c r="H15" s="492"/>
      <c r="I15" s="287" t="s">
        <v>92</v>
      </c>
      <c r="J15" s="369"/>
      <c r="K15" s="483"/>
      <c r="L15" s="484" t="str">
        <f>IF(K15="","",CONCATENATE(VLOOKUP($X$3,$AA$1:$AJ$1,K15)," pont"))</f>
        <v/>
      </c>
      <c r="M15" s="485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</row>
    <row r="16" spans="1:36" x14ac:dyDescent="0.25">
      <c r="A16" s="488"/>
      <c r="B16" s="489"/>
      <c r="C16" s="369"/>
      <c r="D16" s="369"/>
      <c r="E16" s="369"/>
      <c r="F16" s="369"/>
      <c r="G16" s="369"/>
      <c r="H16" s="369"/>
      <c r="J16" s="369"/>
      <c r="K16" s="488"/>
      <c r="L16" s="488"/>
      <c r="M16" s="490"/>
      <c r="X16" s="221"/>
      <c r="Y16" s="221"/>
      <c r="Z16" s="221" t="s">
        <v>43</v>
      </c>
      <c r="AA16" s="221">
        <v>300</v>
      </c>
      <c r="AB16" s="221">
        <v>250</v>
      </c>
      <c r="AC16" s="221">
        <v>220</v>
      </c>
      <c r="AD16" s="221">
        <v>180</v>
      </c>
      <c r="AE16" s="221">
        <v>160</v>
      </c>
      <c r="AF16" s="221">
        <v>150</v>
      </c>
      <c r="AG16" s="221">
        <v>140</v>
      </c>
      <c r="AH16" s="221">
        <v>130</v>
      </c>
      <c r="AI16" s="221">
        <v>120</v>
      </c>
      <c r="AJ16" s="221">
        <v>110</v>
      </c>
    </row>
    <row r="17" spans="1:36" x14ac:dyDescent="0.25">
      <c r="A17" s="488" t="s">
        <v>273</v>
      </c>
      <c r="B17" s="491"/>
      <c r="C17" s="255" t="str">
        <f>IF($B17="","",VLOOKUP($B17,'[4]1MD ELO'!$A$7:$O$22,5))</f>
        <v/>
      </c>
      <c r="D17" s="255" t="str">
        <f>IF($B17="","",VLOOKUP($B17,'[4]1MD ELO'!$A$7:$O$22,15))</f>
        <v/>
      </c>
      <c r="E17" s="278" t="s">
        <v>465</v>
      </c>
      <c r="F17" s="492"/>
      <c r="G17" s="278" t="str">
        <f>IF($B17="","",VLOOKUP($B17,'[4]1MD ELO'!$A$7:$O$22,3))</f>
        <v/>
      </c>
      <c r="H17" s="492"/>
      <c r="I17" s="287" t="s">
        <v>103</v>
      </c>
      <c r="J17" s="369"/>
      <c r="K17" s="483"/>
      <c r="L17" s="484" t="str">
        <f>IF(K17="","",CONCATENATE(VLOOKUP($X$3,$AA$1:$AJ$1,K17)," pont"))</f>
        <v/>
      </c>
      <c r="M17" s="485"/>
      <c r="X17" s="221"/>
      <c r="Y17" s="221"/>
      <c r="Z17" s="221" t="s">
        <v>67</v>
      </c>
      <c r="AA17" s="221">
        <v>250</v>
      </c>
      <c r="AB17" s="221">
        <v>200</v>
      </c>
      <c r="AC17" s="221">
        <v>160</v>
      </c>
      <c r="AD17" s="221">
        <v>140</v>
      </c>
      <c r="AE17" s="221">
        <v>120</v>
      </c>
      <c r="AF17" s="221">
        <v>110</v>
      </c>
      <c r="AG17" s="221">
        <v>100</v>
      </c>
      <c r="AH17" s="221">
        <v>90</v>
      </c>
      <c r="AI17" s="221">
        <v>80</v>
      </c>
      <c r="AJ17" s="221">
        <v>70</v>
      </c>
    </row>
    <row r="18" spans="1:36" x14ac:dyDescent="0.25">
      <c r="A18" s="369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X18" s="221"/>
      <c r="Y18" s="221"/>
      <c r="Z18" s="221" t="s">
        <v>68</v>
      </c>
      <c r="AA18" s="221">
        <v>200</v>
      </c>
      <c r="AB18" s="221">
        <v>150</v>
      </c>
      <c r="AC18" s="221">
        <v>130</v>
      </c>
      <c r="AD18" s="221">
        <v>110</v>
      </c>
      <c r="AE18" s="221">
        <v>95</v>
      </c>
      <c r="AF18" s="221">
        <v>80</v>
      </c>
      <c r="AG18" s="221">
        <v>70</v>
      </c>
      <c r="AH18" s="221">
        <v>60</v>
      </c>
      <c r="AI18" s="221">
        <v>55</v>
      </c>
      <c r="AJ18" s="221">
        <v>50</v>
      </c>
    </row>
    <row r="19" spans="1:36" x14ac:dyDescent="0.25">
      <c r="A19" s="369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X19" s="221"/>
      <c r="Y19" s="221"/>
      <c r="Z19" s="221" t="s">
        <v>69</v>
      </c>
      <c r="AA19" s="221">
        <v>150</v>
      </c>
      <c r="AB19" s="221">
        <v>120</v>
      </c>
      <c r="AC19" s="221">
        <v>100</v>
      </c>
      <c r="AD19" s="221">
        <v>80</v>
      </c>
      <c r="AE19" s="221">
        <v>70</v>
      </c>
      <c r="AF19" s="221">
        <v>60</v>
      </c>
      <c r="AG19" s="221">
        <v>55</v>
      </c>
      <c r="AH19" s="221">
        <v>50</v>
      </c>
      <c r="AI19" s="221">
        <v>45</v>
      </c>
      <c r="AJ19" s="221">
        <v>40</v>
      </c>
    </row>
    <row r="20" spans="1:36" x14ac:dyDescent="0.25">
      <c r="A20" s="3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X20" s="221"/>
      <c r="Y20" s="221"/>
      <c r="Z20" s="221" t="s">
        <v>70</v>
      </c>
      <c r="AA20" s="221">
        <v>120</v>
      </c>
      <c r="AB20" s="221">
        <v>90</v>
      </c>
      <c r="AC20" s="221">
        <v>65</v>
      </c>
      <c r="AD20" s="221">
        <v>55</v>
      </c>
      <c r="AE20" s="221">
        <v>50</v>
      </c>
      <c r="AF20" s="221">
        <v>45</v>
      </c>
      <c r="AG20" s="221">
        <v>40</v>
      </c>
      <c r="AH20" s="221">
        <v>35</v>
      </c>
      <c r="AI20" s="221">
        <v>25</v>
      </c>
      <c r="AJ20" s="221">
        <v>20</v>
      </c>
    </row>
    <row r="21" spans="1:36" x14ac:dyDescent="0.25">
      <c r="A21" s="369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X21" s="221"/>
      <c r="Y21" s="221"/>
      <c r="Z21" s="221" t="s">
        <v>71</v>
      </c>
      <c r="AA21" s="221">
        <v>90</v>
      </c>
      <c r="AB21" s="221">
        <v>60</v>
      </c>
      <c r="AC21" s="221">
        <v>45</v>
      </c>
      <c r="AD21" s="221">
        <v>34</v>
      </c>
      <c r="AE21" s="221">
        <v>27</v>
      </c>
      <c r="AF21" s="221">
        <v>22</v>
      </c>
      <c r="AG21" s="221">
        <v>18</v>
      </c>
      <c r="AH21" s="221">
        <v>15</v>
      </c>
      <c r="AI21" s="221">
        <v>12</v>
      </c>
      <c r="AJ21" s="221">
        <v>9</v>
      </c>
    </row>
    <row r="22" spans="1:36" ht="18.75" customHeight="1" x14ac:dyDescent="0.25">
      <c r="A22" s="369"/>
      <c r="B22" s="558"/>
      <c r="C22" s="558"/>
      <c r="D22" s="559" t="str">
        <f>E7</f>
        <v>Rácz István</v>
      </c>
      <c r="E22" s="559"/>
      <c r="F22" s="559" t="str">
        <f>E9</f>
        <v>Rőthy-Gruber Benedek</v>
      </c>
      <c r="G22" s="559"/>
      <c r="H22" s="559" t="str">
        <f>E11</f>
        <v>Takács Zalán</v>
      </c>
      <c r="I22" s="559"/>
      <c r="J22" s="369"/>
      <c r="K22" s="369"/>
      <c r="L22" s="369"/>
      <c r="M22" s="494" t="s">
        <v>47</v>
      </c>
      <c r="X22" s="221"/>
      <c r="Y22" s="221"/>
      <c r="Z22" s="221" t="s">
        <v>72</v>
      </c>
      <c r="AA22" s="221">
        <v>60</v>
      </c>
      <c r="AB22" s="221">
        <v>40</v>
      </c>
      <c r="AC22" s="221">
        <v>30</v>
      </c>
      <c r="AD22" s="221">
        <v>20</v>
      </c>
      <c r="AE22" s="221">
        <v>18</v>
      </c>
      <c r="AF22" s="221">
        <v>15</v>
      </c>
      <c r="AG22" s="221">
        <v>12</v>
      </c>
      <c r="AH22" s="221">
        <v>10</v>
      </c>
      <c r="AI22" s="221">
        <v>8</v>
      </c>
      <c r="AJ22" s="221">
        <v>6</v>
      </c>
    </row>
    <row r="23" spans="1:36" ht="18.75" customHeight="1" x14ac:dyDescent="0.25">
      <c r="A23" s="495" t="s">
        <v>43</v>
      </c>
      <c r="B23" s="555" t="str">
        <f>E7</f>
        <v>Rácz István</v>
      </c>
      <c r="C23" s="555"/>
      <c r="D23" s="557"/>
      <c r="E23" s="557"/>
      <c r="F23" s="556"/>
      <c r="G23" s="556"/>
      <c r="H23" s="556"/>
      <c r="I23" s="556"/>
      <c r="J23" s="369"/>
      <c r="K23" s="369"/>
      <c r="L23" s="369"/>
      <c r="M23" s="496"/>
      <c r="X23" s="221"/>
      <c r="Y23" s="221"/>
      <c r="Z23" s="221" t="s">
        <v>73</v>
      </c>
      <c r="AA23" s="221">
        <v>40</v>
      </c>
      <c r="AB23" s="221">
        <v>25</v>
      </c>
      <c r="AC23" s="221">
        <v>18</v>
      </c>
      <c r="AD23" s="221">
        <v>13</v>
      </c>
      <c r="AE23" s="221">
        <v>8</v>
      </c>
      <c r="AF23" s="221">
        <v>7</v>
      </c>
      <c r="AG23" s="221">
        <v>6</v>
      </c>
      <c r="AH23" s="221">
        <v>5</v>
      </c>
      <c r="AI23" s="221">
        <v>4</v>
      </c>
      <c r="AJ23" s="221">
        <v>3</v>
      </c>
    </row>
    <row r="24" spans="1:36" ht="18.75" customHeight="1" x14ac:dyDescent="0.25">
      <c r="A24" s="495" t="s">
        <v>44</v>
      </c>
      <c r="B24" s="555" t="str">
        <f>E9</f>
        <v>Rőthy-Gruber Benedek</v>
      </c>
      <c r="C24" s="555"/>
      <c r="D24" s="556"/>
      <c r="E24" s="556"/>
      <c r="F24" s="557"/>
      <c r="G24" s="557"/>
      <c r="H24" s="556"/>
      <c r="I24" s="556"/>
      <c r="J24" s="369"/>
      <c r="K24" s="369"/>
      <c r="L24" s="369"/>
      <c r="M24" s="496"/>
      <c r="X24" s="221"/>
      <c r="Y24" s="221"/>
      <c r="Z24" s="221" t="s">
        <v>74</v>
      </c>
      <c r="AA24" s="221">
        <v>25</v>
      </c>
      <c r="AB24" s="221">
        <v>15</v>
      </c>
      <c r="AC24" s="221">
        <v>13</v>
      </c>
      <c r="AD24" s="221">
        <v>7</v>
      </c>
      <c r="AE24" s="221">
        <v>6</v>
      </c>
      <c r="AF24" s="221">
        <v>5</v>
      </c>
      <c r="AG24" s="221">
        <v>4</v>
      </c>
      <c r="AH24" s="221">
        <v>3</v>
      </c>
      <c r="AI24" s="221">
        <v>2</v>
      </c>
      <c r="AJ24" s="221">
        <v>1</v>
      </c>
    </row>
    <row r="25" spans="1:36" ht="18.75" customHeight="1" x14ac:dyDescent="0.25">
      <c r="A25" s="495" t="s">
        <v>45</v>
      </c>
      <c r="B25" s="555" t="str">
        <f>E11</f>
        <v>Takács Zalán</v>
      </c>
      <c r="C25" s="555"/>
      <c r="D25" s="556"/>
      <c r="E25" s="556"/>
      <c r="F25" s="556"/>
      <c r="G25" s="556"/>
      <c r="H25" s="557"/>
      <c r="I25" s="557"/>
      <c r="J25" s="369"/>
      <c r="K25" s="369"/>
      <c r="L25" s="369"/>
      <c r="M25" s="496"/>
      <c r="X25" s="221"/>
      <c r="Y25" s="221"/>
      <c r="Z25" s="221" t="s">
        <v>79</v>
      </c>
      <c r="AA25" s="221">
        <v>15</v>
      </c>
      <c r="AB25" s="221">
        <v>10</v>
      </c>
      <c r="AC25" s="221">
        <v>8</v>
      </c>
      <c r="AD25" s="221">
        <v>4</v>
      </c>
      <c r="AE25" s="221">
        <v>3</v>
      </c>
      <c r="AF25" s="221">
        <v>2</v>
      </c>
      <c r="AG25" s="221">
        <v>1</v>
      </c>
      <c r="AH25" s="221">
        <v>0</v>
      </c>
      <c r="AI25" s="221">
        <v>0</v>
      </c>
      <c r="AJ25" s="221">
        <v>0</v>
      </c>
    </row>
    <row r="26" spans="1:36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497"/>
      <c r="X26" s="221"/>
      <c r="Y26" s="221"/>
      <c r="Z26" s="221" t="s">
        <v>75</v>
      </c>
      <c r="AA26" s="221">
        <v>10</v>
      </c>
      <c r="AB26" s="221">
        <v>6</v>
      </c>
      <c r="AC26" s="221">
        <v>4</v>
      </c>
      <c r="AD26" s="221">
        <v>2</v>
      </c>
      <c r="AE26" s="221">
        <v>1</v>
      </c>
      <c r="AF26" s="221">
        <v>0</v>
      </c>
      <c r="AG26" s="221">
        <v>0</v>
      </c>
      <c r="AH26" s="221">
        <v>0</v>
      </c>
      <c r="AI26" s="221">
        <v>0</v>
      </c>
      <c r="AJ26" s="221">
        <v>0</v>
      </c>
    </row>
    <row r="27" spans="1:36" ht="18.75" customHeight="1" x14ac:dyDescent="0.25">
      <c r="A27" s="369"/>
      <c r="B27" s="558"/>
      <c r="C27" s="558"/>
      <c r="D27" s="559" t="str">
        <f>E13</f>
        <v>Döbrönte Márton</v>
      </c>
      <c r="E27" s="559"/>
      <c r="F27" s="559" t="str">
        <f>E15</f>
        <v>Gellisz Noel</v>
      </c>
      <c r="G27" s="559"/>
      <c r="H27" s="559" t="str">
        <f>E17</f>
        <v>Borbély Loránt</v>
      </c>
      <c r="I27" s="559"/>
      <c r="J27" s="369"/>
      <c r="K27" s="369"/>
      <c r="L27" s="369"/>
      <c r="M27" s="497"/>
      <c r="X27" s="221"/>
      <c r="Y27" s="221"/>
      <c r="Z27" s="221" t="s">
        <v>76</v>
      </c>
      <c r="AA27" s="221">
        <v>3</v>
      </c>
      <c r="AB27" s="221">
        <v>2</v>
      </c>
      <c r="AC27" s="221">
        <v>1</v>
      </c>
      <c r="AD27" s="221">
        <v>0</v>
      </c>
      <c r="AE27" s="221">
        <v>0</v>
      </c>
      <c r="AF27" s="221">
        <v>0</v>
      </c>
      <c r="AG27" s="221">
        <v>0</v>
      </c>
      <c r="AH27" s="221">
        <v>0</v>
      </c>
      <c r="AI27" s="221">
        <v>0</v>
      </c>
      <c r="AJ27" s="221">
        <v>0</v>
      </c>
    </row>
    <row r="28" spans="1:36" ht="18.75" customHeight="1" x14ac:dyDescent="0.25">
      <c r="A28" s="495" t="s">
        <v>50</v>
      </c>
      <c r="B28" s="555" t="str">
        <f>E13</f>
        <v>Döbrönte Márton</v>
      </c>
      <c r="C28" s="555"/>
      <c r="D28" s="557"/>
      <c r="E28" s="557"/>
      <c r="F28" s="556"/>
      <c r="G28" s="556"/>
      <c r="H28" s="556"/>
      <c r="I28" s="556"/>
      <c r="J28" s="369"/>
      <c r="K28" s="369"/>
      <c r="L28" s="369"/>
      <c r="M28" s="496"/>
    </row>
    <row r="29" spans="1:36" ht="18.75" customHeight="1" x14ac:dyDescent="0.25">
      <c r="A29" s="495" t="s">
        <v>51</v>
      </c>
      <c r="B29" s="555" t="str">
        <f>E15</f>
        <v>Gellisz Noel</v>
      </c>
      <c r="C29" s="555"/>
      <c r="D29" s="556"/>
      <c r="E29" s="556"/>
      <c r="F29" s="557"/>
      <c r="G29" s="557"/>
      <c r="H29" s="556"/>
      <c r="I29" s="556"/>
      <c r="J29" s="369"/>
      <c r="K29" s="369"/>
      <c r="L29" s="369"/>
      <c r="M29" s="496"/>
    </row>
    <row r="30" spans="1:36" ht="18.75" customHeight="1" x14ac:dyDescent="0.25">
      <c r="A30" s="495" t="s">
        <v>273</v>
      </c>
      <c r="B30" s="555" t="str">
        <f>E17</f>
        <v>Borbély Loránt</v>
      </c>
      <c r="C30" s="555"/>
      <c r="D30" s="556"/>
      <c r="E30" s="556"/>
      <c r="F30" s="556"/>
      <c r="G30" s="556"/>
      <c r="H30" s="557"/>
      <c r="I30" s="557"/>
      <c r="J30" s="369"/>
      <c r="K30" s="369"/>
      <c r="L30" s="369"/>
      <c r="M30" s="496"/>
    </row>
    <row r="31" spans="1:36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6" x14ac:dyDescent="0.25">
      <c r="A32" s="369" t="s">
        <v>97</v>
      </c>
      <c r="B32" s="369"/>
      <c r="C32" s="552" t="str">
        <f>IF(M23=1,B23,IF(M24=1,B24,IF(M25=1,B25,"")))</f>
        <v/>
      </c>
      <c r="D32" s="552"/>
      <c r="E32" s="488" t="s">
        <v>466</v>
      </c>
      <c r="F32" s="552" t="str">
        <f>IF(M28=1,B28,IF(M29=1,B29,IF(M30=1,B30,"")))</f>
        <v/>
      </c>
      <c r="G32" s="552"/>
      <c r="H32" s="369"/>
      <c r="I32" s="492"/>
      <c r="J32" s="369"/>
      <c r="K32" s="369"/>
      <c r="L32" s="369"/>
      <c r="M32" s="369"/>
    </row>
    <row r="33" spans="1:17" x14ac:dyDescent="0.25">
      <c r="A33" s="369"/>
      <c r="B33" s="369"/>
      <c r="C33" s="369"/>
      <c r="D33" s="369"/>
      <c r="E33" s="369"/>
      <c r="F33" s="488"/>
      <c r="G33" s="488"/>
      <c r="H33" s="369"/>
      <c r="I33" s="369"/>
      <c r="J33" s="369"/>
      <c r="K33" s="369"/>
      <c r="L33" s="369"/>
      <c r="M33" s="369"/>
    </row>
    <row r="34" spans="1:17" x14ac:dyDescent="0.25">
      <c r="A34" s="369" t="s">
        <v>467</v>
      </c>
      <c r="B34" s="369"/>
      <c r="C34" s="552" t="str">
        <f>IF(M23=2,B23,IF(M24=2,B24,IF(M25=2,B25,"")))</f>
        <v/>
      </c>
      <c r="D34" s="552"/>
      <c r="E34" s="488" t="s">
        <v>466</v>
      </c>
      <c r="F34" s="552" t="str">
        <f>IF(M28=2,B28,IF(M29=2,B29,IF(M30=2,B30,"")))</f>
        <v/>
      </c>
      <c r="G34" s="552"/>
      <c r="H34" s="369"/>
      <c r="I34" s="492"/>
      <c r="J34" s="369"/>
      <c r="K34" s="369"/>
      <c r="L34" s="369"/>
      <c r="M34" s="369"/>
    </row>
    <row r="35" spans="1:17" x14ac:dyDescent="0.25">
      <c r="A35" s="369"/>
      <c r="B35" s="369"/>
      <c r="C35" s="488"/>
      <c r="D35" s="488"/>
      <c r="E35" s="488"/>
      <c r="F35" s="488"/>
      <c r="G35" s="488"/>
      <c r="H35" s="369"/>
      <c r="I35" s="369"/>
      <c r="J35" s="369"/>
      <c r="K35" s="369"/>
      <c r="L35" s="369"/>
      <c r="M35" s="369"/>
    </row>
    <row r="36" spans="1:17" x14ac:dyDescent="0.25">
      <c r="A36" s="369" t="s">
        <v>468</v>
      </c>
      <c r="B36" s="369"/>
      <c r="C36" s="552" t="str">
        <f>IF(M23=3,B23,IF(M24=3,B24,IF(M25=3,B25,"")))</f>
        <v/>
      </c>
      <c r="D36" s="552"/>
      <c r="E36" s="488" t="s">
        <v>466</v>
      </c>
      <c r="F36" s="552" t="str">
        <f>IF(M28=3,B28,IF(M29=3,B29,IF(M30=3,B30,"")))</f>
        <v/>
      </c>
      <c r="G36" s="552"/>
      <c r="H36" s="369"/>
      <c r="I36" s="492"/>
      <c r="J36" s="369"/>
      <c r="K36" s="369"/>
      <c r="L36" s="369"/>
      <c r="M36" s="369"/>
    </row>
    <row r="37" spans="1:17" x14ac:dyDescent="0.25">
      <c r="A37" s="369"/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</row>
    <row r="38" spans="1:17" x14ac:dyDescent="0.25">
      <c r="A38" s="369"/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492"/>
      <c r="M38" s="369"/>
    </row>
    <row r="39" spans="1:17" x14ac:dyDescent="0.25">
      <c r="A39" s="312" t="s">
        <v>26</v>
      </c>
      <c r="B39" s="313"/>
      <c r="C39" s="314"/>
      <c r="D39" s="498" t="s">
        <v>0</v>
      </c>
      <c r="E39" s="499" t="s">
        <v>28</v>
      </c>
      <c r="F39" s="500"/>
      <c r="G39" s="498" t="s">
        <v>0</v>
      </c>
      <c r="H39" s="499" t="s">
        <v>35</v>
      </c>
      <c r="I39" s="501"/>
      <c r="J39" s="499" t="s">
        <v>36</v>
      </c>
      <c r="K39" s="502" t="s">
        <v>37</v>
      </c>
      <c r="L39" s="474"/>
      <c r="M39" s="500"/>
      <c r="P39" s="503"/>
      <c r="Q39" s="504"/>
    </row>
    <row r="40" spans="1:17" x14ac:dyDescent="0.25">
      <c r="A40" s="327" t="s">
        <v>27</v>
      </c>
      <c r="B40" s="328"/>
      <c r="C40" s="330"/>
      <c r="D40" s="505">
        <v>1</v>
      </c>
      <c r="E40" s="553" t="str">
        <f>IF(D40&gt;$Q$47,,UPPER(VLOOKUP(D40,'[4]1MD ELO'!$A$7:$Q$134,2)))</f>
        <v/>
      </c>
      <c r="F40" s="553"/>
      <c r="G40" s="506" t="s">
        <v>1</v>
      </c>
      <c r="H40" s="328"/>
      <c r="I40" s="507"/>
      <c r="J40" s="508"/>
      <c r="K40" s="337" t="s">
        <v>29</v>
      </c>
      <c r="L40" s="509"/>
      <c r="M40" s="510"/>
      <c r="P40" s="511"/>
      <c r="Q40" s="443"/>
    </row>
    <row r="41" spans="1:17" x14ac:dyDescent="0.25">
      <c r="A41" s="339" t="s">
        <v>34</v>
      </c>
      <c r="B41" s="340"/>
      <c r="C41" s="342"/>
      <c r="D41" s="512">
        <v>2</v>
      </c>
      <c r="E41" s="554" t="str">
        <f>IF(D41&gt;$Q$47,,UPPER(VLOOKUP(D41,'[4]1MD ELO'!$A$7:$Q$134,2)))</f>
        <v/>
      </c>
      <c r="F41" s="554"/>
      <c r="G41" s="513" t="s">
        <v>2</v>
      </c>
      <c r="H41" s="334"/>
      <c r="I41" s="335"/>
      <c r="J41" s="332"/>
      <c r="K41" s="514"/>
      <c r="L41" s="492"/>
      <c r="M41" s="515"/>
      <c r="P41" s="442"/>
      <c r="Q41" s="443"/>
    </row>
    <row r="42" spans="1:17" x14ac:dyDescent="0.25">
      <c r="A42" s="346"/>
      <c r="B42" s="347"/>
      <c r="C42" s="349"/>
      <c r="D42" s="512"/>
      <c r="E42" s="325"/>
      <c r="F42" s="369"/>
      <c r="G42" s="513" t="s">
        <v>3</v>
      </c>
      <c r="H42" s="334"/>
      <c r="I42" s="335"/>
      <c r="J42" s="332"/>
      <c r="K42" s="337" t="s">
        <v>30</v>
      </c>
      <c r="L42" s="509"/>
      <c r="M42" s="510"/>
      <c r="P42" s="511"/>
      <c r="Q42" s="443"/>
    </row>
    <row r="43" spans="1:17" x14ac:dyDescent="0.25">
      <c r="A43" s="350"/>
      <c r="B43" s="236"/>
      <c r="C43" s="351"/>
      <c r="D43" s="512"/>
      <c r="E43" s="325"/>
      <c r="F43" s="369"/>
      <c r="G43" s="513" t="s">
        <v>4</v>
      </c>
      <c r="H43" s="334"/>
      <c r="I43" s="335"/>
      <c r="J43" s="332"/>
      <c r="K43" s="516"/>
      <c r="L43" s="369"/>
      <c r="M43" s="517"/>
      <c r="P43" s="442"/>
      <c r="Q43" s="443"/>
    </row>
    <row r="44" spans="1:17" x14ac:dyDescent="0.25">
      <c r="A44" s="352"/>
      <c r="B44" s="353"/>
      <c r="C44" s="354"/>
      <c r="D44" s="512"/>
      <c r="E44" s="325"/>
      <c r="F44" s="369"/>
      <c r="G44" s="513" t="s">
        <v>5</v>
      </c>
      <c r="H44" s="334"/>
      <c r="I44" s="335"/>
      <c r="J44" s="332"/>
      <c r="K44" s="339"/>
      <c r="L44" s="492"/>
      <c r="M44" s="515"/>
      <c r="P44" s="442"/>
      <c r="Q44" s="443"/>
    </row>
    <row r="45" spans="1:17" x14ac:dyDescent="0.25">
      <c r="A45" s="355"/>
      <c r="B45" s="356"/>
      <c r="C45" s="351"/>
      <c r="D45" s="512"/>
      <c r="E45" s="325"/>
      <c r="F45" s="369"/>
      <c r="G45" s="513" t="s">
        <v>6</v>
      </c>
      <c r="H45" s="334"/>
      <c r="I45" s="335"/>
      <c r="J45" s="332"/>
      <c r="K45" s="337" t="s">
        <v>25</v>
      </c>
      <c r="L45" s="509"/>
      <c r="M45" s="510"/>
      <c r="P45" s="511"/>
      <c r="Q45" s="443"/>
    </row>
    <row r="46" spans="1:17" x14ac:dyDescent="0.25">
      <c r="A46" s="355"/>
      <c r="B46" s="356"/>
      <c r="C46" s="358"/>
      <c r="D46" s="512"/>
      <c r="E46" s="325"/>
      <c r="F46" s="369"/>
      <c r="G46" s="513" t="s">
        <v>7</v>
      </c>
      <c r="H46" s="334"/>
      <c r="I46" s="335"/>
      <c r="J46" s="332"/>
      <c r="K46" s="516"/>
      <c r="L46" s="369"/>
      <c r="M46" s="517"/>
      <c r="P46" s="442"/>
      <c r="Q46" s="443"/>
    </row>
    <row r="47" spans="1:17" x14ac:dyDescent="0.25">
      <c r="A47" s="359"/>
      <c r="B47" s="360"/>
      <c r="C47" s="362"/>
      <c r="D47" s="518"/>
      <c r="E47" s="343"/>
      <c r="F47" s="492"/>
      <c r="G47" s="519" t="s">
        <v>8</v>
      </c>
      <c r="H47" s="340"/>
      <c r="I47" s="344"/>
      <c r="J47" s="364"/>
      <c r="K47" s="339">
        <f>L4</f>
        <v>0</v>
      </c>
      <c r="L47" s="492"/>
      <c r="M47" s="515"/>
      <c r="P47" s="442"/>
      <c r="Q47" s="520">
        <f>MIN(4,'[4]1MD ELO'!Q5)</f>
        <v>4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138" priority="2" stopIfTrue="1" operator="equal">
      <formula>"Bye"</formula>
    </cfRule>
  </conditionalFormatting>
  <conditionalFormatting sqref="Q47">
    <cfRule type="expression" dxfId="13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D96A-6525-4CAD-B5D8-C19D91E111F7}">
  <sheetPr>
    <tabColor indexed="11"/>
  </sheetPr>
  <dimension ref="A1:AK41"/>
  <sheetViews>
    <sheetView workbookViewId="0">
      <selection sqref="A1:F1"/>
    </sheetView>
  </sheetViews>
  <sheetFormatPr defaultColWidth="8.77734375" defaultRowHeight="13.2" x14ac:dyDescent="0.25"/>
  <cols>
    <col min="1" max="1" width="5.44140625" style="287" customWidth="1"/>
    <col min="2" max="2" width="4.44140625" style="287" customWidth="1"/>
    <col min="3" max="3" width="8.33203125" style="287" customWidth="1"/>
    <col min="4" max="4" width="7.109375" style="287" customWidth="1"/>
    <col min="5" max="5" width="9.33203125" style="287" customWidth="1"/>
    <col min="6" max="6" width="7.109375" style="287" customWidth="1"/>
    <col min="7" max="7" width="9.33203125" style="287" customWidth="1"/>
    <col min="8" max="8" width="7.109375" style="287" customWidth="1"/>
    <col min="9" max="9" width="9.33203125" style="287" customWidth="1"/>
    <col min="10" max="10" width="7.77734375" style="287" customWidth="1"/>
    <col min="11" max="12" width="8.44140625" style="287" customWidth="1"/>
    <col min="13" max="13" width="7.77734375" style="287" customWidth="1"/>
    <col min="14" max="14" width="8.77734375" style="287"/>
    <col min="15" max="16" width="4.44140625" style="287" customWidth="1"/>
    <col min="17" max="17" width="12.109375" style="287" customWidth="1"/>
    <col min="18" max="18" width="7.77734375" style="287" customWidth="1"/>
    <col min="19" max="19" width="7.44140625" style="287" customWidth="1"/>
    <col min="20" max="24" width="8.77734375" style="287"/>
    <col min="25" max="37" width="0" style="287" hidden="1" customWidth="1"/>
    <col min="38" max="16384" width="8.77734375" style="287"/>
  </cols>
  <sheetData>
    <row r="1" spans="1:37" ht="24.6" x14ac:dyDescent="0.25">
      <c r="A1" s="560" t="str">
        <f>[5]Altalanos!$A$6</f>
        <v>OB</v>
      </c>
      <c r="B1" s="560"/>
      <c r="C1" s="560"/>
      <c r="D1" s="560"/>
      <c r="E1" s="560"/>
      <c r="F1" s="560"/>
      <c r="G1" s="203"/>
      <c r="H1" s="206" t="s">
        <v>33</v>
      </c>
      <c r="I1" s="204"/>
      <c r="J1" s="205"/>
      <c r="L1" s="207"/>
      <c r="M1" s="208"/>
      <c r="N1" s="373"/>
      <c r="O1" s="373" t="s">
        <v>9</v>
      </c>
      <c r="P1" s="373"/>
      <c r="Q1" s="371"/>
      <c r="R1" s="373"/>
      <c r="AB1" s="211" t="e">
        <f>IF(Y5=1,CONCATENATE(VLOOKUP(Y3,AA16:AH27,2)),CONCATENATE(VLOOKUP(Y3,AA2:AK13,2)))</f>
        <v>#N/A</v>
      </c>
      <c r="AC1" s="211" t="e">
        <f>IF(Y5=1,CONCATENATE(VLOOKUP(Y3,AA16:AK27,3)),CONCATENATE(VLOOKUP(Y3,AA2:AK13,3)))</f>
        <v>#N/A</v>
      </c>
      <c r="AD1" s="211" t="e">
        <f>IF(Y5=1,CONCATENATE(VLOOKUP(Y3,AA16:AK27,4)),CONCATENATE(VLOOKUP(Y3,AA2:AK13,4)))</f>
        <v>#N/A</v>
      </c>
      <c r="AE1" s="211" t="e">
        <f>IF(Y5=1,CONCATENATE(VLOOKUP(Y3,AA16:AK27,5)),CONCATENATE(VLOOKUP(Y3,AA2:AK13,5)))</f>
        <v>#N/A</v>
      </c>
      <c r="AF1" s="211" t="e">
        <f>IF(Y5=1,CONCATENATE(VLOOKUP(Y3,AA16:AK27,6)),CONCATENATE(VLOOKUP(Y3,AA2:AK13,6)))</f>
        <v>#N/A</v>
      </c>
      <c r="AG1" s="211" t="e">
        <f>IF(Y5=1,CONCATENATE(VLOOKUP(Y3,AA16:AK27,7)),CONCATENATE(VLOOKUP(Y3,AA2:AK13,7)))</f>
        <v>#N/A</v>
      </c>
      <c r="AH1" s="211" t="e">
        <f>IF(Y5=1,CONCATENATE(VLOOKUP(Y3,AA16:AK27,8)),CONCATENATE(VLOOKUP(Y3,AA2:AK13,8)))</f>
        <v>#N/A</v>
      </c>
      <c r="AI1" s="211" t="e">
        <f>IF(Y5=1,CONCATENATE(VLOOKUP(Y3,AA16:AK27,9)),CONCATENATE(VLOOKUP(Y3,AA2:AK13,9)))</f>
        <v>#N/A</v>
      </c>
      <c r="AJ1" s="211" t="e">
        <f>IF(Y5=1,CONCATENATE(VLOOKUP(Y3,AA16:AK27,10)),CONCATENATE(VLOOKUP(Y3,AA2:AK13,10)))</f>
        <v>#N/A</v>
      </c>
      <c r="AK1" s="211" t="e">
        <f>IF(Y5=1,CONCATENATE(VLOOKUP(Y3,AA16:AK27,11)),CONCATENATE(VLOOKUP(Y3,AA2:AK13,11)))</f>
        <v>#N/A</v>
      </c>
    </row>
    <row r="2" spans="1:37" x14ac:dyDescent="0.25">
      <c r="A2" s="213" t="s">
        <v>32</v>
      </c>
      <c r="B2" s="214"/>
      <c r="C2" s="214"/>
      <c r="D2" s="214"/>
      <c r="E2" s="214">
        <f>[5]Altalanos!$A$8</f>
        <v>0</v>
      </c>
      <c r="F2" s="214"/>
      <c r="G2" s="215"/>
      <c r="H2" s="216"/>
      <c r="I2" s="216"/>
      <c r="J2" s="217"/>
      <c r="K2" s="207"/>
      <c r="L2" s="207"/>
      <c r="M2" s="207"/>
      <c r="N2" s="381"/>
      <c r="O2" s="380"/>
      <c r="P2" s="381"/>
      <c r="Q2" s="380"/>
      <c r="R2" s="381"/>
      <c r="Y2" s="220"/>
      <c r="Z2" s="221"/>
      <c r="AA2" s="221" t="s">
        <v>43</v>
      </c>
      <c r="AB2" s="222">
        <v>150</v>
      </c>
      <c r="AC2" s="222">
        <v>120</v>
      </c>
      <c r="AD2" s="222">
        <v>100</v>
      </c>
      <c r="AE2" s="222">
        <v>80</v>
      </c>
      <c r="AF2" s="222">
        <v>70</v>
      </c>
      <c r="AG2" s="222">
        <v>60</v>
      </c>
      <c r="AH2" s="222">
        <v>55</v>
      </c>
      <c r="AI2" s="222">
        <v>50</v>
      </c>
      <c r="AJ2" s="222">
        <v>45</v>
      </c>
      <c r="AK2" s="222">
        <v>40</v>
      </c>
    </row>
    <row r="3" spans="1:37" x14ac:dyDescent="0.25">
      <c r="A3" s="223" t="s">
        <v>17</v>
      </c>
      <c r="B3" s="223"/>
      <c r="C3" s="223"/>
      <c r="D3" s="223"/>
      <c r="E3" s="223" t="s">
        <v>14</v>
      </c>
      <c r="F3" s="223"/>
      <c r="G3" s="223"/>
      <c r="H3" s="223" t="s">
        <v>22</v>
      </c>
      <c r="I3" s="223"/>
      <c r="J3" s="224"/>
      <c r="K3" s="223"/>
      <c r="L3" s="225"/>
      <c r="M3" s="225" t="s">
        <v>23</v>
      </c>
      <c r="N3" s="477" t="s">
        <v>52</v>
      </c>
      <c r="O3" s="222" t="s">
        <v>57</v>
      </c>
      <c r="P3" s="222" t="s">
        <v>469</v>
      </c>
      <c r="Y3" s="221">
        <f>IF(H4="OB","A",IF(H4="IX","W",H4))</f>
        <v>0</v>
      </c>
      <c r="Z3" s="221"/>
      <c r="AA3" s="221" t="s">
        <v>67</v>
      </c>
      <c r="AB3" s="222">
        <v>120</v>
      </c>
      <c r="AC3" s="222">
        <v>90</v>
      </c>
      <c r="AD3" s="222">
        <v>65</v>
      </c>
      <c r="AE3" s="222">
        <v>55</v>
      </c>
      <c r="AF3" s="222">
        <v>50</v>
      </c>
      <c r="AG3" s="222">
        <v>45</v>
      </c>
      <c r="AH3" s="222">
        <v>40</v>
      </c>
      <c r="AI3" s="222">
        <v>35</v>
      </c>
      <c r="AJ3" s="222">
        <v>25</v>
      </c>
      <c r="AK3" s="222">
        <v>20</v>
      </c>
    </row>
    <row r="4" spans="1:37" ht="13.8" thickBot="1" x14ac:dyDescent="0.3">
      <c r="A4" s="551">
        <f>[5]Altalanos!$A$10</f>
        <v>0</v>
      </c>
      <c r="B4" s="551"/>
      <c r="C4" s="551"/>
      <c r="D4" s="228"/>
      <c r="E4" s="229">
        <f>[5]Altalanos!$C$10</f>
        <v>0</v>
      </c>
      <c r="F4" s="229"/>
      <c r="G4" s="229"/>
      <c r="H4" s="136"/>
      <c r="I4" s="229"/>
      <c r="J4" s="231"/>
      <c r="K4" s="136"/>
      <c r="L4" s="524"/>
      <c r="M4" s="233">
        <f>[5]Altalanos!$E$10</f>
        <v>0</v>
      </c>
      <c r="N4" s="478" t="s">
        <v>58</v>
      </c>
      <c r="O4" s="479" t="s">
        <v>53</v>
      </c>
      <c r="P4" s="479" t="s">
        <v>54</v>
      </c>
      <c r="Y4" s="221"/>
      <c r="Z4" s="221"/>
      <c r="AA4" s="221" t="s">
        <v>68</v>
      </c>
      <c r="AB4" s="222">
        <v>90</v>
      </c>
      <c r="AC4" s="222">
        <v>60</v>
      </c>
      <c r="AD4" s="222">
        <v>45</v>
      </c>
      <c r="AE4" s="222">
        <v>34</v>
      </c>
      <c r="AF4" s="222">
        <v>27</v>
      </c>
      <c r="AG4" s="222">
        <v>22</v>
      </c>
      <c r="AH4" s="222">
        <v>18</v>
      </c>
      <c r="AI4" s="222">
        <v>15</v>
      </c>
      <c r="AJ4" s="222">
        <v>12</v>
      </c>
      <c r="AK4" s="222">
        <v>9</v>
      </c>
    </row>
    <row r="5" spans="1:37" x14ac:dyDescent="0.25">
      <c r="A5" s="474"/>
      <c r="B5" s="474" t="s">
        <v>31</v>
      </c>
      <c r="C5" s="475" t="s">
        <v>41</v>
      </c>
      <c r="D5" s="474" t="s">
        <v>26</v>
      </c>
      <c r="E5" s="474" t="s">
        <v>46</v>
      </c>
      <c r="F5" s="474"/>
      <c r="G5" s="474" t="s">
        <v>21</v>
      </c>
      <c r="H5" s="474"/>
      <c r="I5" s="474" t="s">
        <v>24</v>
      </c>
      <c r="J5" s="474"/>
      <c r="K5" s="476" t="s">
        <v>47</v>
      </c>
      <c r="L5" s="476" t="s">
        <v>48</v>
      </c>
      <c r="M5" s="476" t="s">
        <v>49</v>
      </c>
      <c r="N5" s="486" t="s">
        <v>59</v>
      </c>
      <c r="O5" s="487" t="s">
        <v>55</v>
      </c>
      <c r="P5" s="487" t="s">
        <v>56</v>
      </c>
      <c r="Y5" s="221">
        <f>IF(OR([5]Altalanos!$A$8="F1",[5]Altalanos!$A$8="F2",[5]Altalanos!$A$8="N1",[5]Altalanos!$A$8="N2"),1,2)</f>
        <v>2</v>
      </c>
      <c r="Z5" s="221"/>
      <c r="AA5" s="221" t="s">
        <v>69</v>
      </c>
      <c r="AB5" s="222">
        <v>60</v>
      </c>
      <c r="AC5" s="222">
        <v>40</v>
      </c>
      <c r="AD5" s="222">
        <v>30</v>
      </c>
      <c r="AE5" s="222">
        <v>20</v>
      </c>
      <c r="AF5" s="222">
        <v>18</v>
      </c>
      <c r="AG5" s="222">
        <v>15</v>
      </c>
      <c r="AH5" s="222">
        <v>12</v>
      </c>
      <c r="AI5" s="222">
        <v>10</v>
      </c>
      <c r="AJ5" s="222">
        <v>8</v>
      </c>
      <c r="AK5" s="222">
        <v>6</v>
      </c>
    </row>
    <row r="6" spans="1:37" x14ac:dyDescent="0.25">
      <c r="A6" s="369"/>
      <c r="B6" s="369"/>
      <c r="C6" s="219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221"/>
      <c r="Z6" s="221"/>
      <c r="AA6" s="221" t="s">
        <v>70</v>
      </c>
      <c r="AB6" s="222">
        <v>40</v>
      </c>
      <c r="AC6" s="222">
        <v>25</v>
      </c>
      <c r="AD6" s="222">
        <v>18</v>
      </c>
      <c r="AE6" s="222">
        <v>13</v>
      </c>
      <c r="AF6" s="222">
        <v>10</v>
      </c>
      <c r="AG6" s="222">
        <v>8</v>
      </c>
      <c r="AH6" s="222">
        <v>6</v>
      </c>
      <c r="AI6" s="222">
        <v>5</v>
      </c>
      <c r="AJ6" s="222">
        <v>4</v>
      </c>
      <c r="AK6" s="222">
        <v>3</v>
      </c>
    </row>
    <row r="7" spans="1:37" x14ac:dyDescent="0.25">
      <c r="A7" s="488" t="s">
        <v>43</v>
      </c>
      <c r="B7" s="525"/>
      <c r="C7" s="526" t="str">
        <f>IF($B7="","",VLOOKUP($B7,'[5]1MD ELO'!$A$7:$O$22,5))</f>
        <v/>
      </c>
      <c r="D7" s="526" t="str">
        <f>IF($B7="","",VLOOKUP($B7,'[5]1MD ELO'!$A$7:$O$22,15))</f>
        <v/>
      </c>
      <c r="E7" s="561" t="s">
        <v>454</v>
      </c>
      <c r="F7" s="561"/>
      <c r="G7" s="561">
        <v>64</v>
      </c>
      <c r="H7" s="561"/>
      <c r="I7" s="287" t="s">
        <v>92</v>
      </c>
      <c r="J7" s="369"/>
      <c r="K7" s="483"/>
      <c r="L7" s="484" t="str">
        <f>IF(K7="","",CONCATENATE(VLOOKUP($Y$3,$AB$1:$AK$1,K7)," pont"))</f>
        <v/>
      </c>
      <c r="M7" s="485"/>
      <c r="Y7" s="221"/>
      <c r="Z7" s="221"/>
      <c r="AA7" s="221" t="s">
        <v>71</v>
      </c>
      <c r="AB7" s="222">
        <v>25</v>
      </c>
      <c r="AC7" s="222">
        <v>15</v>
      </c>
      <c r="AD7" s="222">
        <v>13</v>
      </c>
      <c r="AE7" s="222">
        <v>8</v>
      </c>
      <c r="AF7" s="222">
        <v>6</v>
      </c>
      <c r="AG7" s="222">
        <v>4</v>
      </c>
      <c r="AH7" s="222">
        <v>3</v>
      </c>
      <c r="AI7" s="222">
        <v>2</v>
      </c>
      <c r="AJ7" s="222">
        <v>1</v>
      </c>
      <c r="AK7" s="222">
        <v>0</v>
      </c>
    </row>
    <row r="8" spans="1:37" x14ac:dyDescent="0.25">
      <c r="A8" s="488"/>
      <c r="B8" s="527"/>
      <c r="C8" s="528"/>
      <c r="D8" s="528"/>
      <c r="E8" s="528"/>
      <c r="F8" s="528"/>
      <c r="G8" s="528"/>
      <c r="H8" s="528"/>
      <c r="J8" s="369"/>
      <c r="K8" s="488"/>
      <c r="L8" s="488"/>
      <c r="M8" s="490"/>
      <c r="Y8" s="221"/>
      <c r="Z8" s="221"/>
      <c r="AA8" s="221" t="s">
        <v>72</v>
      </c>
      <c r="AB8" s="222">
        <v>15</v>
      </c>
      <c r="AC8" s="222">
        <v>10</v>
      </c>
      <c r="AD8" s="222">
        <v>7</v>
      </c>
      <c r="AE8" s="222">
        <v>5</v>
      </c>
      <c r="AF8" s="222">
        <v>4</v>
      </c>
      <c r="AG8" s="222">
        <v>3</v>
      </c>
      <c r="AH8" s="222">
        <v>2</v>
      </c>
      <c r="AI8" s="222">
        <v>1</v>
      </c>
      <c r="AJ8" s="222">
        <v>0</v>
      </c>
      <c r="AK8" s="222">
        <v>0</v>
      </c>
    </row>
    <row r="9" spans="1:37" x14ac:dyDescent="0.25">
      <c r="A9" s="488" t="s">
        <v>44</v>
      </c>
      <c r="B9" s="525"/>
      <c r="C9" s="526" t="str">
        <f>IF($B9="","",VLOOKUP($B9,'[5]1MD ELO'!$A$7:$O$22,5))</f>
        <v/>
      </c>
      <c r="D9" s="526" t="str">
        <f>IF($B9="","",VLOOKUP($B9,'[5]1MD ELO'!$A$7:$O$22,15))</f>
        <v/>
      </c>
      <c r="E9" s="561" t="s">
        <v>459</v>
      </c>
      <c r="F9" s="561"/>
      <c r="G9" s="561">
        <v>122</v>
      </c>
      <c r="H9" s="561"/>
      <c r="I9" s="287" t="s">
        <v>456</v>
      </c>
      <c r="J9" s="369"/>
      <c r="K9" s="483"/>
      <c r="L9" s="484" t="str">
        <f>IF(K9="","",CONCATENATE(VLOOKUP($Y$3,$AB$1:$AK$1,K9)," pont"))</f>
        <v/>
      </c>
      <c r="M9" s="485"/>
      <c r="Y9" s="221"/>
      <c r="Z9" s="221"/>
      <c r="AA9" s="221" t="s">
        <v>73</v>
      </c>
      <c r="AB9" s="222">
        <v>10</v>
      </c>
      <c r="AC9" s="222">
        <v>6</v>
      </c>
      <c r="AD9" s="222">
        <v>4</v>
      </c>
      <c r="AE9" s="222">
        <v>2</v>
      </c>
      <c r="AF9" s="222">
        <v>1</v>
      </c>
      <c r="AG9" s="222">
        <v>0</v>
      </c>
      <c r="AH9" s="222">
        <v>0</v>
      </c>
      <c r="AI9" s="222">
        <v>0</v>
      </c>
      <c r="AJ9" s="222">
        <v>0</v>
      </c>
      <c r="AK9" s="222">
        <v>0</v>
      </c>
    </row>
    <row r="10" spans="1:37" x14ac:dyDescent="0.25">
      <c r="A10" s="488"/>
      <c r="B10" s="527"/>
      <c r="C10" s="528"/>
      <c r="D10" s="528"/>
      <c r="E10" s="528"/>
      <c r="F10" s="528"/>
      <c r="G10" s="528"/>
      <c r="H10" s="528"/>
      <c r="I10" s="528"/>
      <c r="J10" s="369"/>
      <c r="K10" s="488"/>
      <c r="L10" s="488"/>
      <c r="M10" s="490"/>
      <c r="Y10" s="221"/>
      <c r="Z10" s="221"/>
      <c r="AA10" s="221" t="s">
        <v>74</v>
      </c>
      <c r="AB10" s="222">
        <v>6</v>
      </c>
      <c r="AC10" s="222">
        <v>3</v>
      </c>
      <c r="AD10" s="222">
        <v>2</v>
      </c>
      <c r="AE10" s="222">
        <v>1</v>
      </c>
      <c r="AF10" s="222">
        <v>0</v>
      </c>
      <c r="AG10" s="222">
        <v>0</v>
      </c>
      <c r="AH10" s="222">
        <v>0</v>
      </c>
      <c r="AI10" s="222">
        <v>0</v>
      </c>
      <c r="AJ10" s="222">
        <v>0</v>
      </c>
      <c r="AK10" s="222">
        <v>0</v>
      </c>
    </row>
    <row r="11" spans="1:37" x14ac:dyDescent="0.25">
      <c r="A11" s="488" t="s">
        <v>45</v>
      </c>
      <c r="B11" s="525"/>
      <c r="C11" s="526" t="str">
        <f>IF($B11="","",VLOOKUP($B11,'[5]1MD ELO'!$A$7:$O$22,5))</f>
        <v/>
      </c>
      <c r="D11" s="526" t="str">
        <f>IF($B11="","",VLOOKUP($B11,'[5]1MD ELO'!$A$7:$O$22,15))</f>
        <v/>
      </c>
      <c r="E11" s="561" t="s">
        <v>455</v>
      </c>
      <c r="F11" s="561"/>
      <c r="G11" s="561" t="str">
        <f>IF($B11="","",VLOOKUP($B11,'[5]1MD ELO'!$A$7:$O$22,3))</f>
        <v/>
      </c>
      <c r="H11" s="561"/>
      <c r="I11" s="287" t="s">
        <v>92</v>
      </c>
      <c r="J11" s="369"/>
      <c r="K11" s="483"/>
      <c r="L11" s="484" t="str">
        <f>IF(K11="","",CONCATENATE(VLOOKUP($Y$3,$AB$1:$AK$1,K11)," pont"))</f>
        <v/>
      </c>
      <c r="M11" s="485"/>
      <c r="Y11" s="221"/>
      <c r="Z11" s="221"/>
      <c r="AA11" s="221" t="s">
        <v>79</v>
      </c>
      <c r="AB11" s="222">
        <v>3</v>
      </c>
      <c r="AC11" s="222">
        <v>2</v>
      </c>
      <c r="AD11" s="222">
        <v>1</v>
      </c>
      <c r="AE11" s="222">
        <v>0</v>
      </c>
      <c r="AF11" s="222">
        <v>0</v>
      </c>
      <c r="AG11" s="222">
        <v>0</v>
      </c>
      <c r="AH11" s="222">
        <v>0</v>
      </c>
      <c r="AI11" s="222">
        <v>0</v>
      </c>
      <c r="AJ11" s="222">
        <v>0</v>
      </c>
      <c r="AK11" s="222">
        <v>0</v>
      </c>
    </row>
    <row r="12" spans="1:37" x14ac:dyDescent="0.25">
      <c r="A12" s="488"/>
      <c r="B12" s="527"/>
      <c r="C12" s="528"/>
      <c r="D12" s="528"/>
      <c r="E12" s="528"/>
      <c r="F12" s="528"/>
      <c r="G12" s="528"/>
      <c r="H12" s="528"/>
      <c r="I12" s="528"/>
      <c r="J12" s="369"/>
      <c r="K12" s="219"/>
      <c r="L12" s="219"/>
      <c r="M12" s="490"/>
      <c r="Y12" s="221"/>
      <c r="Z12" s="221"/>
      <c r="AA12" s="221" t="s">
        <v>75</v>
      </c>
      <c r="AB12" s="493">
        <v>0</v>
      </c>
      <c r="AC12" s="493">
        <v>0</v>
      </c>
      <c r="AD12" s="493">
        <v>0</v>
      </c>
      <c r="AE12" s="493">
        <v>0</v>
      </c>
      <c r="AF12" s="493">
        <v>0</v>
      </c>
      <c r="AG12" s="493">
        <v>0</v>
      </c>
      <c r="AH12" s="493">
        <v>0</v>
      </c>
      <c r="AI12" s="493">
        <v>0</v>
      </c>
      <c r="AJ12" s="493">
        <v>0</v>
      </c>
      <c r="AK12" s="493">
        <v>0</v>
      </c>
    </row>
    <row r="13" spans="1:37" x14ac:dyDescent="0.25">
      <c r="A13" s="488" t="s">
        <v>50</v>
      </c>
      <c r="B13" s="525"/>
      <c r="C13" s="526" t="str">
        <f>IF($B13="","",VLOOKUP($B13,'[5]1MD ELO'!$A$7:$O$22,5))</f>
        <v/>
      </c>
      <c r="D13" s="526" t="str">
        <f>IF($B13="","",VLOOKUP($B13,'[5]1MD ELO'!$A$7:$O$22,15))</f>
        <v/>
      </c>
      <c r="E13" s="561" t="s">
        <v>457</v>
      </c>
      <c r="F13" s="561"/>
      <c r="G13" s="561" t="str">
        <f>IF($B13="","",VLOOKUP($B13,'[5]1MD ELO'!$A$7:$O$22,3))</f>
        <v/>
      </c>
      <c r="H13" s="561"/>
      <c r="I13" s="287" t="s">
        <v>456</v>
      </c>
      <c r="J13" s="369"/>
      <c r="K13" s="483"/>
      <c r="L13" s="484" t="str">
        <f>IF(K13="","",CONCATENATE(VLOOKUP($Y$3,$AB$1:$AK$1,K13)," pont"))</f>
        <v/>
      </c>
      <c r="M13" s="485"/>
      <c r="Y13" s="221"/>
      <c r="Z13" s="221"/>
      <c r="AA13" s="221" t="s">
        <v>76</v>
      </c>
      <c r="AB13" s="493">
        <v>0</v>
      </c>
      <c r="AC13" s="493">
        <v>0</v>
      </c>
      <c r="AD13" s="493">
        <v>0</v>
      </c>
      <c r="AE13" s="493">
        <v>0</v>
      </c>
      <c r="AF13" s="493">
        <v>0</v>
      </c>
      <c r="AG13" s="493">
        <v>0</v>
      </c>
      <c r="AH13" s="493">
        <v>0</v>
      </c>
      <c r="AI13" s="493">
        <v>0</v>
      </c>
      <c r="AJ13" s="493">
        <v>0</v>
      </c>
      <c r="AK13" s="493">
        <v>0</v>
      </c>
    </row>
    <row r="14" spans="1:37" x14ac:dyDescent="0.25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</row>
    <row r="15" spans="1:37" x14ac:dyDescent="0.25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</row>
    <row r="16" spans="1:37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Y16" s="221"/>
      <c r="Z16" s="221"/>
      <c r="AA16" s="221" t="s">
        <v>43</v>
      </c>
      <c r="AB16" s="221">
        <v>300</v>
      </c>
      <c r="AC16" s="221">
        <v>250</v>
      </c>
      <c r="AD16" s="221">
        <v>220</v>
      </c>
      <c r="AE16" s="221">
        <v>180</v>
      </c>
      <c r="AF16" s="221">
        <v>160</v>
      </c>
      <c r="AG16" s="221">
        <v>150</v>
      </c>
      <c r="AH16" s="221">
        <v>140</v>
      </c>
      <c r="AI16" s="221">
        <v>130</v>
      </c>
      <c r="AJ16" s="221">
        <v>120</v>
      </c>
      <c r="AK16" s="221">
        <v>110</v>
      </c>
    </row>
    <row r="17" spans="1:37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Y17" s="221"/>
      <c r="Z17" s="221"/>
      <c r="AA17" s="221" t="s">
        <v>67</v>
      </c>
      <c r="AB17" s="221">
        <v>250</v>
      </c>
      <c r="AC17" s="221">
        <v>200</v>
      </c>
      <c r="AD17" s="221">
        <v>160</v>
      </c>
      <c r="AE17" s="221">
        <v>140</v>
      </c>
      <c r="AF17" s="221">
        <v>120</v>
      </c>
      <c r="AG17" s="221">
        <v>110</v>
      </c>
      <c r="AH17" s="221">
        <v>100</v>
      </c>
      <c r="AI17" s="221">
        <v>90</v>
      </c>
      <c r="AJ17" s="221">
        <v>80</v>
      </c>
      <c r="AK17" s="221">
        <v>70</v>
      </c>
    </row>
    <row r="18" spans="1:37" ht="18.75" customHeight="1" x14ac:dyDescent="0.25">
      <c r="A18" s="369"/>
      <c r="B18" s="558"/>
      <c r="C18" s="558"/>
      <c r="D18" s="559" t="str">
        <f>E7</f>
        <v>Kunecz Kornél Ádám</v>
      </c>
      <c r="E18" s="559"/>
      <c r="F18" s="559" t="str">
        <f>E9</f>
        <v>Török Bence</v>
      </c>
      <c r="G18" s="559"/>
      <c r="H18" s="559" t="str">
        <f>E11</f>
        <v>Horváth Flórián</v>
      </c>
      <c r="I18" s="559"/>
      <c r="J18" s="559" t="str">
        <f>E13</f>
        <v>Németh Kristóf</v>
      </c>
      <c r="K18" s="559"/>
      <c r="L18" s="369"/>
      <c r="M18" s="369"/>
      <c r="Y18" s="221"/>
      <c r="Z18" s="221"/>
      <c r="AA18" s="221" t="s">
        <v>68</v>
      </c>
      <c r="AB18" s="221">
        <v>200</v>
      </c>
      <c r="AC18" s="221">
        <v>150</v>
      </c>
      <c r="AD18" s="221">
        <v>130</v>
      </c>
      <c r="AE18" s="221">
        <v>110</v>
      </c>
      <c r="AF18" s="221">
        <v>95</v>
      </c>
      <c r="AG18" s="221">
        <v>80</v>
      </c>
      <c r="AH18" s="221">
        <v>70</v>
      </c>
      <c r="AI18" s="221">
        <v>60</v>
      </c>
      <c r="AJ18" s="221">
        <v>55</v>
      </c>
      <c r="AK18" s="221">
        <v>50</v>
      </c>
    </row>
    <row r="19" spans="1:37" ht="18.75" customHeight="1" x14ac:dyDescent="0.25">
      <c r="A19" s="495" t="s">
        <v>43</v>
      </c>
      <c r="B19" s="555" t="str">
        <f>E7</f>
        <v>Kunecz Kornél Ádám</v>
      </c>
      <c r="C19" s="555"/>
      <c r="D19" s="557"/>
      <c r="E19" s="557"/>
      <c r="F19" s="556"/>
      <c r="G19" s="556"/>
      <c r="H19" s="556"/>
      <c r="I19" s="556"/>
      <c r="J19" s="559"/>
      <c r="K19" s="559"/>
      <c r="L19" s="369"/>
      <c r="M19" s="369"/>
      <c r="Y19" s="221"/>
      <c r="Z19" s="221"/>
      <c r="AA19" s="221" t="s">
        <v>69</v>
      </c>
      <c r="AB19" s="221">
        <v>150</v>
      </c>
      <c r="AC19" s="221">
        <v>120</v>
      </c>
      <c r="AD19" s="221">
        <v>100</v>
      </c>
      <c r="AE19" s="221">
        <v>80</v>
      </c>
      <c r="AF19" s="221">
        <v>70</v>
      </c>
      <c r="AG19" s="221">
        <v>60</v>
      </c>
      <c r="AH19" s="221">
        <v>55</v>
      </c>
      <c r="AI19" s="221">
        <v>50</v>
      </c>
      <c r="AJ19" s="221">
        <v>45</v>
      </c>
      <c r="AK19" s="221">
        <v>40</v>
      </c>
    </row>
    <row r="20" spans="1:37" ht="18.75" customHeight="1" x14ac:dyDescent="0.25">
      <c r="A20" s="495" t="s">
        <v>44</v>
      </c>
      <c r="B20" s="555" t="str">
        <f>E9</f>
        <v>Török Bence</v>
      </c>
      <c r="C20" s="555"/>
      <c r="D20" s="556"/>
      <c r="E20" s="556"/>
      <c r="F20" s="557"/>
      <c r="G20" s="557"/>
      <c r="H20" s="556"/>
      <c r="I20" s="556"/>
      <c r="J20" s="556"/>
      <c r="K20" s="556"/>
      <c r="L20" s="369"/>
      <c r="M20" s="369"/>
      <c r="Y20" s="221"/>
      <c r="Z20" s="221"/>
      <c r="AA20" s="221" t="s">
        <v>70</v>
      </c>
      <c r="AB20" s="221">
        <v>120</v>
      </c>
      <c r="AC20" s="221">
        <v>90</v>
      </c>
      <c r="AD20" s="221">
        <v>65</v>
      </c>
      <c r="AE20" s="221">
        <v>55</v>
      </c>
      <c r="AF20" s="221">
        <v>50</v>
      </c>
      <c r="AG20" s="221">
        <v>45</v>
      </c>
      <c r="AH20" s="221">
        <v>40</v>
      </c>
      <c r="AI20" s="221">
        <v>35</v>
      </c>
      <c r="AJ20" s="221">
        <v>25</v>
      </c>
      <c r="AK20" s="221">
        <v>20</v>
      </c>
    </row>
    <row r="21" spans="1:37" ht="18.75" customHeight="1" x14ac:dyDescent="0.25">
      <c r="A21" s="495" t="s">
        <v>45</v>
      </c>
      <c r="B21" s="555" t="str">
        <f>E11</f>
        <v>Horváth Flórián</v>
      </c>
      <c r="C21" s="555"/>
      <c r="D21" s="556"/>
      <c r="E21" s="556"/>
      <c r="F21" s="556"/>
      <c r="G21" s="556"/>
      <c r="H21" s="557"/>
      <c r="I21" s="557"/>
      <c r="J21" s="556"/>
      <c r="K21" s="556"/>
      <c r="L21" s="369"/>
      <c r="M21" s="369"/>
      <c r="Y21" s="221"/>
      <c r="Z21" s="221"/>
      <c r="AA21" s="221" t="s">
        <v>71</v>
      </c>
      <c r="AB21" s="221">
        <v>90</v>
      </c>
      <c r="AC21" s="221">
        <v>60</v>
      </c>
      <c r="AD21" s="221">
        <v>45</v>
      </c>
      <c r="AE21" s="221">
        <v>34</v>
      </c>
      <c r="AF21" s="221">
        <v>27</v>
      </c>
      <c r="AG21" s="221">
        <v>22</v>
      </c>
      <c r="AH21" s="221">
        <v>18</v>
      </c>
      <c r="AI21" s="221">
        <v>15</v>
      </c>
      <c r="AJ21" s="221">
        <v>12</v>
      </c>
      <c r="AK21" s="221">
        <v>9</v>
      </c>
    </row>
    <row r="22" spans="1:37" ht="18.75" customHeight="1" x14ac:dyDescent="0.25">
      <c r="A22" s="495" t="s">
        <v>50</v>
      </c>
      <c r="B22" s="555" t="str">
        <f>E13</f>
        <v>Németh Kristóf</v>
      </c>
      <c r="C22" s="555"/>
      <c r="D22" s="556"/>
      <c r="E22" s="556"/>
      <c r="F22" s="556"/>
      <c r="G22" s="556"/>
      <c r="H22" s="559"/>
      <c r="I22" s="559"/>
      <c r="J22" s="557"/>
      <c r="K22" s="557"/>
      <c r="L22" s="369"/>
      <c r="M22" s="369"/>
      <c r="Y22" s="221"/>
      <c r="Z22" s="221"/>
      <c r="AA22" s="221" t="s">
        <v>72</v>
      </c>
      <c r="AB22" s="221">
        <v>60</v>
      </c>
      <c r="AC22" s="221">
        <v>40</v>
      </c>
      <c r="AD22" s="221">
        <v>30</v>
      </c>
      <c r="AE22" s="221">
        <v>20</v>
      </c>
      <c r="AF22" s="221">
        <v>18</v>
      </c>
      <c r="AG22" s="221">
        <v>15</v>
      </c>
      <c r="AH22" s="221">
        <v>12</v>
      </c>
      <c r="AI22" s="221">
        <v>10</v>
      </c>
      <c r="AJ22" s="221">
        <v>8</v>
      </c>
      <c r="AK22" s="221">
        <v>6</v>
      </c>
    </row>
    <row r="23" spans="1:37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Y23" s="221"/>
      <c r="Z23" s="221"/>
      <c r="AA23" s="221" t="s">
        <v>73</v>
      </c>
      <c r="AB23" s="221">
        <v>40</v>
      </c>
      <c r="AC23" s="221">
        <v>25</v>
      </c>
      <c r="AD23" s="221">
        <v>18</v>
      </c>
      <c r="AE23" s="221">
        <v>13</v>
      </c>
      <c r="AF23" s="221">
        <v>8</v>
      </c>
      <c r="AG23" s="221">
        <v>7</v>
      </c>
      <c r="AH23" s="221">
        <v>6</v>
      </c>
      <c r="AI23" s="221">
        <v>5</v>
      </c>
      <c r="AJ23" s="221">
        <v>4</v>
      </c>
      <c r="AK23" s="221">
        <v>3</v>
      </c>
    </row>
    <row r="24" spans="1:37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Y24" s="221"/>
      <c r="Z24" s="221"/>
      <c r="AA24" s="221" t="s">
        <v>74</v>
      </c>
      <c r="AB24" s="221">
        <v>25</v>
      </c>
      <c r="AC24" s="221">
        <v>15</v>
      </c>
      <c r="AD24" s="221">
        <v>13</v>
      </c>
      <c r="AE24" s="221">
        <v>7</v>
      </c>
      <c r="AF24" s="221">
        <v>6</v>
      </c>
      <c r="AG24" s="221">
        <v>5</v>
      </c>
      <c r="AH24" s="221">
        <v>4</v>
      </c>
      <c r="AI24" s="221">
        <v>3</v>
      </c>
      <c r="AJ24" s="221">
        <v>2</v>
      </c>
      <c r="AK24" s="221">
        <v>1</v>
      </c>
    </row>
    <row r="25" spans="1:37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Y25" s="221"/>
      <c r="Z25" s="221"/>
      <c r="AA25" s="221" t="s">
        <v>79</v>
      </c>
      <c r="AB25" s="221">
        <v>15</v>
      </c>
      <c r="AC25" s="221">
        <v>10</v>
      </c>
      <c r="AD25" s="221">
        <v>8</v>
      </c>
      <c r="AE25" s="221">
        <v>4</v>
      </c>
      <c r="AF25" s="221">
        <v>3</v>
      </c>
      <c r="AG25" s="221">
        <v>2</v>
      </c>
      <c r="AH25" s="221">
        <v>1</v>
      </c>
      <c r="AI25" s="221">
        <v>0</v>
      </c>
      <c r="AJ25" s="221">
        <v>0</v>
      </c>
      <c r="AK25" s="221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Y26" s="221"/>
      <c r="Z26" s="221"/>
      <c r="AA26" s="221" t="s">
        <v>75</v>
      </c>
      <c r="AB26" s="221">
        <v>10</v>
      </c>
      <c r="AC26" s="221">
        <v>6</v>
      </c>
      <c r="AD26" s="221">
        <v>4</v>
      </c>
      <c r="AE26" s="221">
        <v>2</v>
      </c>
      <c r="AF26" s="221">
        <v>1</v>
      </c>
      <c r="AG26" s="221">
        <v>0</v>
      </c>
      <c r="AH26" s="221">
        <v>0</v>
      </c>
      <c r="AI26" s="221">
        <v>0</v>
      </c>
      <c r="AJ26" s="221">
        <v>0</v>
      </c>
      <c r="AK26" s="221">
        <v>0</v>
      </c>
    </row>
    <row r="27" spans="1:37" x14ac:dyDescent="0.25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Y27" s="221"/>
      <c r="Z27" s="221"/>
      <c r="AA27" s="221" t="s">
        <v>76</v>
      </c>
      <c r="AB27" s="221">
        <v>3</v>
      </c>
      <c r="AC27" s="221">
        <v>2</v>
      </c>
      <c r="AD27" s="221">
        <v>1</v>
      </c>
      <c r="AE27" s="221">
        <v>0</v>
      </c>
      <c r="AF27" s="221">
        <v>0</v>
      </c>
      <c r="AG27" s="221">
        <v>0</v>
      </c>
      <c r="AH27" s="221">
        <v>0</v>
      </c>
      <c r="AI27" s="221">
        <v>0</v>
      </c>
      <c r="AJ27" s="221">
        <v>0</v>
      </c>
      <c r="AK27" s="221">
        <v>0</v>
      </c>
    </row>
    <row r="28" spans="1:37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</row>
    <row r="30" spans="1:37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492"/>
      <c r="M32" s="369"/>
    </row>
    <row r="33" spans="1:18" x14ac:dyDescent="0.25">
      <c r="A33" s="312" t="s">
        <v>26</v>
      </c>
      <c r="B33" s="313"/>
      <c r="C33" s="314"/>
      <c r="D33" s="498" t="s">
        <v>0</v>
      </c>
      <c r="E33" s="499" t="s">
        <v>28</v>
      </c>
      <c r="F33" s="500"/>
      <c r="G33" s="498" t="s">
        <v>0</v>
      </c>
      <c r="H33" s="499" t="s">
        <v>35</v>
      </c>
      <c r="I33" s="501"/>
      <c r="J33" s="499" t="s">
        <v>36</v>
      </c>
      <c r="K33" s="502" t="s">
        <v>37</v>
      </c>
      <c r="L33" s="474"/>
      <c r="M33" s="500"/>
      <c r="P33" s="503"/>
      <c r="Q33" s="503"/>
      <c r="R33" s="504"/>
    </row>
    <row r="34" spans="1:18" x14ac:dyDescent="0.25">
      <c r="A34" s="327" t="s">
        <v>27</v>
      </c>
      <c r="B34" s="328"/>
      <c r="C34" s="330"/>
      <c r="D34" s="505"/>
      <c r="E34" s="553"/>
      <c r="F34" s="553"/>
      <c r="G34" s="506" t="s">
        <v>1</v>
      </c>
      <c r="H34" s="328"/>
      <c r="I34" s="507"/>
      <c r="J34" s="508"/>
      <c r="K34" s="337" t="s">
        <v>29</v>
      </c>
      <c r="L34" s="509"/>
      <c r="M34" s="510"/>
      <c r="P34" s="511"/>
      <c r="Q34" s="511"/>
      <c r="R34" s="443"/>
    </row>
    <row r="35" spans="1:18" x14ac:dyDescent="0.25">
      <c r="A35" s="339" t="s">
        <v>34</v>
      </c>
      <c r="B35" s="340"/>
      <c r="C35" s="342"/>
      <c r="D35" s="512"/>
      <c r="E35" s="554"/>
      <c r="F35" s="554"/>
      <c r="G35" s="513" t="s">
        <v>2</v>
      </c>
      <c r="H35" s="334"/>
      <c r="I35" s="335"/>
      <c r="J35" s="332"/>
      <c r="K35" s="514"/>
      <c r="L35" s="492"/>
      <c r="M35" s="515"/>
      <c r="P35" s="443"/>
      <c r="Q35" s="442"/>
      <c r="R35" s="443"/>
    </row>
    <row r="36" spans="1:18" x14ac:dyDescent="0.25">
      <c r="A36" s="346"/>
      <c r="B36" s="347"/>
      <c r="C36" s="349"/>
      <c r="D36" s="512"/>
      <c r="E36" s="325"/>
      <c r="F36" s="369"/>
      <c r="G36" s="513" t="s">
        <v>3</v>
      </c>
      <c r="H36" s="334"/>
      <c r="I36" s="335"/>
      <c r="J36" s="332"/>
      <c r="K36" s="337" t="s">
        <v>30</v>
      </c>
      <c r="L36" s="509"/>
      <c r="M36" s="510"/>
      <c r="P36" s="511"/>
      <c r="Q36" s="511"/>
      <c r="R36" s="443"/>
    </row>
    <row r="37" spans="1:18" x14ac:dyDescent="0.25">
      <c r="A37" s="350"/>
      <c r="B37" s="236"/>
      <c r="C37" s="351"/>
      <c r="D37" s="512"/>
      <c r="E37" s="325"/>
      <c r="F37" s="369"/>
      <c r="G37" s="513" t="s">
        <v>4</v>
      </c>
      <c r="H37" s="334"/>
      <c r="I37" s="335"/>
      <c r="J37" s="332"/>
      <c r="K37" s="516"/>
      <c r="L37" s="369"/>
      <c r="M37" s="517"/>
      <c r="P37" s="443"/>
      <c r="Q37" s="442"/>
      <c r="R37" s="443"/>
    </row>
    <row r="38" spans="1:18" x14ac:dyDescent="0.25">
      <c r="A38" s="352"/>
      <c r="B38" s="353"/>
      <c r="C38" s="354"/>
      <c r="D38" s="512"/>
      <c r="E38" s="325"/>
      <c r="F38" s="369"/>
      <c r="G38" s="513" t="s">
        <v>5</v>
      </c>
      <c r="H38" s="334"/>
      <c r="I38" s="335"/>
      <c r="J38" s="332"/>
      <c r="K38" s="339"/>
      <c r="L38" s="492"/>
      <c r="M38" s="515"/>
      <c r="P38" s="443"/>
      <c r="Q38" s="442"/>
      <c r="R38" s="443"/>
    </row>
    <row r="39" spans="1:18" x14ac:dyDescent="0.25">
      <c r="A39" s="355"/>
      <c r="B39" s="356"/>
      <c r="C39" s="351"/>
      <c r="D39" s="512"/>
      <c r="E39" s="325"/>
      <c r="F39" s="369"/>
      <c r="G39" s="513" t="s">
        <v>6</v>
      </c>
      <c r="H39" s="334"/>
      <c r="I39" s="335"/>
      <c r="J39" s="332"/>
      <c r="K39" s="337" t="s">
        <v>25</v>
      </c>
      <c r="L39" s="509"/>
      <c r="M39" s="510"/>
      <c r="P39" s="511"/>
      <c r="Q39" s="511"/>
      <c r="R39" s="443"/>
    </row>
    <row r="40" spans="1:18" x14ac:dyDescent="0.25">
      <c r="A40" s="355"/>
      <c r="B40" s="356"/>
      <c r="C40" s="358"/>
      <c r="D40" s="512"/>
      <c r="E40" s="325"/>
      <c r="F40" s="369"/>
      <c r="G40" s="513" t="s">
        <v>7</v>
      </c>
      <c r="H40" s="334"/>
      <c r="I40" s="335"/>
      <c r="J40" s="332"/>
      <c r="K40" s="516"/>
      <c r="L40" s="369"/>
      <c r="M40" s="517"/>
      <c r="P40" s="443"/>
      <c r="Q40" s="442"/>
      <c r="R40" s="443"/>
    </row>
    <row r="41" spans="1:18" x14ac:dyDescent="0.25">
      <c r="A41" s="359"/>
      <c r="B41" s="360"/>
      <c r="C41" s="362"/>
      <c r="D41" s="518"/>
      <c r="E41" s="343"/>
      <c r="F41" s="492"/>
      <c r="G41" s="519" t="s">
        <v>8</v>
      </c>
      <c r="H41" s="340"/>
      <c r="I41" s="344"/>
      <c r="J41" s="364"/>
      <c r="K41" s="339">
        <f>M4</f>
        <v>0</v>
      </c>
      <c r="L41" s="492"/>
      <c r="M41" s="515"/>
      <c r="P41" s="443"/>
      <c r="Q41" s="442"/>
      <c r="R41" s="520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36" priority="1" stopIfTrue="1" operator="equal">
      <formula>"Bye"</formula>
    </cfRule>
  </conditionalFormatting>
  <conditionalFormatting sqref="R41">
    <cfRule type="expression" dxfId="135" priority="2" stopIfTrue="1">
      <formula>$O$1="CU"</formula>
    </cfRule>
  </conditionalFormatting>
  <printOptions horizontalCentered="1" verticalCentered="1"/>
  <pageMargins left="0.25" right="0.25" top="0.75" bottom="0.75" header="0.3" footer="0.3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15</vt:i4>
      </vt:variant>
    </vt:vector>
  </HeadingPairs>
  <TitlesOfParts>
    <vt:vector size="33" baseType="lpstr">
      <vt:lpstr>Altalanos</vt:lpstr>
      <vt:lpstr>Birók</vt:lpstr>
      <vt:lpstr>Nevezések</vt:lpstr>
      <vt:lpstr>Játékrend</vt:lpstr>
      <vt:lpstr>Fiú-5kcs-A</vt:lpstr>
      <vt:lpstr>Fiú-5kcs-B</vt:lpstr>
      <vt:lpstr>Fiú-6kcs-A</vt:lpstr>
      <vt:lpstr>Fiú-6kcs-B</vt:lpstr>
      <vt:lpstr>Fiú-7kcs-A</vt:lpstr>
      <vt:lpstr>Fiú-7kcs-B</vt:lpstr>
      <vt:lpstr>Fiú-8kcs-A</vt:lpstr>
      <vt:lpstr>Fiú-8kcs-B</vt:lpstr>
      <vt:lpstr>Lány-5kcs-A</vt:lpstr>
      <vt:lpstr>Lány-5kcs-B</vt:lpstr>
      <vt:lpstr>Lány-6kcs-A</vt:lpstr>
      <vt:lpstr>Lány-6kcs-B</vt:lpstr>
      <vt:lpstr>Lány-7kcs-A</vt:lpstr>
      <vt:lpstr>Lány-7kcs-B</vt:lpstr>
      <vt:lpstr>Birók!Nyomtatási_terület</vt:lpstr>
      <vt:lpstr>'Fiú-5kcs-A'!Nyomtatási_terület</vt:lpstr>
      <vt:lpstr>'Fiú-5kcs-B'!Nyomtatási_terület</vt:lpstr>
      <vt:lpstr>'Fiú-6kcs-A'!Nyomtatási_terület</vt:lpstr>
      <vt:lpstr>'Fiú-6kcs-B'!Nyomtatási_terület</vt:lpstr>
      <vt:lpstr>'Fiú-7kcs-A'!Nyomtatási_terület</vt:lpstr>
      <vt:lpstr>'Fiú-7kcs-B'!Nyomtatási_terület</vt:lpstr>
      <vt:lpstr>'Fiú-8kcs-A'!Nyomtatási_terület</vt:lpstr>
      <vt:lpstr>'Fiú-8kcs-B'!Nyomtatási_terület</vt:lpstr>
      <vt:lpstr>'Lány-5kcs-A'!Nyomtatási_terület</vt:lpstr>
      <vt:lpstr>'Lány-5kcs-B'!Nyomtatási_terület</vt:lpstr>
      <vt:lpstr>'Lány-6kcs-A'!Nyomtatási_terület</vt:lpstr>
      <vt:lpstr>'Lány-6kcs-B'!Nyomtatási_terület</vt:lpstr>
      <vt:lpstr>'Lány-7kcs-A'!Nyomtatási_terület</vt:lpstr>
      <vt:lpstr>'Lány-7kcs-B'!Nyomtatási_terület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2025-04-16T16:52:04Z</cp:lastPrinted>
  <dcterms:created xsi:type="dcterms:W3CDTF">1998-01-18T23:10:02Z</dcterms:created>
  <dcterms:modified xsi:type="dcterms:W3CDTF">2025-04-23T09:32:38Z</dcterms:modified>
  <cp:category>Forms</cp:category>
</cp:coreProperties>
</file>