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mments1.xml" ContentType="application/vnd.openxmlformats-officedocument.spreadsheetml.comments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Munka\Diákolimpia\2023-2024\Borsod-Abaúj-Zemplén vármegye\"/>
    </mc:Choice>
  </mc:AlternateContent>
  <xr:revisionPtr revIDLastSave="0" documentId="13_ncr:1_{E599995B-0BAE-40F1-A7DB-1F53EBBD02D0}" xr6:coauthVersionLast="47" xr6:coauthVersionMax="47" xr10:uidLastSave="{00000000-0000-0000-0000-000000000000}"/>
  <bookViews>
    <workbookView xWindow="-108" yWindow="-108" windowWidth="23256" windowHeight="13176" tabRatio="884" activeTab="2" xr2:uid="{00000000-000D-0000-FFFF-FFFF00000000}"/>
  </bookViews>
  <sheets>
    <sheet name="Altalanos" sheetId="1" r:id="rId1"/>
    <sheet name="Nevezések" sheetId="347" r:id="rId2"/>
    <sheet name="Játékrend csütörtök" sheetId="353" r:id="rId3"/>
    <sheet name="Játékrend péntek" sheetId="354" r:id="rId4"/>
    <sheet name="I.kcs piros lány B" sheetId="89" r:id="rId5"/>
    <sheet name="I.kcs piros fiú B" sheetId="88" r:id="rId6"/>
    <sheet name="II.kcs narancs lány B" sheetId="90" r:id="rId7"/>
    <sheet name="II.kcs narancs fiú B" sheetId="197" r:id="rId8"/>
    <sheet name="III.kcs zöld fiú B" sheetId="348" r:id="rId9"/>
    <sheet name="III.kcs zöld lány B" sheetId="355" r:id="rId10"/>
    <sheet name="IV.kcs lány B" sheetId="236" r:id="rId11"/>
    <sheet name="IV.kcs lány A" sheetId="232" r:id="rId12"/>
    <sheet name="IV.kcs fiú B" sheetId="234" r:id="rId13"/>
    <sheet name="V.kcs lány A" sheetId="280" r:id="rId14"/>
    <sheet name="V.kcs lány B" sheetId="283" r:id="rId15"/>
    <sheet name="V.kcs fiú B" sheetId="356" r:id="rId16"/>
    <sheet name="VI.kcs lány B" sheetId="349" r:id="rId17"/>
    <sheet name="VI.kcs fiú A" sheetId="350" r:id="rId18"/>
    <sheet name="VI.kcs fiú B" sheetId="357" r:id="rId19"/>
    <sheet name="VII.kcs lány B" sheetId="306" r:id="rId20"/>
    <sheet name="VII.kcs fiú B" sheetId="307" r:id="rId21"/>
    <sheet name="VIII.kcs lány B" sheetId="304" r:id="rId22"/>
    <sheet name="VIII.kcs fiú B " sheetId="358" r:id="rId23"/>
  </sheets>
  <externalReferences>
    <externalReference r:id="rId24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5">'I.kcs piros fiú B'!$A$1:$M$41</definedName>
    <definedName name="_xlnm.Print_Area" localSheetId="4">'I.kcs piros lány B'!$A$1:$M$41</definedName>
    <definedName name="_xlnm.Print_Area" localSheetId="7">'II.kcs narancs fiú B'!$A$1:$M$53</definedName>
    <definedName name="_xlnm.Print_Area" localSheetId="6">'II.kcs narancs lány B'!$A$1:$M$47</definedName>
    <definedName name="_xlnm.Print_Area" localSheetId="12">'IV.kcs fiú B'!$A$1:$M$41</definedName>
    <definedName name="_xlnm.Print_Area" localSheetId="11">'IV.kcs lány A'!$A$1:$M$41</definedName>
    <definedName name="_xlnm.Print_Area" localSheetId="10">'IV.kcs lány B'!$A$1:$M$47</definedName>
    <definedName name="_xlnm.Print_Area" localSheetId="13">'V.kcs lány A'!$A$1:$M$41</definedName>
    <definedName name="_xlnm.Print_Area" localSheetId="14">'V.kcs lány B'!$A$1:$M$47</definedName>
    <definedName name="_xlnm.Print_Area" localSheetId="20">'VII.kcs fiú B'!$A$1:$M$47</definedName>
    <definedName name="_xlnm.Print_Area" localSheetId="19">'VII.kcs lány B'!$A$1:$M$41</definedName>
    <definedName name="_xlnm.Print_Area" localSheetId="21">'VIII.kcs lány B'!$A$1:$M$41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350" l="1"/>
  <c r="E2" i="358"/>
  <c r="B20" i="358"/>
  <c r="B19" i="358"/>
  <c r="F18" i="358"/>
  <c r="D18" i="358"/>
  <c r="L11" i="358"/>
  <c r="I11" i="358"/>
  <c r="H18" i="358"/>
  <c r="D11" i="358"/>
  <c r="C11" i="358"/>
  <c r="L9" i="358"/>
  <c r="I9" i="358"/>
  <c r="D9" i="358"/>
  <c r="C9" i="358"/>
  <c r="L7" i="358"/>
  <c r="I7" i="358"/>
  <c r="D7" i="358"/>
  <c r="C7" i="358"/>
  <c r="L4" i="358"/>
  <c r="K41" i="358" s="1"/>
  <c r="E4" i="358"/>
  <c r="A4" i="358"/>
  <c r="A1" i="358"/>
  <c r="E2" i="304"/>
  <c r="R55" i="357"/>
  <c r="F51" i="357"/>
  <c r="F50" i="357"/>
  <c r="F49" i="357"/>
  <c r="F48" i="357"/>
  <c r="I35" i="357"/>
  <c r="G35" i="357"/>
  <c r="F35" i="357"/>
  <c r="D35" i="357"/>
  <c r="C35" i="357"/>
  <c r="B35" i="357"/>
  <c r="I33" i="357"/>
  <c r="G33" i="357"/>
  <c r="F33" i="357"/>
  <c r="D33" i="357"/>
  <c r="C33" i="357"/>
  <c r="B33" i="357"/>
  <c r="M32" i="357"/>
  <c r="I31" i="357"/>
  <c r="G31" i="357"/>
  <c r="F31" i="357"/>
  <c r="D31" i="357"/>
  <c r="C31" i="357"/>
  <c r="B31" i="357"/>
  <c r="I29" i="357"/>
  <c r="G29" i="357"/>
  <c r="F29" i="357"/>
  <c r="D29" i="357"/>
  <c r="C29" i="357"/>
  <c r="B29" i="357"/>
  <c r="O28" i="357"/>
  <c r="I27" i="357"/>
  <c r="G27" i="357"/>
  <c r="F27" i="357"/>
  <c r="D27" i="357"/>
  <c r="C27" i="357"/>
  <c r="B27" i="357"/>
  <c r="I25" i="357"/>
  <c r="G25" i="357"/>
  <c r="F25" i="357"/>
  <c r="D25" i="357"/>
  <c r="C25" i="357"/>
  <c r="B25" i="357"/>
  <c r="M24" i="357"/>
  <c r="G23" i="357"/>
  <c r="F23" i="357"/>
  <c r="D23" i="357"/>
  <c r="C23" i="357"/>
  <c r="B23" i="357"/>
  <c r="G21" i="357"/>
  <c r="F21" i="357"/>
  <c r="D21" i="357"/>
  <c r="C21" i="357"/>
  <c r="B21" i="357"/>
  <c r="Q20" i="357"/>
  <c r="G19" i="357"/>
  <c r="F19" i="357"/>
  <c r="D19" i="357"/>
  <c r="C19" i="357"/>
  <c r="B19" i="357"/>
  <c r="G17" i="357"/>
  <c r="F17" i="357"/>
  <c r="D17" i="357"/>
  <c r="C17" i="357"/>
  <c r="B17" i="357"/>
  <c r="M16" i="357"/>
  <c r="I15" i="357"/>
  <c r="G15" i="357"/>
  <c r="F15" i="357"/>
  <c r="D15" i="357"/>
  <c r="C15" i="357"/>
  <c r="B15" i="357"/>
  <c r="I13" i="357"/>
  <c r="G13" i="357"/>
  <c r="F13" i="357"/>
  <c r="D13" i="357"/>
  <c r="C13" i="357"/>
  <c r="B13" i="357"/>
  <c r="O12" i="357"/>
  <c r="I11" i="357"/>
  <c r="G11" i="357"/>
  <c r="F11" i="357"/>
  <c r="D11" i="357"/>
  <c r="C11" i="357"/>
  <c r="B11" i="357"/>
  <c r="I9" i="357"/>
  <c r="D9" i="357"/>
  <c r="C9" i="357"/>
  <c r="B9" i="357"/>
  <c r="M8" i="357"/>
  <c r="I7" i="357"/>
  <c r="G7" i="357"/>
  <c r="F7" i="357"/>
  <c r="D7" i="357"/>
  <c r="C7" i="357"/>
  <c r="B7" i="357"/>
  <c r="I5" i="357"/>
  <c r="D5" i="357"/>
  <c r="C5" i="357"/>
  <c r="B5" i="357"/>
  <c r="Q4" i="357"/>
  <c r="O4" i="357"/>
  <c r="M4" i="357"/>
  <c r="K4" i="357"/>
  <c r="F4" i="357"/>
  <c r="R2" i="357"/>
  <c r="O55" i="357" s="1"/>
  <c r="G2" i="357"/>
  <c r="A2" i="357"/>
  <c r="E2" i="349"/>
  <c r="R57" i="356"/>
  <c r="F50" i="356" s="1"/>
  <c r="I37" i="356"/>
  <c r="G37" i="356"/>
  <c r="F37" i="356"/>
  <c r="D37" i="356"/>
  <c r="C37" i="356"/>
  <c r="B37" i="356"/>
  <c r="I35" i="356"/>
  <c r="G35" i="356"/>
  <c r="F35" i="356"/>
  <c r="D35" i="356"/>
  <c r="C35" i="356"/>
  <c r="B35" i="356"/>
  <c r="M34" i="356"/>
  <c r="I33" i="356"/>
  <c r="G33" i="356"/>
  <c r="F33" i="356"/>
  <c r="D33" i="356"/>
  <c r="C33" i="356"/>
  <c r="B33" i="356"/>
  <c r="I31" i="356"/>
  <c r="G31" i="356"/>
  <c r="F31" i="356"/>
  <c r="D31" i="356"/>
  <c r="C31" i="356"/>
  <c r="B31" i="356"/>
  <c r="O30" i="356"/>
  <c r="I29" i="356"/>
  <c r="G29" i="356"/>
  <c r="F29" i="356"/>
  <c r="D29" i="356"/>
  <c r="C29" i="356"/>
  <c r="B29" i="356"/>
  <c r="I27" i="356"/>
  <c r="G27" i="356"/>
  <c r="F27" i="356"/>
  <c r="D27" i="356"/>
  <c r="C27" i="356"/>
  <c r="B27" i="356"/>
  <c r="M26" i="356"/>
  <c r="G25" i="356"/>
  <c r="F25" i="356"/>
  <c r="D25" i="356"/>
  <c r="C25" i="356"/>
  <c r="B25" i="356"/>
  <c r="K24" i="356"/>
  <c r="G23" i="356"/>
  <c r="F23" i="356"/>
  <c r="D23" i="356"/>
  <c r="C23" i="356"/>
  <c r="B23" i="356"/>
  <c r="Q22" i="356"/>
  <c r="I21" i="356"/>
  <c r="G21" i="356"/>
  <c r="F21" i="356"/>
  <c r="D21" i="356"/>
  <c r="C21" i="356"/>
  <c r="B21" i="356"/>
  <c r="I19" i="356"/>
  <c r="G19" i="356"/>
  <c r="F19" i="356"/>
  <c r="D19" i="356"/>
  <c r="C19" i="356"/>
  <c r="B19" i="356"/>
  <c r="M18" i="356"/>
  <c r="I17" i="356"/>
  <c r="G17" i="356"/>
  <c r="F17" i="356"/>
  <c r="D17" i="356"/>
  <c r="C17" i="356"/>
  <c r="B17" i="356"/>
  <c r="U15" i="356"/>
  <c r="I15" i="356"/>
  <c r="G15" i="356"/>
  <c r="F15" i="356"/>
  <c r="D15" i="356"/>
  <c r="C15" i="356"/>
  <c r="B15" i="356"/>
  <c r="U14" i="356"/>
  <c r="O14" i="356"/>
  <c r="U13" i="356"/>
  <c r="I13" i="356"/>
  <c r="G13" i="356"/>
  <c r="F13" i="356"/>
  <c r="D13" i="356"/>
  <c r="C13" i="356"/>
  <c r="B13" i="356"/>
  <c r="U12" i="356"/>
  <c r="U11" i="356"/>
  <c r="I11" i="356"/>
  <c r="D11" i="356"/>
  <c r="C11" i="356"/>
  <c r="B11" i="356"/>
  <c r="U10" i="356"/>
  <c r="M10" i="356"/>
  <c r="U9" i="356"/>
  <c r="I9" i="356"/>
  <c r="G9" i="356"/>
  <c r="F9" i="356"/>
  <c r="D9" i="356"/>
  <c r="C9" i="356"/>
  <c r="B9" i="356"/>
  <c r="U8" i="356"/>
  <c r="I7" i="356"/>
  <c r="D7" i="356"/>
  <c r="C7" i="356"/>
  <c r="B7" i="356"/>
  <c r="Q6" i="356"/>
  <c r="O6" i="356"/>
  <c r="M6" i="356"/>
  <c r="K6" i="356"/>
  <c r="F6" i="356"/>
  <c r="R4" i="356"/>
  <c r="O57" i="356" s="1"/>
  <c r="G4" i="356"/>
  <c r="A4" i="356"/>
  <c r="A1" i="356"/>
  <c r="F51" i="356" l="1"/>
  <c r="B21" i="358"/>
  <c r="F52" i="356"/>
  <c r="F53" i="356"/>
  <c r="I11" i="234" l="1"/>
  <c r="B21" i="355"/>
  <c r="J18" i="355"/>
  <c r="L15" i="355"/>
  <c r="I15" i="355"/>
  <c r="B23" i="355"/>
  <c r="D15" i="355"/>
  <c r="C15" i="355"/>
  <c r="L13" i="355"/>
  <c r="I13" i="355"/>
  <c r="B22" i="355"/>
  <c r="D13" i="355"/>
  <c r="C13" i="355"/>
  <c r="L11" i="355"/>
  <c r="I11" i="355"/>
  <c r="H18" i="355"/>
  <c r="D11" i="355"/>
  <c r="C11" i="355"/>
  <c r="L9" i="355"/>
  <c r="I9" i="355"/>
  <c r="B20" i="355"/>
  <c r="D9" i="355"/>
  <c r="C9" i="355"/>
  <c r="L7" i="355"/>
  <c r="I7" i="355"/>
  <c r="B19" i="355"/>
  <c r="D7" i="355"/>
  <c r="C7" i="355"/>
  <c r="L4" i="355"/>
  <c r="K41" i="355" s="1"/>
  <c r="E4" i="355"/>
  <c r="A4" i="355"/>
  <c r="A1" i="355"/>
  <c r="B20" i="89"/>
  <c r="L11" i="350"/>
  <c r="I11" i="350"/>
  <c r="G11" i="350"/>
  <c r="E11" i="350"/>
  <c r="H18" i="350" s="1"/>
  <c r="D11" i="350"/>
  <c r="C11" i="350"/>
  <c r="L9" i="350"/>
  <c r="I9" i="350"/>
  <c r="F18" i="350"/>
  <c r="D9" i="350"/>
  <c r="C9" i="350"/>
  <c r="L7" i="350"/>
  <c r="I7" i="350"/>
  <c r="D18" i="350"/>
  <c r="D7" i="350"/>
  <c r="C7" i="350"/>
  <c r="L4" i="350"/>
  <c r="K41" i="350" s="1"/>
  <c r="E4" i="350"/>
  <c r="A4" i="350"/>
  <c r="A1" i="350"/>
  <c r="L11" i="349"/>
  <c r="I11" i="349"/>
  <c r="G11" i="349"/>
  <c r="E11" i="349"/>
  <c r="H18" i="349" s="1"/>
  <c r="D11" i="349"/>
  <c r="C11" i="349"/>
  <c r="L9" i="349"/>
  <c r="I9" i="349"/>
  <c r="F18" i="349"/>
  <c r="D9" i="349"/>
  <c r="C9" i="349"/>
  <c r="L7" i="349"/>
  <c r="I7" i="349"/>
  <c r="D18" i="349"/>
  <c r="D7" i="349"/>
  <c r="C7" i="349"/>
  <c r="L4" i="349"/>
  <c r="K41" i="349" s="1"/>
  <c r="E4" i="349"/>
  <c r="A4" i="349"/>
  <c r="A1" i="349"/>
  <c r="R48" i="348"/>
  <c r="E48" i="348" s="1"/>
  <c r="E47" i="348"/>
  <c r="F44" i="348"/>
  <c r="C44" i="348"/>
  <c r="F42" i="348"/>
  <c r="C42" i="348"/>
  <c r="F40" i="348"/>
  <c r="C40" i="348"/>
  <c r="F38" i="348"/>
  <c r="C38" i="348"/>
  <c r="L23" i="348"/>
  <c r="I23" i="348"/>
  <c r="G23" i="348"/>
  <c r="E23" i="348"/>
  <c r="D23" i="348"/>
  <c r="C23" i="348"/>
  <c r="L21" i="348"/>
  <c r="I21" i="348"/>
  <c r="B35" i="348"/>
  <c r="D21" i="348"/>
  <c r="C21" i="348"/>
  <c r="L19" i="348"/>
  <c r="I19" i="348"/>
  <c r="B34" i="348"/>
  <c r="D19" i="348"/>
  <c r="C19" i="348"/>
  <c r="L17" i="348"/>
  <c r="I17" i="348"/>
  <c r="B33" i="348"/>
  <c r="D17" i="348"/>
  <c r="C17" i="348"/>
  <c r="L15" i="348"/>
  <c r="I15" i="348"/>
  <c r="D31" i="348"/>
  <c r="D15" i="348"/>
  <c r="C15" i="348"/>
  <c r="L13" i="348"/>
  <c r="I13" i="348"/>
  <c r="B29" i="348"/>
  <c r="D13" i="348"/>
  <c r="C13" i="348"/>
  <c r="L11" i="348"/>
  <c r="I11" i="348"/>
  <c r="B28" i="348"/>
  <c r="D11" i="348"/>
  <c r="C11" i="348"/>
  <c r="L9" i="348"/>
  <c r="I9" i="348"/>
  <c r="B27" i="348"/>
  <c r="D9" i="348"/>
  <c r="C9" i="348"/>
  <c r="L7" i="348"/>
  <c r="I7" i="348"/>
  <c r="D25" i="348"/>
  <c r="D7" i="348"/>
  <c r="C7" i="348"/>
  <c r="L4" i="348"/>
  <c r="K54" i="348" s="1"/>
  <c r="E4" i="348"/>
  <c r="A4" i="348"/>
  <c r="A1" i="348"/>
  <c r="L23" i="197"/>
  <c r="I23" i="197"/>
  <c r="D23" i="197"/>
  <c r="C23" i="197"/>
  <c r="E2" i="307"/>
  <c r="E2" i="306"/>
  <c r="R47" i="307"/>
  <c r="E41" i="307" s="1"/>
  <c r="F36" i="307"/>
  <c r="C36" i="307"/>
  <c r="F34" i="307"/>
  <c r="C34" i="307"/>
  <c r="F32" i="307"/>
  <c r="C32" i="307"/>
  <c r="L17" i="307"/>
  <c r="I17" i="307"/>
  <c r="B30" i="307"/>
  <c r="D17" i="307"/>
  <c r="C17" i="307"/>
  <c r="L15" i="307"/>
  <c r="I15" i="307"/>
  <c r="B29" i="307"/>
  <c r="D15" i="307"/>
  <c r="C15" i="307"/>
  <c r="L13" i="307"/>
  <c r="I13" i="307"/>
  <c r="B28" i="307"/>
  <c r="D13" i="307"/>
  <c r="C13" i="307"/>
  <c r="L11" i="307"/>
  <c r="I11" i="307"/>
  <c r="B25" i="307"/>
  <c r="D11" i="307"/>
  <c r="C11" i="307"/>
  <c r="L9" i="307"/>
  <c r="I9" i="307"/>
  <c r="B24" i="307"/>
  <c r="D9" i="307"/>
  <c r="C9" i="307"/>
  <c r="L7" i="307"/>
  <c r="I7" i="307"/>
  <c r="B23" i="307"/>
  <c r="D7" i="307"/>
  <c r="C7" i="307"/>
  <c r="Y5" i="307"/>
  <c r="AK1" i="307" s="1"/>
  <c r="L4" i="307"/>
  <c r="K47" i="307"/>
  <c r="E4" i="307"/>
  <c r="A4" i="307"/>
  <c r="Y3" i="307"/>
  <c r="A1" i="307"/>
  <c r="L15" i="306"/>
  <c r="I15" i="306"/>
  <c r="B23" i="306"/>
  <c r="D15" i="306"/>
  <c r="C15" i="306"/>
  <c r="L13" i="306"/>
  <c r="I13" i="306"/>
  <c r="B22" i="306"/>
  <c r="D13" i="306"/>
  <c r="C13" i="306"/>
  <c r="L11" i="306"/>
  <c r="I11" i="306"/>
  <c r="B21" i="306"/>
  <c r="D11" i="306"/>
  <c r="C11" i="306"/>
  <c r="L9" i="306"/>
  <c r="I9" i="306"/>
  <c r="B20" i="306"/>
  <c r="D9" i="306"/>
  <c r="C9" i="306"/>
  <c r="L7" i="306"/>
  <c r="I7" i="306"/>
  <c r="B19" i="306"/>
  <c r="D7" i="306"/>
  <c r="C7" i="306"/>
  <c r="Y5" i="306"/>
  <c r="AG1" i="306" s="1"/>
  <c r="L4" i="306"/>
  <c r="K41" i="306" s="1"/>
  <c r="E4" i="306"/>
  <c r="A4" i="306"/>
  <c r="Y3" i="306"/>
  <c r="AH1" i="306" s="1"/>
  <c r="A1" i="306"/>
  <c r="L11" i="304"/>
  <c r="I11" i="304"/>
  <c r="G11" i="304"/>
  <c r="E11" i="304"/>
  <c r="B21" i="304" s="1"/>
  <c r="D11" i="304"/>
  <c r="C11" i="304"/>
  <c r="L9" i="304"/>
  <c r="I9" i="304"/>
  <c r="B20" i="304"/>
  <c r="D9" i="304"/>
  <c r="C9" i="304"/>
  <c r="L7" i="304"/>
  <c r="I7" i="304"/>
  <c r="B19" i="304"/>
  <c r="D7" i="304"/>
  <c r="C7" i="304"/>
  <c r="Y5" i="304"/>
  <c r="L4" i="304"/>
  <c r="K41" i="304" s="1"/>
  <c r="E4" i="304"/>
  <c r="A4" i="304"/>
  <c r="Y3" i="304"/>
  <c r="AF1" i="304" s="1"/>
  <c r="A1" i="304"/>
  <c r="E2" i="283"/>
  <c r="E2" i="280"/>
  <c r="R47" i="283"/>
  <c r="E40" i="283" s="1"/>
  <c r="L17" i="283"/>
  <c r="I17" i="283"/>
  <c r="B30" i="283"/>
  <c r="F34" i="283"/>
  <c r="D17" i="283"/>
  <c r="C17" i="283"/>
  <c r="L15" i="283"/>
  <c r="I15" i="283"/>
  <c r="B29" i="283"/>
  <c r="F36" i="283"/>
  <c r="D15" i="283"/>
  <c r="C15" i="283"/>
  <c r="L13" i="283"/>
  <c r="I13" i="283"/>
  <c r="B28" i="283"/>
  <c r="F32" i="283"/>
  <c r="D13" i="283"/>
  <c r="C13" i="283"/>
  <c r="L11" i="283"/>
  <c r="I11" i="283"/>
  <c r="B25" i="283"/>
  <c r="C36" i="283"/>
  <c r="D11" i="283"/>
  <c r="C11" i="283"/>
  <c r="L9" i="283"/>
  <c r="I9" i="283"/>
  <c r="B24" i="283"/>
  <c r="C34" i="283"/>
  <c r="D9" i="283"/>
  <c r="C9" i="283"/>
  <c r="L7" i="283"/>
  <c r="I7" i="283"/>
  <c r="B23" i="283"/>
  <c r="C32" i="283"/>
  <c r="D7" i="283"/>
  <c r="C7" i="283"/>
  <c r="Y5" i="283"/>
  <c r="L4" i="283"/>
  <c r="K47" i="283" s="1"/>
  <c r="E4" i="283"/>
  <c r="A4" i="283"/>
  <c r="Y3" i="283"/>
  <c r="AD1" i="283" s="1"/>
  <c r="A1" i="283"/>
  <c r="L11" i="280"/>
  <c r="I11" i="280"/>
  <c r="G11" i="280"/>
  <c r="E11" i="280"/>
  <c r="B21" i="280" s="1"/>
  <c r="D11" i="280"/>
  <c r="C11" i="280"/>
  <c r="L9" i="280"/>
  <c r="I9" i="280"/>
  <c r="B20" i="280"/>
  <c r="D9" i="280"/>
  <c r="C9" i="280"/>
  <c r="L7" i="280"/>
  <c r="I7" i="280"/>
  <c r="B19" i="280"/>
  <c r="D7" i="280"/>
  <c r="C7" i="280"/>
  <c r="Y5" i="280"/>
  <c r="L4" i="280"/>
  <c r="K41" i="280" s="1"/>
  <c r="E4" i="280"/>
  <c r="A4" i="280"/>
  <c r="Y3" i="280"/>
  <c r="A1" i="280"/>
  <c r="R42" i="236"/>
  <c r="E40" i="236" s="1"/>
  <c r="L17" i="236"/>
  <c r="I17" i="236"/>
  <c r="B29" i="236"/>
  <c r="F36" i="236"/>
  <c r="D17" i="236"/>
  <c r="C17" i="236"/>
  <c r="L15" i="236"/>
  <c r="I15" i="236"/>
  <c r="B28" i="236"/>
  <c r="F34" i="236"/>
  <c r="D15" i="236"/>
  <c r="C15" i="236"/>
  <c r="L13" i="236"/>
  <c r="I13" i="236"/>
  <c r="B27" i="236"/>
  <c r="F32" i="236"/>
  <c r="D13" i="236"/>
  <c r="C13" i="236"/>
  <c r="L11" i="236"/>
  <c r="I11" i="236"/>
  <c r="B24" i="236"/>
  <c r="C36" i="236"/>
  <c r="D11" i="236"/>
  <c r="C11" i="236"/>
  <c r="L9" i="236"/>
  <c r="I9" i="236"/>
  <c r="B23" i="236"/>
  <c r="C34" i="236"/>
  <c r="D9" i="236"/>
  <c r="C9" i="236"/>
  <c r="L7" i="236"/>
  <c r="I7" i="236"/>
  <c r="B22" i="236"/>
  <c r="C32" i="236"/>
  <c r="D7" i="236"/>
  <c r="C7" i="236"/>
  <c r="Y5" i="236"/>
  <c r="L4" i="236"/>
  <c r="K47" i="236" s="1"/>
  <c r="E4" i="236"/>
  <c r="A4" i="236"/>
  <c r="Y3" i="236"/>
  <c r="A1" i="236"/>
  <c r="L15" i="234"/>
  <c r="I15" i="234"/>
  <c r="B23" i="234"/>
  <c r="D15" i="234"/>
  <c r="C15" i="234"/>
  <c r="L13" i="234"/>
  <c r="I13" i="234"/>
  <c r="B22" i="234"/>
  <c r="D13" i="234"/>
  <c r="C13" i="234"/>
  <c r="L11" i="234"/>
  <c r="B21" i="234"/>
  <c r="D11" i="234"/>
  <c r="C11" i="234"/>
  <c r="L9" i="234"/>
  <c r="I9" i="234"/>
  <c r="B20" i="234"/>
  <c r="D9" i="234"/>
  <c r="C9" i="234"/>
  <c r="L7" i="234"/>
  <c r="I7" i="234"/>
  <c r="B19" i="234"/>
  <c r="D7" i="234"/>
  <c r="C7" i="234"/>
  <c r="Y5" i="234"/>
  <c r="L4" i="234"/>
  <c r="K41" i="234" s="1"/>
  <c r="E4" i="234"/>
  <c r="A4" i="234"/>
  <c r="Y3" i="234"/>
  <c r="AC1" i="234" s="1"/>
  <c r="A1" i="234"/>
  <c r="L11" i="232"/>
  <c r="I11" i="232"/>
  <c r="B21" i="232"/>
  <c r="D11" i="232"/>
  <c r="C11" i="232"/>
  <c r="L9" i="232"/>
  <c r="I9" i="232"/>
  <c r="B20" i="232"/>
  <c r="D9" i="232"/>
  <c r="C9" i="232"/>
  <c r="L7" i="232"/>
  <c r="I7" i="232"/>
  <c r="B19" i="232"/>
  <c r="D7" i="232"/>
  <c r="C7" i="232"/>
  <c r="Y5" i="232"/>
  <c r="L4" i="232"/>
  <c r="K41" i="232" s="1"/>
  <c r="E4" i="232"/>
  <c r="A4" i="232"/>
  <c r="Y3" i="232"/>
  <c r="A1" i="232"/>
  <c r="L21" i="197"/>
  <c r="I21" i="197"/>
  <c r="F44" i="197"/>
  <c r="D21" i="197"/>
  <c r="C21" i="197"/>
  <c r="R48" i="197"/>
  <c r="E48" i="197" s="1"/>
  <c r="L19" i="197"/>
  <c r="I19" i="197"/>
  <c r="D19" i="197"/>
  <c r="C19" i="197"/>
  <c r="L17" i="197"/>
  <c r="I17" i="197"/>
  <c r="D17" i="197"/>
  <c r="C17" i="197"/>
  <c r="L15" i="197"/>
  <c r="I15" i="197"/>
  <c r="D15" i="197"/>
  <c r="C15" i="197"/>
  <c r="L13" i="197"/>
  <c r="I13" i="197"/>
  <c r="B29" i="197"/>
  <c r="D13" i="197"/>
  <c r="C13" i="197"/>
  <c r="L11" i="197"/>
  <c r="I11" i="197"/>
  <c r="H25" i="197"/>
  <c r="D11" i="197"/>
  <c r="C11" i="197"/>
  <c r="L9" i="197"/>
  <c r="I9" i="197"/>
  <c r="B27" i="197"/>
  <c r="D9" i="197"/>
  <c r="C9" i="197"/>
  <c r="L7" i="197"/>
  <c r="I7" i="197"/>
  <c r="D25" i="197"/>
  <c r="D7" i="197"/>
  <c r="C7" i="197"/>
  <c r="Y5" i="197"/>
  <c r="L4" i="197"/>
  <c r="K54" i="197" s="1"/>
  <c r="E4" i="197"/>
  <c r="A4" i="197"/>
  <c r="Y3" i="197"/>
  <c r="A1" i="197"/>
  <c r="L11" i="89"/>
  <c r="L9" i="89"/>
  <c r="L7" i="89"/>
  <c r="L13" i="88"/>
  <c r="L11" i="88"/>
  <c r="L9" i="88"/>
  <c r="L7" i="88"/>
  <c r="L17" i="90"/>
  <c r="L15" i="90"/>
  <c r="L13" i="90"/>
  <c r="L11" i="90"/>
  <c r="L9" i="90"/>
  <c r="L7" i="90"/>
  <c r="Y5" i="89"/>
  <c r="Y3" i="89"/>
  <c r="AH1" i="89" s="1"/>
  <c r="Y5" i="88"/>
  <c r="Y3" i="88"/>
  <c r="AH1" i="88" s="1"/>
  <c r="Y5" i="90"/>
  <c r="Y3" i="90"/>
  <c r="AK1" i="90" s="1"/>
  <c r="R47" i="90"/>
  <c r="E40" i="90" s="1"/>
  <c r="D27" i="90"/>
  <c r="F34" i="90"/>
  <c r="F36" i="90"/>
  <c r="F32" i="90"/>
  <c r="I17" i="90"/>
  <c r="D17" i="90"/>
  <c r="C17" i="90"/>
  <c r="I15" i="90"/>
  <c r="D15" i="90"/>
  <c r="C15" i="90"/>
  <c r="I13" i="90"/>
  <c r="D13" i="90"/>
  <c r="C13" i="90"/>
  <c r="L4" i="90"/>
  <c r="K47" i="90"/>
  <c r="B25" i="90"/>
  <c r="C36" i="90"/>
  <c r="C34" i="90"/>
  <c r="B23" i="90"/>
  <c r="C32" i="90"/>
  <c r="I11" i="90"/>
  <c r="D11" i="90"/>
  <c r="C11" i="90"/>
  <c r="I9" i="90"/>
  <c r="D9" i="90"/>
  <c r="C9" i="90"/>
  <c r="I7" i="90"/>
  <c r="D7" i="90"/>
  <c r="C7" i="90"/>
  <c r="E4" i="90"/>
  <c r="A4" i="90"/>
  <c r="A1" i="90"/>
  <c r="I13" i="88"/>
  <c r="D13" i="88"/>
  <c r="C13" i="88"/>
  <c r="M4" i="88"/>
  <c r="K41" i="88" s="1"/>
  <c r="B20" i="88"/>
  <c r="B19" i="88"/>
  <c r="I11" i="88"/>
  <c r="D11" i="88"/>
  <c r="C11" i="88"/>
  <c r="I9" i="88"/>
  <c r="D9" i="88"/>
  <c r="C9" i="88"/>
  <c r="I7" i="88"/>
  <c r="D7" i="88"/>
  <c r="C7" i="88"/>
  <c r="E4" i="88"/>
  <c r="A4" i="88"/>
  <c r="A1" i="88"/>
  <c r="L4" i="89"/>
  <c r="K41" i="89"/>
  <c r="E4" i="89"/>
  <c r="D11" i="89"/>
  <c r="C11" i="89"/>
  <c r="D9" i="89"/>
  <c r="C9" i="89"/>
  <c r="D7" i="89"/>
  <c r="C7" i="89"/>
  <c r="D18" i="89"/>
  <c r="B19" i="89"/>
  <c r="A4" i="89"/>
  <c r="A1" i="89"/>
  <c r="F38" i="197"/>
  <c r="F42" i="197"/>
  <c r="F40" i="197"/>
  <c r="C44" i="197"/>
  <c r="C42" i="197"/>
  <c r="C40" i="197"/>
  <c r="C38" i="197"/>
  <c r="AC1" i="89"/>
  <c r="AI1" i="89"/>
  <c r="E41" i="90"/>
  <c r="AB1" i="89"/>
  <c r="AJ1" i="89"/>
  <c r="B22" i="88"/>
  <c r="J18" i="88"/>
  <c r="AE1" i="89"/>
  <c r="AK1" i="280"/>
  <c r="AB1" i="280"/>
  <c r="AD1" i="304"/>
  <c r="F18" i="88"/>
  <c r="B28" i="90"/>
  <c r="AB1" i="304" l="1"/>
  <c r="AF1" i="306"/>
  <c r="AK1" i="306"/>
  <c r="AB1" i="306"/>
  <c r="AJ1" i="306"/>
  <c r="AD1" i="306"/>
  <c r="AE1" i="306"/>
  <c r="AG1" i="283"/>
  <c r="AC1" i="280"/>
  <c r="AB1" i="234"/>
  <c r="AF1" i="234"/>
  <c r="AG1" i="234"/>
  <c r="AG1" i="232"/>
  <c r="AK1" i="197"/>
  <c r="AG1" i="90"/>
  <c r="AD1" i="88"/>
  <c r="AI1" i="88"/>
  <c r="AC1" i="88"/>
  <c r="AG1" i="89"/>
  <c r="AK1" i="89"/>
  <c r="AC1" i="307"/>
  <c r="AH1" i="307"/>
  <c r="AB1" i="307"/>
  <c r="AI1" i="307"/>
  <c r="AJ1" i="307"/>
  <c r="AE1" i="307"/>
  <c r="AD1" i="307"/>
  <c r="AG1" i="307"/>
  <c r="AF1" i="307"/>
  <c r="D18" i="355"/>
  <c r="L18" i="355"/>
  <c r="F18" i="355"/>
  <c r="F18" i="89"/>
  <c r="AD1" i="89"/>
  <c r="AE1" i="304"/>
  <c r="AD1" i="280"/>
  <c r="AF1" i="280"/>
  <c r="AE1" i="280"/>
  <c r="AI1" i="280"/>
  <c r="AJ1" i="280"/>
  <c r="AG1" i="280"/>
  <c r="AF1" i="89"/>
  <c r="AH1" i="280"/>
  <c r="D18" i="304"/>
  <c r="E40" i="307"/>
  <c r="H27" i="307"/>
  <c r="H22" i="307"/>
  <c r="L18" i="306"/>
  <c r="J18" i="306"/>
  <c r="D27" i="307"/>
  <c r="H18" i="306"/>
  <c r="F22" i="307"/>
  <c r="D18" i="306"/>
  <c r="H18" i="304"/>
  <c r="F18" i="304"/>
  <c r="F27" i="307"/>
  <c r="D22" i="307"/>
  <c r="F18" i="306"/>
  <c r="B19" i="350"/>
  <c r="B20" i="350"/>
  <c r="B21" i="350"/>
  <c r="D22" i="283"/>
  <c r="F27" i="283"/>
  <c r="B19" i="349"/>
  <c r="B20" i="349"/>
  <c r="B21" i="349"/>
  <c r="H18" i="280"/>
  <c r="D18" i="280"/>
  <c r="D27" i="283"/>
  <c r="H22" i="283"/>
  <c r="H27" i="283"/>
  <c r="F22" i="283"/>
  <c r="F18" i="280"/>
  <c r="D18" i="232"/>
  <c r="AI1" i="236"/>
  <c r="AJ1" i="236"/>
  <c r="AC1" i="236"/>
  <c r="AB1" i="236"/>
  <c r="AG1" i="236"/>
  <c r="AF1" i="236"/>
  <c r="AE1" i="236"/>
  <c r="AK1" i="236"/>
  <c r="AD1" i="236"/>
  <c r="AH1" i="236"/>
  <c r="D18" i="234"/>
  <c r="J18" i="234"/>
  <c r="D26" i="236"/>
  <c r="B26" i="348"/>
  <c r="B32" i="348"/>
  <c r="F25" i="348"/>
  <c r="F31" i="348"/>
  <c r="H25" i="348"/>
  <c r="H31" i="348"/>
  <c r="H18" i="234"/>
  <c r="F18" i="232"/>
  <c r="J25" i="348"/>
  <c r="J31" i="348"/>
  <c r="H26" i="236"/>
  <c r="D21" i="236"/>
  <c r="F21" i="236"/>
  <c r="F26" i="236"/>
  <c r="F18" i="234"/>
  <c r="H21" i="236"/>
  <c r="L18" i="234"/>
  <c r="H18" i="232"/>
  <c r="J25" i="197"/>
  <c r="F25" i="197"/>
  <c r="AG1" i="197"/>
  <c r="AB1" i="197"/>
  <c r="B28" i="197"/>
  <c r="B26" i="197"/>
  <c r="AJ1" i="197"/>
  <c r="AF1" i="197"/>
  <c r="AD1" i="197"/>
  <c r="AC1" i="197"/>
  <c r="AH1" i="197"/>
  <c r="D18" i="88"/>
  <c r="E47" i="197"/>
  <c r="AH1" i="304"/>
  <c r="AI1" i="304"/>
  <c r="AJ1" i="304"/>
  <c r="AH1" i="283"/>
  <c r="AC1" i="306"/>
  <c r="AK1" i="232"/>
  <c r="AB1" i="232"/>
  <c r="AG1" i="88"/>
  <c r="AJ1" i="88"/>
  <c r="AK1" i="88"/>
  <c r="AF1" i="88"/>
  <c r="AE1" i="283"/>
  <c r="AE1" i="88"/>
  <c r="AF1" i="283"/>
  <c r="AI1" i="306"/>
  <c r="AB1" i="88"/>
  <c r="AC1" i="232"/>
  <c r="AE1" i="234"/>
  <c r="AK1" i="234"/>
  <c r="AF1" i="232"/>
  <c r="AD1" i="90"/>
  <c r="B21" i="88"/>
  <c r="H18" i="88"/>
  <c r="AD1" i="234"/>
  <c r="AE1" i="232"/>
  <c r="AI1" i="232"/>
  <c r="AI1" i="234"/>
  <c r="AD1" i="232"/>
  <c r="AJ1" i="232"/>
  <c r="AC1" i="90"/>
  <c r="AH1" i="90"/>
  <c r="B29" i="90"/>
  <c r="F27" i="90"/>
  <c r="AI1" i="197"/>
  <c r="AE1" i="197"/>
  <c r="AJ1" i="234"/>
  <c r="AH1" i="234"/>
  <c r="AH1" i="232"/>
  <c r="H18" i="89"/>
  <c r="B21" i="89"/>
  <c r="D22" i="90"/>
  <c r="AC1" i="304"/>
  <c r="AI1" i="90"/>
  <c r="AE1" i="90"/>
  <c r="AF1" i="90"/>
  <c r="AJ1" i="90"/>
  <c r="B24" i="90"/>
  <c r="F22" i="90"/>
  <c r="B30" i="90"/>
  <c r="H27" i="90"/>
  <c r="AB1" i="90"/>
  <c r="H22" i="90"/>
  <c r="E41" i="236"/>
  <c r="AJ1" i="283"/>
  <c r="AC1" i="283"/>
  <c r="AI1" i="283"/>
  <c r="AB1" i="283"/>
  <c r="AK1" i="283"/>
  <c r="E41" i="283"/>
  <c r="AG1" i="304"/>
  <c r="AK1" i="30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1A7FDA06-9061-49B8-AC89-6EDD8219271B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5" authorId="0" shapeId="0" xr:uid="{12AA3F7E-8C7B-4868-846D-3E01CE854620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sharedStrings.xml><?xml version="1.0" encoding="utf-8"?>
<sst xmlns="http://schemas.openxmlformats.org/spreadsheetml/2006/main" count="2846" uniqueCount="503">
  <si>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</si>
  <si>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</si>
  <si>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</si>
  <si>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</si>
  <si>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</si>
  <si>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</si>
  <si>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</si>
  <si>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</si>
  <si>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</si>
  <si>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</si>
  <si>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</si>
  <si>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</si>
  <si>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</si>
  <si>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</si>
  <si>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</si>
  <si>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</si>
  <si>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Dátum</t>
  </si>
  <si>
    <t>Keresztnév</t>
  </si>
  <si>
    <t>Kategória</t>
  </si>
  <si>
    <t>Versenybíró</t>
  </si>
  <si>
    <t>Egyesület</t>
  </si>
  <si>
    <t>Versenybíró aláírása</t>
  </si>
  <si>
    <t>Rangsor</t>
  </si>
  <si>
    <t>Dátuma</t>
  </si>
  <si>
    <t>Kiemeltek</t>
  </si>
  <si>
    <t>Utolsó elfogadott játékos</t>
  </si>
  <si>
    <t>Sorsoló játékosok</t>
  </si>
  <si>
    <t>kiem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</si>
  <si>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</si>
  <si>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</si>
  <si>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</si>
  <si>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</si>
  <si>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</si>
  <si>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</si>
  <si>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Döntő</t>
  </si>
  <si>
    <t>Orvos neve:</t>
  </si>
  <si>
    <t>kódszám</t>
  </si>
  <si>
    <t xml:space="preserve">  </t>
  </si>
  <si>
    <t>A</t>
  </si>
  <si>
    <t>B</t>
  </si>
  <si>
    <t>C</t>
  </si>
  <si>
    <t>Vezetéknév</t>
  </si>
  <si>
    <t>Helyezés</t>
  </si>
  <si>
    <t>Pontszám</t>
  </si>
  <si>
    <t>Bónusz</t>
  </si>
  <si>
    <t>D</t>
  </si>
  <si>
    <t>E</t>
  </si>
  <si>
    <t>F</t>
  </si>
  <si>
    <t>3. hely</t>
  </si>
  <si>
    <t>vs.</t>
  </si>
  <si>
    <t>5. hely</t>
  </si>
  <si>
    <t>G</t>
  </si>
  <si>
    <t>1 FORDULÓ</t>
  </si>
  <si>
    <t>A -D</t>
  </si>
  <si>
    <t>C - A</t>
  </si>
  <si>
    <t>D - B</t>
  </si>
  <si>
    <t>A - B</t>
  </si>
  <si>
    <t>C - D</t>
  </si>
  <si>
    <t>B - C</t>
  </si>
  <si>
    <t>2 FORDULÓ</t>
  </si>
  <si>
    <t>3 FORDULÓ</t>
  </si>
  <si>
    <t>B - E</t>
  </si>
  <si>
    <t>E - A</t>
  </si>
  <si>
    <t>A - D</t>
  </si>
  <si>
    <t>D - E</t>
  </si>
  <si>
    <t>E - C</t>
  </si>
  <si>
    <t>4 FORDULÓ</t>
  </si>
  <si>
    <t>5 FORDULÓ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</si>
  <si>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</si>
  <si>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</si>
  <si>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</si>
  <si>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</si>
  <si>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</si>
  <si>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</si>
  <si>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</si>
  <si>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</si>
  <si>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</si>
  <si>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</si>
  <si>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</si>
  <si>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</si>
  <si>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</si>
  <si>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</si>
  <si>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</si>
  <si>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</si>
  <si>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</si>
  <si>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</si>
  <si>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</si>
  <si>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H</t>
  </si>
  <si>
    <t>7. hely</t>
  </si>
  <si>
    <t>E - F</t>
  </si>
  <si>
    <t>F - D</t>
  </si>
  <si>
    <t>D - G</t>
  </si>
  <si>
    <t>G - E</t>
  </si>
  <si>
    <t>F - E</t>
  </si>
  <si>
    <t>F - G</t>
  </si>
  <si>
    <t>E - H</t>
  </si>
  <si>
    <t>H - F</t>
  </si>
  <si>
    <t>G - H</t>
  </si>
  <si>
    <t>Gyenes Imre</t>
  </si>
  <si>
    <t>Kazincbarcika</t>
  </si>
  <si>
    <t>2024.05.02-03.</t>
  </si>
  <si>
    <t>Nevező</t>
  </si>
  <si>
    <t>Korcsoport</t>
  </si>
  <si>
    <t>Kate-gória</t>
  </si>
  <si>
    <t>Iskola</t>
  </si>
  <si>
    <t>Település</t>
  </si>
  <si>
    <t>Testnevelő</t>
  </si>
  <si>
    <t>Felkészítő</t>
  </si>
  <si>
    <t>Bukó Dávid</t>
  </si>
  <si>
    <t>I.kcs Tenisz U8 piros labdával, P+S szabály</t>
  </si>
  <si>
    <t>Kazincbarcikai Pollack Mihály Általános Iskola</t>
  </si>
  <si>
    <t>Siskó Bence</t>
  </si>
  <si>
    <t>Darai Imre</t>
  </si>
  <si>
    <t>Győrfi Dániel</t>
  </si>
  <si>
    <t>Irinyi János Református Oktatási Központ - Óvoda, Általános Iskola, Technikum, Szakgimnázium és Diákotthon</t>
  </si>
  <si>
    <t>Asszony Béla Krisztián</t>
  </si>
  <si>
    <t>Jóna Kende</t>
  </si>
  <si>
    <t>Bodolai Nolen Bálint</t>
  </si>
  <si>
    <t>Diósgyőri Nagy Lajos Király Általános Iskola</t>
  </si>
  <si>
    <t>Miskolc</t>
  </si>
  <si>
    <t>Aczél Ákos</t>
  </si>
  <si>
    <t>Komlósy Nimród</t>
  </si>
  <si>
    <t>II.kcs Tenisz U9 narancs labdával, P+S szabály</t>
  </si>
  <si>
    <t>Berki Bendegúz</t>
  </si>
  <si>
    <t>Berki Benett</t>
  </si>
  <si>
    <t>Jancsurák Gábor</t>
  </si>
  <si>
    <t>Zelenák Ákos Zalán</t>
  </si>
  <si>
    <t>Sándor Levente</t>
  </si>
  <si>
    <t>Czeglédi Dániel Áron</t>
  </si>
  <si>
    <t>Szajkó Richárd Brendon</t>
  </si>
  <si>
    <t>Baumann Bogdán</t>
  </si>
  <si>
    <t>Jókai Mór Református Magyar-Angol Két Tanítási Nyelvű Általános Iskola, Alapfokú Művészeti Iskola és Óvoda</t>
  </si>
  <si>
    <t>Filepkó Richáed</t>
  </si>
  <si>
    <t>Makrai Balázs</t>
  </si>
  <si>
    <t xml:space="preserve">III.kcs Tenisz U11 zöld labdával, P+S szabály </t>
  </si>
  <si>
    <t>Babik Sándor</t>
  </si>
  <si>
    <t>Bencs Benedek</t>
  </si>
  <si>
    <t>Horváth Benedek</t>
  </si>
  <si>
    <t>Dara Imre</t>
  </si>
  <si>
    <t>Csóra Benedek</t>
  </si>
  <si>
    <t>Ábel Bence</t>
  </si>
  <si>
    <t>Nagy Ferenc</t>
  </si>
  <si>
    <t>Perge Botond</t>
  </si>
  <si>
    <t>Telegdi Mátyás</t>
  </si>
  <si>
    <t>Póth Csongor Botond</t>
  </si>
  <si>
    <t>Varsányi Zalán</t>
  </si>
  <si>
    <t>IV.kcs Tenisz U12</t>
  </si>
  <si>
    <t>Soltész Ádám Zente</t>
  </si>
  <si>
    <t>Szaszkó Máté</t>
  </si>
  <si>
    <t>Szilágyi Dávid</t>
  </si>
  <si>
    <t>Mészáros Patrik</t>
  </si>
  <si>
    <t>Pecséri Bence</t>
  </si>
  <si>
    <t>V.kcs Tenisz U14</t>
  </si>
  <si>
    <t>Piros-Neszádeli Gergely</t>
  </si>
  <si>
    <t>Török Benedek</t>
  </si>
  <si>
    <t>Kovács Gergő</t>
  </si>
  <si>
    <t>Szalézi Szent Ferenc Gimnázium</t>
  </si>
  <si>
    <t>Móth Éva</t>
  </si>
  <si>
    <t>Lavotha Áron</t>
  </si>
  <si>
    <t>Fekete György</t>
  </si>
  <si>
    <t>Papp Máté Milán</t>
  </si>
  <si>
    <t>Csubák Levente</t>
  </si>
  <si>
    <t>Avastetői Általános Iskola és Alapfokú Művészeti Iskola</t>
  </si>
  <si>
    <t>Paranai Gábor István</t>
  </si>
  <si>
    <t>Koleszár Regő</t>
  </si>
  <si>
    <t>Diósgyőri Gimnázium</t>
  </si>
  <si>
    <t>Tigyiné Takács Zsuzsanna</t>
  </si>
  <si>
    <t>Ujj Péter</t>
  </si>
  <si>
    <t>Fényi Gyula Jezsuita Gimnázium, Kollégium és Óvoda</t>
  </si>
  <si>
    <t>Gulyás László</t>
  </si>
  <si>
    <t>Bárány Bence</t>
  </si>
  <si>
    <t>VI.kcs Tenisz U16</t>
  </si>
  <si>
    <t>Pál Rajmund</t>
  </si>
  <si>
    <t>Réthy Gábor</t>
  </si>
  <si>
    <t>Kocsis Ádám</t>
  </si>
  <si>
    <t>Kovács Dániel</t>
  </si>
  <si>
    <t>Nagy Ákos</t>
  </si>
  <si>
    <t>Farkas Dániel</t>
  </si>
  <si>
    <t>Orosz Bence Szabolcs</t>
  </si>
  <si>
    <t>Pecsét Tibor</t>
  </si>
  <si>
    <t>Rem Zsolt</t>
  </si>
  <si>
    <t>Miskolci SZC Andrássy Gyula Gépipari Technikum</t>
  </si>
  <si>
    <t>Fodor Tamás Antal</t>
  </si>
  <si>
    <t>Ugrai-Havas Dániel</t>
  </si>
  <si>
    <t>Tiszaújvárosi Eötvös József Gimnázium és Kollégium</t>
  </si>
  <si>
    <t>Tiszaújváros</t>
  </si>
  <si>
    <t>Daragó Tamás</t>
  </si>
  <si>
    <t>Lovász Kende</t>
  </si>
  <si>
    <t>Tiszaújvárosi Széchenyi István Általános Iskola</t>
  </si>
  <si>
    <t>Bene Krisztián</t>
  </si>
  <si>
    <t>Szabó Levente</t>
  </si>
  <si>
    <t>VII.kcs Tenisz U18</t>
  </si>
  <si>
    <t>Kosztyu Róbert</t>
  </si>
  <si>
    <t>Heinrich Hunor Erik</t>
  </si>
  <si>
    <t>Miskolci Herman Ottó Gimnázium</t>
  </si>
  <si>
    <t>Pellei László Attila</t>
  </si>
  <si>
    <t>Tóbiás Balázs</t>
  </si>
  <si>
    <t xml:space="preserve">Kaáli Zétény </t>
  </si>
  <si>
    <t>Kajtor Csaba</t>
  </si>
  <si>
    <t>Csiky Zsombor</t>
  </si>
  <si>
    <t>Makrai Máté</t>
  </si>
  <si>
    <t>Miskolci SZC Bláthy Ottó Villamosipari Technikum</t>
  </si>
  <si>
    <t>Kurucz Tamás</t>
  </si>
  <si>
    <t>Kis-Molnár Ákos</t>
  </si>
  <si>
    <t>VIII.kcs Tenisz U18+</t>
  </si>
  <si>
    <t>Palkó Dominik</t>
  </si>
  <si>
    <t>Maár Martin</t>
  </si>
  <si>
    <t>Mészáros Áron</t>
  </si>
  <si>
    <t>Nagy Balázs</t>
  </si>
  <si>
    <t>Kassai László Balázs</t>
  </si>
  <si>
    <t>Babik Bernadett</t>
  </si>
  <si>
    <t>Szakál Júlia Sára</t>
  </si>
  <si>
    <t>Lévai Lilla</t>
  </si>
  <si>
    <t>Fazekas Utcai Általános Iskola és Alapfokú Művészeti Iskola</t>
  </si>
  <si>
    <t>Jónyer Krisztina</t>
  </si>
  <si>
    <t>Bede Lara</t>
  </si>
  <si>
    <t>Nagy Zóra</t>
  </si>
  <si>
    <t>Váradi Zsófia Lili</t>
  </si>
  <si>
    <t>Domos Eszter</t>
  </si>
  <si>
    <t>Csontos Janka</t>
  </si>
  <si>
    <t>Csáti Linett</t>
  </si>
  <si>
    <t>Andó Amina</t>
  </si>
  <si>
    <t>Bana Alexa Nina</t>
  </si>
  <si>
    <t>Bukó Lora</t>
  </si>
  <si>
    <t>Plachy Patrícia</t>
  </si>
  <si>
    <t>Győrfi Fanni</t>
  </si>
  <si>
    <t>Szakál Veronika</t>
  </si>
  <si>
    <t>Bárány Boglárka</t>
  </si>
  <si>
    <t>Daragó Sarolta Éva</t>
  </si>
  <si>
    <t>Kurecskó Csenge</t>
  </si>
  <si>
    <t>Szakál Eszter</t>
  </si>
  <si>
    <t>Gyöngyösi Rozália</t>
  </si>
  <si>
    <t>Kövér Zille</t>
  </si>
  <si>
    <t>Zavodnyik Zora</t>
  </si>
  <si>
    <t>Czeglédi Panna Lilla</t>
  </si>
  <si>
    <t>Pálfi Loretta Hanna</t>
  </si>
  <si>
    <t>Fekete Lilla</t>
  </si>
  <si>
    <t>Orosz Anna</t>
  </si>
  <si>
    <t>Viszoczky Borbála</t>
  </si>
  <si>
    <t>Dobák Lili</t>
  </si>
  <si>
    <t>Kovács-Varga Alíz</t>
  </si>
  <si>
    <t>Turai Hanna</t>
  </si>
  <si>
    <t>Jánosik Liliána</t>
  </si>
  <si>
    <t>Márton Tünde</t>
  </si>
  <si>
    <t>Porcsalmi Noémi</t>
  </si>
  <si>
    <t>Bede Zsófia</t>
  </si>
  <si>
    <t>Kontor Anna</t>
  </si>
  <si>
    <t>Bobcsák Krisztina</t>
  </si>
  <si>
    <t>Kovács Vivien</t>
  </si>
  <si>
    <t>Dobák Fanni</t>
  </si>
  <si>
    <t>Pásztor Hanna Alexandra</t>
  </si>
  <si>
    <t>Bede Luca</t>
  </si>
  <si>
    <t>Papp-Dudás Renáta</t>
  </si>
  <si>
    <t>Szabó Lili</t>
  </si>
  <si>
    <t>Gulyás Vilma</t>
  </si>
  <si>
    <t>Mihók Kitti Lili</t>
  </si>
  <si>
    <t>Varga Boglárka</t>
  </si>
  <si>
    <t>JÁTÉKREND</t>
  </si>
  <si>
    <t>Előre tervezett</t>
  </si>
  <si>
    <t>Pályára ment</t>
  </si>
  <si>
    <t>vsz</t>
  </si>
  <si>
    <t>pálya</t>
  </si>
  <si>
    <t>eredmény</t>
  </si>
  <si>
    <t>Tenisz Diákolimpia B-A-Z. Vármegyei Döntő</t>
  </si>
  <si>
    <t>P&amp;S piros, narancs, zöld</t>
  </si>
  <si>
    <t>IV.-V.</t>
  </si>
  <si>
    <t>VI.-VII.</t>
  </si>
  <si>
    <t>VIII.</t>
  </si>
  <si>
    <t>Babik</t>
  </si>
  <si>
    <t>Bernadett</t>
  </si>
  <si>
    <t>Szakál</t>
  </si>
  <si>
    <t>Júlia Sára</t>
  </si>
  <si>
    <t>Lévai</t>
  </si>
  <si>
    <t>Lilla</t>
  </si>
  <si>
    <t>Jóna</t>
  </si>
  <si>
    <t>Kende</t>
  </si>
  <si>
    <t xml:space="preserve">Bukó </t>
  </si>
  <si>
    <t>Dávid</t>
  </si>
  <si>
    <t>Bodolai</t>
  </si>
  <si>
    <t>Noel Bálint</t>
  </si>
  <si>
    <t xml:space="preserve">Győrfi </t>
  </si>
  <si>
    <t>Dániel</t>
  </si>
  <si>
    <t>Bede</t>
  </si>
  <si>
    <t>Lara</t>
  </si>
  <si>
    <t>Domos</t>
  </si>
  <si>
    <t>Csontos</t>
  </si>
  <si>
    <t>Nagy</t>
  </si>
  <si>
    <t>Váradi</t>
  </si>
  <si>
    <t>Csáti</t>
  </si>
  <si>
    <t>Linett</t>
  </si>
  <si>
    <t>Zsófia Lili</t>
  </si>
  <si>
    <t>Zora</t>
  </si>
  <si>
    <t>Janka</t>
  </si>
  <si>
    <t>Eszter</t>
  </si>
  <si>
    <t xml:space="preserve">Berki </t>
  </si>
  <si>
    <t>Benett</t>
  </si>
  <si>
    <t>Zelenák</t>
  </si>
  <si>
    <t>Ákos</t>
  </si>
  <si>
    <t>Baumann</t>
  </si>
  <si>
    <t>Bogdán</t>
  </si>
  <si>
    <t>Jancsurák</t>
  </si>
  <si>
    <t>Gábor</t>
  </si>
  <si>
    <t xml:space="preserve">Szajkó </t>
  </si>
  <si>
    <t>Richárd</t>
  </si>
  <si>
    <t>Sándor</t>
  </si>
  <si>
    <t>Berki</t>
  </si>
  <si>
    <t>Bendegúz</t>
  </si>
  <si>
    <t>Levente</t>
  </si>
  <si>
    <t xml:space="preserve">Czeglédi </t>
  </si>
  <si>
    <t>Szajkó</t>
  </si>
  <si>
    <t>Czeglédi</t>
  </si>
  <si>
    <t>Komlóssy</t>
  </si>
  <si>
    <t xml:space="preserve">Komlóssy </t>
  </si>
  <si>
    <t>Nimród</t>
  </si>
  <si>
    <t>Bencs</t>
  </si>
  <si>
    <t>Benedek</t>
  </si>
  <si>
    <t>Ábel</t>
  </si>
  <si>
    <t>Bence</t>
  </si>
  <si>
    <t>Ferenc</t>
  </si>
  <si>
    <t>Telegdi</t>
  </si>
  <si>
    <t>Mátyás</t>
  </si>
  <si>
    <t>Csóra</t>
  </si>
  <si>
    <t>Perge</t>
  </si>
  <si>
    <t>Botond</t>
  </si>
  <si>
    <t>Póth</t>
  </si>
  <si>
    <t>Csongor Botond</t>
  </si>
  <si>
    <t>II.-III.</t>
  </si>
  <si>
    <t>Fanni</t>
  </si>
  <si>
    <t>Győrfi</t>
  </si>
  <si>
    <t>Bana</t>
  </si>
  <si>
    <t>Alexa Nina</t>
  </si>
  <si>
    <t>Bukó</t>
  </si>
  <si>
    <t>Lora</t>
  </si>
  <si>
    <t>Veronika</t>
  </si>
  <si>
    <t>Plachy</t>
  </si>
  <si>
    <t>Patrícia</t>
  </si>
  <si>
    <t>Bárány</t>
  </si>
  <si>
    <t>Boglárka</t>
  </si>
  <si>
    <t>Panna Lilla</t>
  </si>
  <si>
    <t>Kurecskó</t>
  </si>
  <si>
    <t>Csenge</t>
  </si>
  <si>
    <t xml:space="preserve">Pálfi </t>
  </si>
  <si>
    <t>Loretta Hanna</t>
  </si>
  <si>
    <t>Daragó</t>
  </si>
  <si>
    <t>Sarolta</t>
  </si>
  <si>
    <t>Zavodnyik</t>
  </si>
  <si>
    <t>Gyöngyösi</t>
  </si>
  <si>
    <t>Rozália</t>
  </si>
  <si>
    <t>Kövér</t>
  </si>
  <si>
    <t>Zille</t>
  </si>
  <si>
    <t>Soltész</t>
  </si>
  <si>
    <t>Ádám Zente</t>
  </si>
  <si>
    <t>Szilágyi</t>
  </si>
  <si>
    <t>Varsányi</t>
  </si>
  <si>
    <t>Zalán</t>
  </si>
  <si>
    <t>Mészáros</t>
  </si>
  <si>
    <t>Patrik</t>
  </si>
  <si>
    <t>Szaszkó</t>
  </si>
  <si>
    <t>Máté</t>
  </si>
  <si>
    <t>Dobák</t>
  </si>
  <si>
    <t>Lili</t>
  </si>
  <si>
    <t>Jánosik</t>
  </si>
  <si>
    <t>Liliána</t>
  </si>
  <si>
    <t>Kovács-Varga</t>
  </si>
  <si>
    <t>Alíz</t>
  </si>
  <si>
    <t>Porcsalmi</t>
  </si>
  <si>
    <t>Noémi</t>
  </si>
  <si>
    <t>Fekete</t>
  </si>
  <si>
    <t>Turai</t>
  </si>
  <si>
    <t>Hanna</t>
  </si>
  <si>
    <t>Viszóczky</t>
  </si>
  <si>
    <t>Borbála</t>
  </si>
  <si>
    <t>Orosz</t>
  </si>
  <si>
    <t>Anna</t>
  </si>
  <si>
    <t>CU</t>
  </si>
  <si>
    <t>St.</t>
  </si>
  <si>
    <t>kód</t>
  </si>
  <si>
    <t>Kiem</t>
  </si>
  <si>
    <t>Családi név</t>
  </si>
  <si>
    <t>2. forduló</t>
  </si>
  <si>
    <t>Elődöntők</t>
  </si>
  <si>
    <t>Győztes</t>
  </si>
  <si>
    <t>Umpire</t>
  </si>
  <si>
    <t>Ujj</t>
  </si>
  <si>
    <t>Török</t>
  </si>
  <si>
    <t>Kovács</t>
  </si>
  <si>
    <t xml:space="preserve"> </t>
  </si>
  <si>
    <t>Zsófia</t>
  </si>
  <si>
    <t>Kontor</t>
  </si>
  <si>
    <t xml:space="preserve">Rem </t>
  </si>
  <si>
    <t>Zsolt</t>
  </si>
  <si>
    <t>Lovász</t>
  </si>
  <si>
    <t>Ugrai Havas Dániel</t>
  </si>
  <si>
    <t>Szabó</t>
  </si>
  <si>
    <t>Vivien</t>
  </si>
  <si>
    <t xml:space="preserve">Pásztor </t>
  </si>
  <si>
    <t>Hanna Alexandra</t>
  </si>
  <si>
    <t>Gulyás</t>
  </si>
  <si>
    <t>Vilma</t>
  </si>
  <si>
    <t>Makrai</t>
  </si>
  <si>
    <t>Kaáli</t>
  </si>
  <si>
    <t>Zétény</t>
  </si>
  <si>
    <t>Heinrich</t>
  </si>
  <si>
    <t>Hunor Erik</t>
  </si>
  <si>
    <t>Kosztyu</t>
  </si>
  <si>
    <t>Róbert</t>
  </si>
  <si>
    <t xml:space="preserve">Csiky </t>
  </si>
  <si>
    <t>Zsombor</t>
  </si>
  <si>
    <t>Mihók</t>
  </si>
  <si>
    <t>Kitti Lili</t>
  </si>
  <si>
    <t>Varga</t>
  </si>
  <si>
    <t>Kis-Molnár</t>
  </si>
  <si>
    <t>Kiss-Molnár</t>
  </si>
  <si>
    <t>Dominik</t>
  </si>
  <si>
    <t>Palkó</t>
  </si>
  <si>
    <t>Balázs</t>
  </si>
  <si>
    <t>8:45- ünnepélyes megnyitó</t>
  </si>
  <si>
    <t>9:00</t>
  </si>
  <si>
    <t>I.B FIÚ</t>
  </si>
  <si>
    <t>I.B LÁNY</t>
  </si>
  <si>
    <t>II.B LÁNY</t>
  </si>
  <si>
    <t>9:15</t>
  </si>
  <si>
    <t>III.B FIÚ</t>
  </si>
  <si>
    <t xml:space="preserve">Lévai </t>
  </si>
  <si>
    <t xml:space="preserve">Csáti </t>
  </si>
  <si>
    <t xml:space="preserve">Nagy </t>
  </si>
  <si>
    <t>-</t>
  </si>
  <si>
    <t>3.helyért</t>
  </si>
  <si>
    <t>5.helyért</t>
  </si>
  <si>
    <t>Telegdy</t>
  </si>
  <si>
    <t>Komlósy</t>
  </si>
  <si>
    <t>9:30</t>
  </si>
  <si>
    <t>9:45</t>
  </si>
  <si>
    <t>10:00</t>
  </si>
  <si>
    <t>10:20</t>
  </si>
  <si>
    <t>10:40</t>
  </si>
  <si>
    <t>II.B FIÚ</t>
  </si>
  <si>
    <t>F - I</t>
  </si>
  <si>
    <t>I - E</t>
  </si>
  <si>
    <t>H - I</t>
  </si>
  <si>
    <t>I - G</t>
  </si>
  <si>
    <t>11:00</t>
  </si>
  <si>
    <t>3.hely</t>
  </si>
  <si>
    <t>5.hely</t>
  </si>
  <si>
    <t>7.hely</t>
  </si>
  <si>
    <t>Kovács V. A.</t>
  </si>
  <si>
    <t>III.B LÁNY</t>
  </si>
  <si>
    <t>VI.B LÁNY</t>
  </si>
  <si>
    <t>V.B LÁNY</t>
  </si>
  <si>
    <t>11:20</t>
  </si>
  <si>
    <t>11:40</t>
  </si>
  <si>
    <t>12:00</t>
  </si>
  <si>
    <t>12:20</t>
  </si>
  <si>
    <t>12:40</t>
  </si>
  <si>
    <t>13:00</t>
  </si>
  <si>
    <t>IV.B LÁNY</t>
  </si>
  <si>
    <t>VII.B LÁNY</t>
  </si>
  <si>
    <t>Kovács-V. A.</t>
  </si>
  <si>
    <t>Berki B.</t>
  </si>
  <si>
    <t>Kovács V.</t>
  </si>
  <si>
    <t>Pásztor</t>
  </si>
  <si>
    <t>13:20</t>
  </si>
  <si>
    <t>13:40</t>
  </si>
  <si>
    <t>V.A LÁNY</t>
  </si>
  <si>
    <t>VII.B FIÚ</t>
  </si>
  <si>
    <t>VIII.B FIÚ</t>
  </si>
  <si>
    <t>IV.A LÁNY</t>
  </si>
  <si>
    <t>Pálfi</t>
  </si>
  <si>
    <t>Nagy B.</t>
  </si>
  <si>
    <t>Csíky</t>
  </si>
  <si>
    <t>Szabó L.</t>
  </si>
  <si>
    <t xml:space="preserve">Dobák </t>
  </si>
  <si>
    <t>VIII.B LÁNY</t>
  </si>
  <si>
    <t>Varga B.</t>
  </si>
  <si>
    <t>Rem</t>
  </si>
  <si>
    <t>Réthy</t>
  </si>
  <si>
    <t>Kocsis</t>
  </si>
  <si>
    <t>Lavotha</t>
  </si>
  <si>
    <t>Pecséri</t>
  </si>
  <si>
    <t>Farkas</t>
  </si>
  <si>
    <t>Pál</t>
  </si>
  <si>
    <t>Ugrai</t>
  </si>
  <si>
    <t>Kovács D.</t>
  </si>
  <si>
    <t>Papp M.</t>
  </si>
  <si>
    <t>Piros-N.</t>
  </si>
  <si>
    <t>Csubák L.</t>
  </si>
  <si>
    <t>VI.A FIÚ</t>
  </si>
  <si>
    <t>VI.B FIÚ</t>
  </si>
  <si>
    <t>V.B FIÚ</t>
  </si>
  <si>
    <t>10:30</t>
  </si>
  <si>
    <t>Elődöntő</t>
  </si>
  <si>
    <t>Vigaszág</t>
  </si>
  <si>
    <t>11:30</t>
  </si>
  <si>
    <t>2024.05.02. CSÜTÖRTÖK</t>
  </si>
  <si>
    <t>2024.05.03. PÉNTEK</t>
  </si>
  <si>
    <t>IV.B FIÚ</t>
  </si>
  <si>
    <t>12:30</t>
  </si>
  <si>
    <t>13:30</t>
  </si>
  <si>
    <t>14:00</t>
  </si>
  <si>
    <t>Szabó József, Darai Imre</t>
  </si>
  <si>
    <t>P&amp;S PIROS</t>
  </si>
  <si>
    <t>P&amp;S NARANCS</t>
  </si>
  <si>
    <t>P&amp;S ZÖLD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</si>
</sst>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79" x14ac:knownFonts="1">
    <font>
      <sz val="10"/>
      <name val="Arial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7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sz val="7"/>
      <color indexed="9"/>
      <name val="Arial"/>
      <family val="2"/>
    </font>
    <font>
      <b/>
      <sz val="8"/>
      <color indexed="9"/>
      <name val="Arial"/>
      <family val="2"/>
    </font>
    <font>
      <i/>
      <sz val="6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8.5"/>
      <name val="Arial"/>
      <family val="2"/>
      <charset val="238"/>
    </font>
    <font>
      <sz val="10"/>
      <name val="Arial"/>
      <family val="2"/>
      <charset val="238"/>
    </font>
    <font>
      <b/>
      <sz val="8.5"/>
      <name val="Arial"/>
      <family val="2"/>
      <charset val="238"/>
    </font>
    <font>
      <sz val="9"/>
      <name val="Arial"/>
      <family val="2"/>
      <charset val="238"/>
    </font>
    <font>
      <sz val="10"/>
      <color indexed="41"/>
      <name val="Arial"/>
      <family val="2"/>
      <charset val="238"/>
    </font>
    <font>
      <b/>
      <sz val="10"/>
      <color indexed="41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b/>
      <sz val="12"/>
      <name val="Calibri"/>
      <family val="2"/>
      <charset val="238"/>
    </font>
    <font>
      <sz val="12"/>
      <name val="Arial"/>
      <family val="2"/>
      <charset val="238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8.5"/>
      <name val="Arial"/>
      <family val="2"/>
    </font>
    <font>
      <sz val="8.5"/>
      <color indexed="42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sz val="8.5"/>
      <color indexed="9"/>
      <name val="Arial"/>
      <family val="2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7"/>
      <color rgb="FFFF0000"/>
      <name val="Arial"/>
      <family val="2"/>
    </font>
    <font>
      <b/>
      <sz val="8.5"/>
      <color indexed="8"/>
      <name val="Arial"/>
      <family val="2"/>
    </font>
    <font>
      <sz val="10"/>
      <color indexed="8"/>
      <name val="Arial"/>
      <family val="2"/>
    </font>
    <font>
      <b/>
      <sz val="8.5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b/>
      <sz val="8"/>
      <color indexed="8"/>
      <name val="Tahoma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44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Continuous" vertical="center"/>
    </xf>
    <xf numFmtId="0" fontId="6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8" fillId="4" borderId="1" xfId="0" applyFont="1" applyFill="1" applyBorder="1" applyAlignment="1">
      <alignment horizontal="centerContinuous" vertical="center"/>
    </xf>
    <xf numFmtId="0" fontId="8" fillId="4" borderId="2" xfId="0" applyFont="1" applyFill="1" applyBorder="1" applyAlignment="1">
      <alignment horizontal="centerContinuous" vertical="center"/>
    </xf>
    <xf numFmtId="0" fontId="8" fillId="4" borderId="3" xfId="0" applyFont="1" applyFill="1" applyBorder="1" applyAlignment="1">
      <alignment horizontal="centerContinuous" vertical="center"/>
    </xf>
    <xf numFmtId="0" fontId="9" fillId="0" borderId="0" xfId="0" applyFont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49" fontId="12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right" vertical="center"/>
    </xf>
    <xf numFmtId="14" fontId="16" fillId="4" borderId="5" xfId="0" applyNumberFormat="1" applyFont="1" applyFill="1" applyBorder="1" applyAlignment="1">
      <alignment horizontal="left" vertical="center"/>
    </xf>
    <xf numFmtId="49" fontId="16" fillId="2" borderId="0" xfId="0" applyNumberFormat="1" applyFont="1" applyFill="1" applyAlignment="1">
      <alignment vertical="center"/>
    </xf>
    <xf numFmtId="49" fontId="16" fillId="4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9" fillId="2" borderId="0" xfId="0" applyFont="1" applyFill="1"/>
    <xf numFmtId="0" fontId="19" fillId="2" borderId="0" xfId="1" applyFont="1" applyFill="1"/>
    <xf numFmtId="0" fontId="0" fillId="0" borderId="0" xfId="0" applyAlignment="1">
      <alignment horizontal="center"/>
    </xf>
    <xf numFmtId="49" fontId="21" fillId="2" borderId="0" xfId="0" applyNumberFormat="1" applyFont="1" applyFill="1" applyAlignment="1">
      <alignment vertical="center"/>
    </xf>
    <xf numFmtId="49" fontId="22" fillId="2" borderId="0" xfId="0" applyNumberFormat="1" applyFont="1" applyFill="1" applyAlignment="1">
      <alignment horizontal="right" vertical="center"/>
    </xf>
    <xf numFmtId="49" fontId="9" fillId="5" borderId="0" xfId="0" applyNumberFormat="1" applyFont="1" applyFill="1" applyAlignment="1">
      <alignment vertical="center"/>
    </xf>
    <xf numFmtId="49" fontId="9" fillId="5" borderId="8" xfId="0" applyNumberFormat="1" applyFont="1" applyFill="1" applyBorder="1" applyAlignment="1">
      <alignment vertical="center"/>
    </xf>
    <xf numFmtId="0" fontId="9" fillId="5" borderId="0" xfId="0" applyFont="1" applyFill="1" applyAlignment="1">
      <alignment vertical="center"/>
    </xf>
    <xf numFmtId="49" fontId="18" fillId="0" borderId="0" xfId="0" applyNumberFormat="1" applyFont="1"/>
    <xf numFmtId="49" fontId="5" fillId="0" borderId="0" xfId="0" applyNumberFormat="1" applyFont="1" applyAlignment="1">
      <alignment vertical="top"/>
    </xf>
    <xf numFmtId="49" fontId="24" fillId="0" borderId="0" xfId="0" applyNumberFormat="1" applyFont="1" applyAlignment="1">
      <alignment vertical="top"/>
    </xf>
    <xf numFmtId="49" fontId="15" fillId="0" borderId="0" xfId="0" applyNumberFormat="1" applyFont="1"/>
    <xf numFmtId="49" fontId="27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horizontal="right" vertical="center"/>
    </xf>
    <xf numFmtId="0" fontId="23" fillId="2" borderId="11" xfId="0" applyFont="1" applyFill="1" applyBorder="1" applyAlignment="1">
      <alignment vertical="center"/>
    </xf>
    <xf numFmtId="0" fontId="23" fillId="2" borderId="12" xfId="0" applyFont="1" applyFill="1" applyBorder="1" applyAlignment="1">
      <alignment vertical="center"/>
    </xf>
    <xf numFmtId="49" fontId="9" fillId="0" borderId="0" xfId="0" applyNumberFormat="1" applyFont="1" applyAlignment="1">
      <alignment vertical="center"/>
    </xf>
    <xf numFmtId="49" fontId="30" fillId="0" borderId="0" xfId="0" applyNumberFormat="1" applyFont="1" applyAlignment="1">
      <alignment vertical="center"/>
    </xf>
    <xf numFmtId="0" fontId="9" fillId="2" borderId="14" xfId="0" applyFont="1" applyFill="1" applyBorder="1" applyAlignment="1">
      <alignment vertical="center"/>
    </xf>
    <xf numFmtId="49" fontId="9" fillId="2" borderId="8" xfId="0" applyNumberFormat="1" applyFont="1" applyFill="1" applyBorder="1" applyAlignment="1">
      <alignment horizontal="right" vertical="center"/>
    </xf>
    <xf numFmtId="0" fontId="9" fillId="5" borderId="7" xfId="0" applyFont="1" applyFill="1" applyBorder="1" applyAlignment="1">
      <alignment vertical="center"/>
    </xf>
    <xf numFmtId="49" fontId="9" fillId="5" borderId="9" xfId="0" applyNumberFormat="1" applyFont="1" applyFill="1" applyBorder="1" applyAlignment="1">
      <alignment vertical="center"/>
    </xf>
    <xf numFmtId="0" fontId="0" fillId="5" borderId="0" xfId="0" applyFill="1" applyAlignment="1">
      <alignment horizontal="center" vertical="center"/>
    </xf>
    <xf numFmtId="49" fontId="9" fillId="5" borderId="7" xfId="0" applyNumberFormat="1" applyFont="1" applyFill="1" applyBorder="1" applyAlignment="1">
      <alignment vertical="center"/>
    </xf>
    <xf numFmtId="49" fontId="23" fillId="2" borderId="16" xfId="0" applyNumberFormat="1" applyFont="1" applyFill="1" applyBorder="1" applyAlignment="1">
      <alignment horizontal="left" vertical="center"/>
    </xf>
    <xf numFmtId="49" fontId="34" fillId="2" borderId="16" xfId="0" applyNumberFormat="1" applyFont="1" applyFill="1" applyBorder="1" applyAlignment="1">
      <alignment vertical="center"/>
    </xf>
    <xf numFmtId="49" fontId="9" fillId="2" borderId="7" xfId="0" applyNumberFormat="1" applyFont="1" applyFill="1" applyBorder="1" applyAlignment="1">
      <alignment vertical="center"/>
    </xf>
    <xf numFmtId="0" fontId="23" fillId="2" borderId="14" xfId="0" applyFont="1" applyFill="1" applyBorder="1" applyAlignment="1">
      <alignment vertical="center"/>
    </xf>
    <xf numFmtId="49" fontId="9" fillId="2" borderId="14" xfId="0" applyNumberFormat="1" applyFont="1" applyFill="1" applyBorder="1" applyAlignment="1">
      <alignment vertical="center"/>
    </xf>
    <xf numFmtId="49" fontId="9" fillId="2" borderId="17" xfId="0" applyNumberFormat="1" applyFont="1" applyFill="1" applyBorder="1" applyAlignment="1">
      <alignment vertical="center"/>
    </xf>
    <xf numFmtId="0" fontId="36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9" fillId="2" borderId="8" xfId="0" applyFont="1" applyFill="1" applyBorder="1" applyAlignment="1">
      <alignment horizontal="right" vertical="center"/>
    </xf>
    <xf numFmtId="0" fontId="9" fillId="2" borderId="9" xfId="0" applyFont="1" applyFill="1" applyBorder="1" applyAlignment="1">
      <alignment horizontal="right" vertical="center"/>
    </xf>
    <xf numFmtId="49" fontId="9" fillId="2" borderId="15" xfId="0" applyNumberFormat="1" applyFont="1" applyFill="1" applyBorder="1" applyAlignment="1">
      <alignment vertical="center"/>
    </xf>
    <xf numFmtId="49" fontId="9" fillId="2" borderId="16" xfId="0" applyNumberFormat="1" applyFont="1" applyFill="1" applyBorder="1" applyAlignment="1">
      <alignment vertical="center"/>
    </xf>
    <xf numFmtId="49" fontId="9" fillId="2" borderId="10" xfId="0" applyNumberFormat="1" applyFont="1" applyFill="1" applyBorder="1" applyAlignment="1">
      <alignment horizontal="right" vertical="center"/>
    </xf>
    <xf numFmtId="0" fontId="23" fillId="2" borderId="0" xfId="0" applyFont="1" applyFill="1" applyAlignment="1">
      <alignment vertical="center"/>
    </xf>
    <xf numFmtId="49" fontId="38" fillId="2" borderId="4" xfId="0" applyNumberFormat="1" applyFont="1" applyFill="1" applyBorder="1" applyAlignment="1">
      <alignment vertical="center"/>
    </xf>
    <xf numFmtId="49" fontId="38" fillId="2" borderId="0" xfId="0" applyNumberFormat="1" applyFont="1" applyFill="1" applyAlignment="1">
      <alignment vertical="center"/>
    </xf>
    <xf numFmtId="49" fontId="39" fillId="2" borderId="0" xfId="0" applyNumberFormat="1" applyFont="1" applyFill="1" applyAlignment="1">
      <alignment horizontal="left" vertical="center"/>
    </xf>
    <xf numFmtId="0" fontId="23" fillId="2" borderId="8" xfId="0" applyFont="1" applyFill="1" applyBorder="1" applyAlignment="1">
      <alignment vertical="center"/>
    </xf>
    <xf numFmtId="0" fontId="23" fillId="2" borderId="13" xfId="0" applyFont="1" applyFill="1" applyBorder="1" applyAlignment="1">
      <alignment vertical="center"/>
    </xf>
    <xf numFmtId="0" fontId="38" fillId="2" borderId="0" xfId="0" applyFont="1" applyFill="1"/>
    <xf numFmtId="0" fontId="13" fillId="4" borderId="5" xfId="0" applyFont="1" applyFill="1" applyBorder="1" applyAlignment="1">
      <alignment horizontal="left" vertical="center"/>
    </xf>
    <xf numFmtId="0" fontId="18" fillId="4" borderId="5" xfId="0" applyFont="1" applyFill="1" applyBorder="1" applyAlignment="1">
      <alignment vertical="center"/>
    </xf>
    <xf numFmtId="49" fontId="5" fillId="5" borderId="0" xfId="0" applyNumberFormat="1" applyFont="1" applyFill="1" applyAlignment="1">
      <alignment vertical="top"/>
    </xf>
    <xf numFmtId="49" fontId="37" fillId="5" borderId="0" xfId="0" applyNumberFormat="1" applyFont="1" applyFill="1" applyAlignment="1">
      <alignment vertical="top"/>
    </xf>
    <xf numFmtId="49" fontId="24" fillId="5" borderId="0" xfId="0" applyNumberFormat="1" applyFont="1" applyFill="1" applyAlignment="1">
      <alignment vertical="top"/>
    </xf>
    <xf numFmtId="49" fontId="29" fillId="5" borderId="0" xfId="0" applyNumberFormat="1" applyFont="1" applyFill="1" applyAlignment="1">
      <alignment horizontal="center"/>
    </xf>
    <xf numFmtId="49" fontId="29" fillId="5" borderId="0" xfId="0" applyNumberFormat="1" applyFont="1" applyFill="1" applyAlignment="1">
      <alignment horizontal="left"/>
    </xf>
    <xf numFmtId="49" fontId="14" fillId="5" borderId="0" xfId="0" applyNumberFormat="1" applyFont="1" applyFill="1" applyAlignment="1">
      <alignment horizontal="left"/>
    </xf>
    <xf numFmtId="0" fontId="40" fillId="5" borderId="0" xfId="0" applyFont="1" applyFill="1"/>
    <xf numFmtId="49" fontId="13" fillId="5" borderId="0" xfId="0" applyNumberFormat="1" applyFont="1" applyFill="1" applyAlignment="1">
      <alignment horizontal="left"/>
    </xf>
    <xf numFmtId="49" fontId="25" fillId="5" borderId="0" xfId="0" applyNumberFormat="1" applyFont="1" applyFill="1"/>
    <xf numFmtId="49" fontId="18" fillId="5" borderId="0" xfId="0" applyNumberFormat="1" applyFont="1" applyFill="1"/>
    <xf numFmtId="49" fontId="15" fillId="5" borderId="0" xfId="0" applyNumberFormat="1" applyFont="1" applyFill="1"/>
    <xf numFmtId="14" fontId="16" fillId="5" borderId="6" xfId="0" applyNumberFormat="1" applyFont="1" applyFill="1" applyBorder="1" applyAlignment="1">
      <alignment horizontal="left" vertical="center"/>
    </xf>
    <xf numFmtId="49" fontId="16" fillId="5" borderId="6" xfId="0" applyNumberFormat="1" applyFont="1" applyFill="1" applyBorder="1" applyAlignment="1">
      <alignment vertical="center"/>
    </xf>
    <xf numFmtId="49" fontId="31" fillId="5" borderId="6" xfId="0" applyNumberFormat="1" applyFont="1" applyFill="1" applyBorder="1" applyAlignment="1">
      <alignment vertical="center"/>
    </xf>
    <xf numFmtId="49" fontId="16" fillId="5" borderId="6" xfId="2" applyNumberFormat="1" applyFont="1" applyFill="1" applyBorder="1" applyAlignment="1" applyProtection="1">
      <alignment vertical="center"/>
      <protection locked="0"/>
    </xf>
    <xf numFmtId="49" fontId="17" fillId="5" borderId="6" xfId="0" applyNumberFormat="1" applyFont="1" applyFill="1" applyBorder="1" applyAlignment="1">
      <alignment horizontal="right" vertical="center"/>
    </xf>
    <xf numFmtId="0" fontId="0" fillId="5" borderId="7" xfId="0" applyFill="1" applyBorder="1"/>
    <xf numFmtId="0" fontId="0" fillId="5" borderId="0" xfId="0" applyFill="1"/>
    <xf numFmtId="49" fontId="30" fillId="5" borderId="0" xfId="0" applyNumberFormat="1" applyFont="1" applyFill="1" applyAlignment="1">
      <alignment vertical="center"/>
    </xf>
    <xf numFmtId="49" fontId="23" fillId="5" borderId="15" xfId="0" applyNumberFormat="1" applyFont="1" applyFill="1" applyBorder="1" applyAlignment="1">
      <alignment vertical="center"/>
    </xf>
    <xf numFmtId="49" fontId="30" fillId="5" borderId="7" xfId="0" applyNumberFormat="1" applyFont="1" applyFill="1" applyBorder="1" applyAlignment="1">
      <alignment vertical="center"/>
    </xf>
    <xf numFmtId="49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horizontal="right" vertical="center"/>
    </xf>
    <xf numFmtId="49" fontId="9" fillId="5" borderId="17" xfId="0" applyNumberFormat="1" applyFont="1" applyFill="1" applyBorder="1" applyAlignment="1">
      <alignment vertical="center"/>
    </xf>
    <xf numFmtId="49" fontId="9" fillId="5" borderId="9" xfId="0" applyNumberFormat="1" applyFont="1" applyFill="1" applyBorder="1" applyAlignment="1">
      <alignment horizontal="right" vertical="center"/>
    </xf>
    <xf numFmtId="0" fontId="42" fillId="5" borderId="7" xfId="0" applyFont="1" applyFill="1" applyBorder="1" applyAlignment="1">
      <alignment vertical="center"/>
    </xf>
    <xf numFmtId="0" fontId="44" fillId="5" borderId="7" xfId="0" applyFont="1" applyFill="1" applyBorder="1" applyAlignment="1">
      <alignment vertical="center"/>
    </xf>
    <xf numFmtId="0" fontId="1" fillId="2" borderId="0" xfId="0" applyFont="1" applyFill="1"/>
    <xf numFmtId="0" fontId="41" fillId="5" borderId="7" xfId="0" applyFont="1" applyFill="1" applyBorder="1"/>
    <xf numFmtId="0" fontId="42" fillId="5" borderId="7" xfId="0" applyFont="1" applyFill="1" applyBorder="1" applyAlignment="1">
      <alignment horizontal="center" vertical="center" shrinkToFit="1"/>
    </xf>
    <xf numFmtId="0" fontId="43" fillId="5" borderId="7" xfId="0" applyFont="1" applyFill="1" applyBorder="1"/>
    <xf numFmtId="49" fontId="21" fillId="0" borderId="0" xfId="0" applyNumberFormat="1" applyFont="1" applyAlignment="1">
      <alignment vertical="center"/>
    </xf>
    <xf numFmtId="49" fontId="27" fillId="0" borderId="0" xfId="0" applyNumberFormat="1" applyFont="1" applyAlignment="1">
      <alignment vertical="center"/>
    </xf>
    <xf numFmtId="49" fontId="22" fillId="0" borderId="0" xfId="0" applyNumberFormat="1" applyFont="1" applyAlignment="1">
      <alignment horizontal="right" vertical="center"/>
    </xf>
    <xf numFmtId="49" fontId="31" fillId="0" borderId="0" xfId="0" applyNumberFormat="1" applyFont="1" applyAlignment="1">
      <alignment vertical="center"/>
    </xf>
    <xf numFmtId="49" fontId="16" fillId="0" borderId="0" xfId="0" applyNumberFormat="1" applyFont="1" applyAlignment="1">
      <alignment vertical="center"/>
    </xf>
    <xf numFmtId="0" fontId="0" fillId="5" borderId="0" xfId="0" applyFill="1" applyAlignment="1">
      <alignment horizontal="center"/>
    </xf>
    <xf numFmtId="0" fontId="43" fillId="5" borderId="0" xfId="0" applyFont="1" applyFill="1"/>
    <xf numFmtId="49" fontId="23" fillId="0" borderId="0" xfId="0" applyNumberFormat="1" applyFont="1" applyAlignment="1">
      <alignment horizontal="left" vertical="center"/>
    </xf>
    <xf numFmtId="49" fontId="34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32" fillId="0" borderId="0" xfId="0" applyFont="1" applyAlignment="1">
      <alignment horizontal="right" vertical="center"/>
    </xf>
    <xf numFmtId="49" fontId="33" fillId="2" borderId="16" xfId="0" applyNumberFormat="1" applyFont="1" applyFill="1" applyBorder="1" applyAlignment="1">
      <alignment horizontal="center" vertical="center"/>
    </xf>
    <xf numFmtId="49" fontId="33" fillId="2" borderId="16" xfId="0" applyNumberFormat="1" applyFont="1" applyFill="1" applyBorder="1" applyAlignment="1">
      <alignment vertical="center"/>
    </xf>
    <xf numFmtId="49" fontId="9" fillId="5" borderId="15" xfId="0" applyNumberFormat="1" applyFont="1" applyFill="1" applyBorder="1" applyAlignment="1">
      <alignment horizontal="center" vertical="center"/>
    </xf>
    <xf numFmtId="49" fontId="30" fillId="5" borderId="16" xfId="0" applyNumberFormat="1" applyFont="1" applyFill="1" applyBorder="1" applyAlignment="1">
      <alignment vertical="center"/>
    </xf>
    <xf numFmtId="0" fontId="0" fillId="5" borderId="10" xfId="0" applyFill="1" applyBorder="1"/>
    <xf numFmtId="49" fontId="9" fillId="5" borderId="14" xfId="0" applyNumberFormat="1" applyFont="1" applyFill="1" applyBorder="1" applyAlignment="1">
      <alignment horizontal="center" vertical="center"/>
    </xf>
    <xf numFmtId="0" fontId="0" fillId="5" borderId="8" xfId="0" applyFill="1" applyBorder="1"/>
    <xf numFmtId="49" fontId="9" fillId="5" borderId="17" xfId="0" applyNumberFormat="1" applyFont="1" applyFill="1" applyBorder="1" applyAlignment="1">
      <alignment horizontal="center" vertical="center"/>
    </xf>
    <xf numFmtId="0" fontId="0" fillId="5" borderId="9" xfId="0" applyFill="1" applyBorder="1"/>
    <xf numFmtId="49" fontId="28" fillId="5" borderId="15" xfId="0" applyNumberFormat="1" applyFont="1" applyFill="1" applyBorder="1" applyAlignment="1">
      <alignment horizontal="center" vertical="center"/>
    </xf>
    <xf numFmtId="49" fontId="9" fillId="5" borderId="10" xfId="0" applyNumberFormat="1" applyFont="1" applyFill="1" applyBorder="1" applyAlignment="1">
      <alignment vertical="center"/>
    </xf>
    <xf numFmtId="49" fontId="28" fillId="5" borderId="14" xfId="0" applyNumberFormat="1" applyFont="1" applyFill="1" applyBorder="1" applyAlignment="1">
      <alignment horizontal="center" vertical="center"/>
    </xf>
    <xf numFmtId="49" fontId="28" fillId="5" borderId="17" xfId="0" applyNumberFormat="1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0" fontId="0" fillId="2" borderId="12" xfId="0" applyFill="1" applyBorder="1"/>
    <xf numFmtId="0" fontId="0" fillId="5" borderId="16" xfId="0" applyFill="1" applyBorder="1"/>
    <xf numFmtId="0" fontId="1" fillId="5" borderId="0" xfId="0" applyFont="1" applyFill="1"/>
    <xf numFmtId="0" fontId="45" fillId="2" borderId="0" xfId="0" applyFont="1" applyFill="1" applyAlignment="1">
      <alignment horizontal="center" shrinkToFit="1"/>
    </xf>
    <xf numFmtId="0" fontId="46" fillId="6" borderId="0" xfId="0" applyFont="1" applyFill="1"/>
    <xf numFmtId="0" fontId="46" fillId="5" borderId="0" xfId="0" applyFont="1" applyFill="1"/>
    <xf numFmtId="0" fontId="43" fillId="5" borderId="7" xfId="0" applyFont="1" applyFill="1" applyBorder="1" applyAlignment="1">
      <alignment horizontal="center" vertical="center" shrinkToFit="1"/>
    </xf>
    <xf numFmtId="0" fontId="43" fillId="5" borderId="7" xfId="0" applyFont="1" applyFill="1" applyBorder="1" applyAlignment="1">
      <alignment vertical="center" shrinkToFit="1"/>
    </xf>
    <xf numFmtId="0" fontId="43" fillId="5" borderId="0" xfId="0" applyFont="1" applyFill="1" applyAlignment="1">
      <alignment shrinkToFit="1"/>
    </xf>
    <xf numFmtId="0" fontId="0" fillId="5" borderId="5" xfId="0" applyFill="1" applyBorder="1" applyAlignment="1">
      <alignment horizontal="center" vertical="center"/>
    </xf>
    <xf numFmtId="0" fontId="41" fillId="5" borderId="0" xfId="0" applyFont="1" applyFill="1" applyAlignment="1">
      <alignment horizontal="center"/>
    </xf>
    <xf numFmtId="0" fontId="0" fillId="5" borderId="5" xfId="0" applyFill="1" applyBorder="1"/>
    <xf numFmtId="0" fontId="41" fillId="6" borderId="5" xfId="0" applyFont="1" applyFill="1" applyBorder="1" applyAlignment="1">
      <alignment horizontal="center" vertical="center"/>
    </xf>
    <xf numFmtId="0" fontId="43" fillId="5" borderId="0" xfId="0" applyFont="1" applyFill="1" applyAlignment="1">
      <alignment horizontal="center" vertical="center"/>
    </xf>
    <xf numFmtId="0" fontId="0" fillId="5" borderId="0" xfId="0" applyFill="1" applyAlignment="1">
      <alignment horizontal="right" vertical="center" shrinkToFit="1"/>
    </xf>
    <xf numFmtId="0" fontId="41" fillId="5" borderId="0" xfId="0" applyFont="1" applyFill="1" applyAlignment="1">
      <alignment horizontal="center" vertical="center"/>
    </xf>
    <xf numFmtId="49" fontId="18" fillId="3" borderId="0" xfId="0" applyNumberFormat="1" applyFont="1" applyFill="1"/>
    <xf numFmtId="0" fontId="0" fillId="3" borderId="0" xfId="0" applyFill="1" applyAlignment="1">
      <alignment horizontal="center"/>
    </xf>
    <xf numFmtId="49" fontId="18" fillId="4" borderId="0" xfId="0" applyNumberFormat="1" applyFont="1" applyFill="1"/>
    <xf numFmtId="0" fontId="0" fillId="4" borderId="0" xfId="0" applyFill="1" applyAlignment="1">
      <alignment horizontal="center"/>
    </xf>
    <xf numFmtId="49" fontId="18" fillId="7" borderId="0" xfId="0" applyNumberFormat="1" applyFont="1" applyFill="1"/>
    <xf numFmtId="0" fontId="0" fillId="7" borderId="0" xfId="0" applyFill="1" applyAlignment="1">
      <alignment horizontal="center"/>
    </xf>
    <xf numFmtId="0" fontId="41" fillId="6" borderId="0" xfId="0" applyFont="1" applyFill="1" applyAlignment="1">
      <alignment horizontal="center"/>
    </xf>
    <xf numFmtId="0" fontId="47" fillId="5" borderId="0" xfId="0" applyFont="1" applyFill="1" applyAlignment="1">
      <alignment horizontal="center"/>
    </xf>
    <xf numFmtId="0" fontId="47" fillId="6" borderId="0" xfId="0" applyFont="1" applyFill="1" applyAlignment="1">
      <alignment horizontal="center"/>
    </xf>
    <xf numFmtId="0" fontId="3" fillId="2" borderId="0" xfId="1" applyFill="1" applyBorder="1"/>
    <xf numFmtId="0" fontId="0" fillId="3" borderId="0" xfId="0" applyFill="1"/>
    <xf numFmtId="49" fontId="0" fillId="3" borderId="0" xfId="0" applyNumberFormat="1" applyFill="1"/>
    <xf numFmtId="0" fontId="0" fillId="8" borderId="19" xfId="0" applyFill="1" applyBorder="1" applyAlignment="1">
      <alignment horizontal="center"/>
    </xf>
    <xf numFmtId="0" fontId="0" fillId="0" borderId="6" xfId="0" applyBorder="1"/>
    <xf numFmtId="49" fontId="17" fillId="4" borderId="5" xfId="0" applyNumberFormat="1" applyFont="1" applyFill="1" applyBorder="1" applyAlignment="1">
      <alignment horizontal="left" vertical="center"/>
    </xf>
    <xf numFmtId="0" fontId="0" fillId="9" borderId="0" xfId="0" applyFill="1"/>
    <xf numFmtId="0" fontId="48" fillId="10" borderId="0" xfId="0" applyFont="1" applyFill="1" applyAlignment="1">
      <alignment horizontal="center" vertical="center"/>
    </xf>
    <xf numFmtId="0" fontId="0" fillId="6" borderId="7" xfId="0" applyFill="1" applyBorder="1" applyAlignment="1">
      <alignment horizontal="center"/>
    </xf>
    <xf numFmtId="0" fontId="49" fillId="5" borderId="7" xfId="0" applyFont="1" applyFill="1" applyBorder="1" applyAlignment="1">
      <alignment horizontal="center"/>
    </xf>
    <xf numFmtId="0" fontId="49" fillId="5" borderId="0" xfId="0" applyFont="1" applyFill="1" applyAlignment="1">
      <alignment horizontal="center"/>
    </xf>
    <xf numFmtId="49" fontId="41" fillId="2" borderId="0" xfId="0" applyNumberFormat="1" applyFont="1" applyFill="1" applyAlignment="1">
      <alignment horizontal="center" vertical="center"/>
    </xf>
    <xf numFmtId="49" fontId="11" fillId="4" borderId="13" xfId="0" applyNumberFormat="1" applyFont="1" applyFill="1" applyBorder="1" applyAlignment="1">
      <alignment vertical="center"/>
    </xf>
    <xf numFmtId="0" fontId="43" fillId="5" borderId="5" xfId="0" applyFont="1" applyFill="1" applyBorder="1" applyAlignment="1">
      <alignment horizontal="center" vertical="center"/>
    </xf>
    <xf numFmtId="0" fontId="43" fillId="5" borderId="0" xfId="0" applyFont="1" applyFill="1" applyAlignment="1">
      <alignment horizontal="center"/>
    </xf>
    <xf numFmtId="0" fontId="44" fillId="5" borderId="7" xfId="0" applyFont="1" applyFill="1" applyBorder="1" applyAlignment="1">
      <alignment horizontal="center" vertical="center" shrinkToFit="1"/>
    </xf>
    <xf numFmtId="0" fontId="50" fillId="6" borderId="0" xfId="0" applyFont="1" applyFill="1" applyAlignment="1">
      <alignment horizontal="center"/>
    </xf>
    <xf numFmtId="0" fontId="51" fillId="6" borderId="0" xfId="0" applyFont="1" applyFill="1" applyAlignment="1">
      <alignment horizontal="center"/>
    </xf>
    <xf numFmtId="0" fontId="0" fillId="0" borderId="14" xfId="0" applyBorder="1"/>
    <xf numFmtId="0" fontId="0" fillId="2" borderId="13" xfId="0" applyFill="1" applyBorder="1"/>
    <xf numFmtId="0" fontId="43" fillId="3" borderId="0" xfId="0" applyFont="1" applyFill="1" applyAlignment="1">
      <alignment horizontal="center"/>
    </xf>
    <xf numFmtId="0" fontId="43" fillId="4" borderId="0" xfId="0" applyFont="1" applyFill="1" applyAlignment="1">
      <alignment horizontal="center"/>
    </xf>
    <xf numFmtId="0" fontId="43" fillId="7" borderId="0" xfId="0" applyFont="1" applyFill="1" applyAlignment="1">
      <alignment horizontal="center"/>
    </xf>
    <xf numFmtId="0" fontId="13" fillId="5" borderId="0" xfId="0" applyFont="1" applyFill="1" applyAlignment="1">
      <alignment horizontal="left"/>
    </xf>
    <xf numFmtId="0" fontId="52" fillId="0" borderId="5" xfId="0" applyFont="1" applyBorder="1" applyAlignment="1">
      <alignment horizontal="center" vertical="center" wrapText="1"/>
    </xf>
    <xf numFmtId="0" fontId="52" fillId="0" borderId="18" xfId="0" applyFont="1" applyBorder="1" applyAlignment="1">
      <alignment horizontal="center" vertical="center" wrapText="1"/>
    </xf>
    <xf numFmtId="0" fontId="53" fillId="0" borderId="5" xfId="0" applyFont="1" applyBorder="1" applyAlignment="1">
      <alignment horizontal="center" vertical="center" wrapText="1"/>
    </xf>
    <xf numFmtId="0" fontId="53" fillId="0" borderId="5" xfId="0" applyFont="1" applyBorder="1" applyAlignment="1">
      <alignment horizontal="center" vertical="center"/>
    </xf>
    <xf numFmtId="0" fontId="53" fillId="0" borderId="18" xfId="0" applyFont="1" applyBorder="1" applyAlignment="1">
      <alignment horizontal="center" vertical="center"/>
    </xf>
    <xf numFmtId="0" fontId="53" fillId="0" borderId="20" xfId="0" applyFont="1" applyBorder="1" applyAlignment="1">
      <alignment horizontal="center" vertical="center" wrapText="1"/>
    </xf>
    <xf numFmtId="0" fontId="53" fillId="0" borderId="20" xfId="0" applyFont="1" applyBorder="1" applyAlignment="1">
      <alignment horizontal="center" vertical="center"/>
    </xf>
    <xf numFmtId="0" fontId="53" fillId="0" borderId="21" xfId="0" applyFont="1" applyBorder="1" applyAlignment="1">
      <alignment horizontal="center" vertical="center"/>
    </xf>
    <xf numFmtId="0" fontId="53" fillId="0" borderId="19" xfId="0" applyFont="1" applyBorder="1" applyAlignment="1">
      <alignment horizontal="center" vertical="center" wrapText="1"/>
    </xf>
    <xf numFmtId="0" fontId="53" fillId="0" borderId="19" xfId="0" applyFont="1" applyBorder="1" applyAlignment="1">
      <alignment horizontal="center" vertical="center"/>
    </xf>
    <xf numFmtId="0" fontId="53" fillId="0" borderId="22" xfId="0" applyFont="1" applyBorder="1" applyAlignment="1">
      <alignment horizontal="center" vertical="center"/>
    </xf>
    <xf numFmtId="0" fontId="54" fillId="0" borderId="19" xfId="0" applyFont="1" applyBorder="1" applyAlignment="1">
      <alignment horizontal="center" vertical="center" wrapText="1"/>
    </xf>
    <xf numFmtId="0" fontId="54" fillId="0" borderId="19" xfId="0" applyFont="1" applyBorder="1" applyAlignment="1">
      <alignment horizontal="center" vertical="center"/>
    </xf>
    <xf numFmtId="0" fontId="54" fillId="0" borderId="22" xfId="0" applyFont="1" applyBorder="1" applyAlignment="1">
      <alignment horizontal="center" vertical="center"/>
    </xf>
    <xf numFmtId="0" fontId="54" fillId="0" borderId="5" xfId="0" applyFont="1" applyBorder="1" applyAlignment="1">
      <alignment horizontal="center" vertical="center" wrapText="1"/>
    </xf>
    <xf numFmtId="0" fontId="54" fillId="0" borderId="5" xfId="0" applyFont="1" applyBorder="1" applyAlignment="1">
      <alignment horizontal="center" vertical="center"/>
    </xf>
    <xf numFmtId="0" fontId="54" fillId="0" borderId="18" xfId="0" applyFont="1" applyBorder="1" applyAlignment="1">
      <alignment horizontal="center" vertical="center"/>
    </xf>
    <xf numFmtId="0" fontId="54" fillId="0" borderId="20" xfId="0" applyFont="1" applyBorder="1" applyAlignment="1">
      <alignment horizontal="center" vertical="center" wrapText="1"/>
    </xf>
    <xf numFmtId="0" fontId="54" fillId="0" borderId="20" xfId="0" applyFont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53" fillId="0" borderId="23" xfId="0" applyFont="1" applyBorder="1" applyAlignment="1">
      <alignment horizontal="center" vertical="center" wrapText="1"/>
    </xf>
    <xf numFmtId="0" fontId="53" fillId="0" borderId="23" xfId="0" applyFont="1" applyBorder="1" applyAlignment="1">
      <alignment horizontal="center" vertical="center"/>
    </xf>
    <xf numFmtId="0" fontId="53" fillId="0" borderId="24" xfId="0" applyFont="1" applyBorder="1" applyAlignment="1">
      <alignment horizontal="center" vertical="center"/>
    </xf>
    <xf numFmtId="0" fontId="55" fillId="0" borderId="20" xfId="0" applyFont="1" applyBorder="1" applyAlignment="1">
      <alignment horizontal="center" vertical="center"/>
    </xf>
    <xf numFmtId="0" fontId="55" fillId="0" borderId="20" xfId="0" applyFont="1" applyBorder="1" applyAlignment="1">
      <alignment horizontal="center" vertical="center" wrapText="1"/>
    </xf>
    <xf numFmtId="0" fontId="1" fillId="5" borderId="0" xfId="0" applyFont="1" applyFill="1" applyAlignment="1">
      <alignment horizontal="center"/>
    </xf>
    <xf numFmtId="49" fontId="0" fillId="0" borderId="19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56" fillId="0" borderId="5" xfId="0" applyNumberFormat="1" applyFont="1" applyBorder="1" applyAlignment="1">
      <alignment horizontal="center"/>
    </xf>
    <xf numFmtId="49" fontId="60" fillId="0" borderId="5" xfId="0" applyNumberFormat="1" applyFon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60" fillId="0" borderId="5" xfId="0" applyNumberFormat="1" applyFont="1" applyBorder="1" applyAlignment="1">
      <alignment horizontal="center" wrapText="1"/>
    </xf>
    <xf numFmtId="49" fontId="0" fillId="0" borderId="5" xfId="0" applyNumberFormat="1" applyBorder="1" applyAlignment="1">
      <alignment horizontal="center"/>
    </xf>
    <xf numFmtId="0" fontId="1" fillId="0" borderId="0" xfId="0" applyFont="1"/>
    <xf numFmtId="49" fontId="61" fillId="4" borderId="11" xfId="0" applyNumberFormat="1" applyFont="1" applyFill="1" applyBorder="1" applyAlignment="1">
      <alignment vertical="center"/>
    </xf>
    <xf numFmtId="0" fontId="1" fillId="5" borderId="7" xfId="0" applyFont="1" applyFill="1" applyBorder="1"/>
    <xf numFmtId="0" fontId="43" fillId="5" borderId="25" xfId="0" applyFont="1" applyFill="1" applyBorder="1" applyAlignment="1">
      <alignment horizontal="center" vertical="center"/>
    </xf>
    <xf numFmtId="0" fontId="0" fillId="14" borderId="5" xfId="0" applyFill="1" applyBorder="1"/>
    <xf numFmtId="49" fontId="5" fillId="12" borderId="0" xfId="0" applyNumberFormat="1" applyFont="1" applyFill="1" applyAlignment="1">
      <alignment vertical="top"/>
    </xf>
    <xf numFmtId="49" fontId="29" fillId="12" borderId="0" xfId="0" applyNumberFormat="1" applyFont="1" applyFill="1" applyAlignment="1">
      <alignment horizontal="center"/>
    </xf>
    <xf numFmtId="49" fontId="37" fillId="12" borderId="0" xfId="0" applyNumberFormat="1" applyFont="1" applyFill="1" applyAlignment="1">
      <alignment vertical="top"/>
    </xf>
    <xf numFmtId="49" fontId="24" fillId="12" borderId="0" xfId="0" applyNumberFormat="1" applyFont="1" applyFill="1" applyAlignment="1">
      <alignment vertical="top"/>
    </xf>
    <xf numFmtId="0" fontId="0" fillId="12" borderId="0" xfId="0" applyFill="1"/>
    <xf numFmtId="49" fontId="29" fillId="12" borderId="0" xfId="0" applyNumberFormat="1" applyFont="1" applyFill="1" applyAlignment="1">
      <alignment horizontal="left"/>
    </xf>
    <xf numFmtId="49" fontId="14" fillId="12" borderId="0" xfId="0" applyNumberFormat="1" applyFont="1" applyFill="1" applyAlignment="1">
      <alignment horizontal="left"/>
    </xf>
    <xf numFmtId="49" fontId="13" fillId="12" borderId="0" xfId="0" applyNumberFormat="1" applyFont="1" applyFill="1" applyAlignment="1">
      <alignment horizontal="left"/>
    </xf>
    <xf numFmtId="49" fontId="25" fillId="12" borderId="0" xfId="0" applyNumberFormat="1" applyFont="1" applyFill="1"/>
    <xf numFmtId="49" fontId="18" fillId="12" borderId="0" xfId="0" applyNumberFormat="1" applyFont="1" applyFill="1"/>
    <xf numFmtId="49" fontId="15" fillId="12" borderId="0" xfId="0" applyNumberFormat="1" applyFont="1" applyFill="1"/>
    <xf numFmtId="49" fontId="21" fillId="12" borderId="0" xfId="0" applyNumberFormat="1" applyFont="1" applyFill="1" applyAlignment="1">
      <alignment vertical="center"/>
    </xf>
    <xf numFmtId="49" fontId="27" fillId="12" borderId="0" xfId="0" applyNumberFormat="1" applyFont="1" applyFill="1" applyAlignment="1">
      <alignment vertical="center"/>
    </xf>
    <xf numFmtId="49" fontId="22" fillId="12" borderId="0" xfId="0" applyNumberFormat="1" applyFont="1" applyFill="1" applyAlignment="1">
      <alignment horizontal="right" vertical="center"/>
    </xf>
    <xf numFmtId="14" fontId="16" fillId="12" borderId="6" xfId="0" applyNumberFormat="1" applyFont="1" applyFill="1" applyBorder="1" applyAlignment="1">
      <alignment horizontal="left" vertical="center"/>
    </xf>
    <xf numFmtId="49" fontId="16" fillId="12" borderId="6" xfId="0" applyNumberFormat="1" applyFont="1" applyFill="1" applyBorder="1" applyAlignment="1">
      <alignment vertical="center"/>
    </xf>
    <xf numFmtId="49" fontId="31" fillId="12" borderId="6" xfId="0" applyNumberFormat="1" applyFont="1" applyFill="1" applyBorder="1" applyAlignment="1">
      <alignment vertical="center"/>
    </xf>
    <xf numFmtId="49" fontId="17" fillId="12" borderId="6" xfId="0" applyNumberFormat="1" applyFont="1" applyFill="1" applyBorder="1" applyAlignment="1">
      <alignment horizontal="right" vertical="center"/>
    </xf>
    <xf numFmtId="49" fontId="31" fillId="12" borderId="0" xfId="0" applyNumberFormat="1" applyFont="1" applyFill="1" applyAlignment="1">
      <alignment vertical="center"/>
    </xf>
    <xf numFmtId="49" fontId="16" fillId="12" borderId="0" xfId="0" applyNumberFormat="1" applyFont="1" applyFill="1" applyAlignment="1">
      <alignment vertical="center"/>
    </xf>
    <xf numFmtId="0" fontId="1" fillId="12" borderId="0" xfId="0" applyFont="1" applyFill="1" applyAlignment="1">
      <alignment horizontal="center"/>
    </xf>
    <xf numFmtId="0" fontId="42" fillId="12" borderId="7" xfId="0" applyFont="1" applyFill="1" applyBorder="1" applyAlignment="1">
      <alignment horizontal="center" vertical="center" shrinkToFit="1"/>
    </xf>
    <xf numFmtId="0" fontId="47" fillId="12" borderId="0" xfId="0" applyFont="1" applyFill="1" applyAlignment="1">
      <alignment horizontal="center"/>
    </xf>
    <xf numFmtId="0" fontId="42" fillId="12" borderId="7" xfId="0" applyFont="1" applyFill="1" applyBorder="1" applyAlignment="1">
      <alignment vertical="center"/>
    </xf>
    <xf numFmtId="0" fontId="43" fillId="12" borderId="7" xfId="0" applyFont="1" applyFill="1" applyBorder="1"/>
    <xf numFmtId="0" fontId="43" fillId="12" borderId="0" xfId="0" applyFont="1" applyFill="1" applyAlignment="1">
      <alignment horizontal="center" vertical="center"/>
    </xf>
    <xf numFmtId="49" fontId="23" fillId="12" borderId="0" xfId="0" applyNumberFormat="1" applyFont="1" applyFill="1" applyAlignment="1">
      <alignment horizontal="left" vertical="center"/>
    </xf>
    <xf numFmtId="0" fontId="23" fillId="12" borderId="11" xfId="0" applyFont="1" applyFill="1" applyBorder="1" applyAlignment="1">
      <alignment vertical="center"/>
    </xf>
    <xf numFmtId="0" fontId="23" fillId="12" borderId="12" xfId="0" applyFont="1" applyFill="1" applyBorder="1" applyAlignment="1">
      <alignment vertical="center"/>
    </xf>
    <xf numFmtId="0" fontId="23" fillId="12" borderId="13" xfId="0" applyFont="1" applyFill="1" applyBorder="1" applyAlignment="1">
      <alignment vertical="center"/>
    </xf>
    <xf numFmtId="49" fontId="23" fillId="12" borderId="0" xfId="0" applyNumberFormat="1" applyFont="1" applyFill="1" applyAlignment="1">
      <alignment vertical="center"/>
    </xf>
    <xf numFmtId="49" fontId="9" fillId="12" borderId="15" xfId="0" applyNumberFormat="1" applyFont="1" applyFill="1" applyBorder="1" applyAlignment="1">
      <alignment vertical="center"/>
    </xf>
    <xf numFmtId="49" fontId="9" fillId="12" borderId="16" xfId="0" applyNumberFormat="1" applyFont="1" applyFill="1" applyBorder="1" applyAlignment="1">
      <alignment vertical="center"/>
    </xf>
    <xf numFmtId="49" fontId="9" fillId="12" borderId="10" xfId="0" applyNumberFormat="1" applyFont="1" applyFill="1" applyBorder="1" applyAlignment="1">
      <alignment horizontal="right" vertical="center"/>
    </xf>
    <xf numFmtId="49" fontId="23" fillId="12" borderId="15" xfId="0" applyNumberFormat="1" applyFont="1" applyFill="1" applyBorder="1" applyAlignment="1">
      <alignment vertical="center"/>
    </xf>
    <xf numFmtId="49" fontId="30" fillId="12" borderId="0" xfId="0" applyNumberFormat="1" applyFont="1" applyFill="1" applyAlignment="1">
      <alignment vertical="center"/>
    </xf>
    <xf numFmtId="49" fontId="9" fillId="12" borderId="17" xfId="0" applyNumberFormat="1" applyFont="1" applyFill="1" applyBorder="1" applyAlignment="1">
      <alignment vertical="center"/>
    </xf>
    <xf numFmtId="49" fontId="9" fillId="12" borderId="7" xfId="0" applyNumberFormat="1" applyFont="1" applyFill="1" applyBorder="1" applyAlignment="1">
      <alignment vertical="center"/>
    </xf>
    <xf numFmtId="49" fontId="9" fillId="12" borderId="9" xfId="0" applyNumberFormat="1" applyFont="1" applyFill="1" applyBorder="1" applyAlignment="1">
      <alignment horizontal="right" vertical="center"/>
    </xf>
    <xf numFmtId="49" fontId="9" fillId="12" borderId="0" xfId="0" applyNumberFormat="1" applyFont="1" applyFill="1" applyAlignment="1">
      <alignment vertical="center"/>
    </xf>
    <xf numFmtId="49" fontId="9" fillId="12" borderId="8" xfId="0" applyNumberFormat="1" applyFont="1" applyFill="1" applyBorder="1" applyAlignment="1">
      <alignment vertical="center"/>
    </xf>
    <xf numFmtId="0" fontId="9" fillId="12" borderId="0" xfId="0" applyFont="1" applyFill="1" applyAlignment="1">
      <alignment vertical="center"/>
    </xf>
    <xf numFmtId="0" fontId="9" fillId="12" borderId="14" xfId="0" applyFont="1" applyFill="1" applyBorder="1" applyAlignment="1">
      <alignment vertical="center"/>
    </xf>
    <xf numFmtId="49" fontId="9" fillId="12" borderId="0" xfId="0" applyNumberFormat="1" applyFont="1" applyFill="1" applyAlignment="1">
      <alignment horizontal="right" vertical="center"/>
    </xf>
    <xf numFmtId="49" fontId="9" fillId="12" borderId="8" xfId="0" applyNumberFormat="1" applyFont="1" applyFill="1" applyBorder="1" applyAlignment="1">
      <alignment horizontal="right" vertical="center"/>
    </xf>
    <xf numFmtId="49" fontId="9" fillId="12" borderId="14" xfId="0" applyNumberFormat="1" applyFont="1" applyFill="1" applyBorder="1" applyAlignment="1">
      <alignment vertical="center"/>
    </xf>
    <xf numFmtId="0" fontId="23" fillId="12" borderId="14" xfId="0" applyFont="1" applyFill="1" applyBorder="1" applyAlignment="1">
      <alignment vertical="center"/>
    </xf>
    <xf numFmtId="0" fontId="23" fillId="12" borderId="0" xfId="0" applyFont="1" applyFill="1" applyAlignment="1">
      <alignment vertical="center"/>
    </xf>
    <xf numFmtId="0" fontId="23" fillId="12" borderId="8" xfId="0" applyFont="1" applyFill="1" applyBorder="1" applyAlignment="1">
      <alignment vertical="center"/>
    </xf>
    <xf numFmtId="0" fontId="9" fillId="12" borderId="8" xfId="0" applyFont="1" applyFill="1" applyBorder="1" applyAlignment="1">
      <alignment horizontal="right" vertical="center"/>
    </xf>
    <xf numFmtId="0" fontId="9" fillId="12" borderId="9" xfId="0" applyFont="1" applyFill="1" applyBorder="1" applyAlignment="1">
      <alignment horizontal="right" vertical="center"/>
    </xf>
    <xf numFmtId="0" fontId="9" fillId="12" borderId="7" xfId="0" applyFont="1" applyFill="1" applyBorder="1" applyAlignment="1">
      <alignment vertical="center"/>
    </xf>
    <xf numFmtId="49" fontId="30" fillId="12" borderId="7" xfId="0" applyNumberFormat="1" applyFont="1" applyFill="1" applyBorder="1" applyAlignment="1">
      <alignment vertical="center"/>
    </xf>
    <xf numFmtId="49" fontId="9" fillId="12" borderId="9" xfId="0" applyNumberFormat="1" applyFont="1" applyFill="1" applyBorder="1" applyAlignment="1">
      <alignment vertical="center"/>
    </xf>
    <xf numFmtId="0" fontId="0" fillId="15" borderId="5" xfId="0" applyFill="1" applyBorder="1"/>
    <xf numFmtId="0" fontId="41" fillId="15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0" fillId="12" borderId="0" xfId="0" applyFill="1" applyAlignment="1">
      <alignment horizontal="center"/>
    </xf>
    <xf numFmtId="0" fontId="49" fillId="12" borderId="0" xfId="0" applyFont="1" applyFill="1" applyAlignment="1">
      <alignment horizontal="center"/>
    </xf>
    <xf numFmtId="0" fontId="30" fillId="0" borderId="0" xfId="0" applyFont="1"/>
    <xf numFmtId="0" fontId="15" fillId="0" borderId="0" xfId="0" applyFont="1"/>
    <xf numFmtId="49" fontId="11" fillId="12" borderId="0" xfId="0" applyNumberFormat="1" applyFont="1" applyFill="1" applyAlignment="1">
      <alignment vertical="top"/>
    </xf>
    <xf numFmtId="0" fontId="5" fillId="12" borderId="0" xfId="0" applyFont="1" applyFill="1" applyAlignment="1">
      <alignment vertical="top"/>
    </xf>
    <xf numFmtId="0" fontId="25" fillId="12" borderId="0" xfId="0" applyFont="1" applyFill="1"/>
    <xf numFmtId="0" fontId="18" fillId="12" borderId="0" xfId="0" applyFont="1" applyFill="1"/>
    <xf numFmtId="0" fontId="10" fillId="12" borderId="0" xfId="0" applyFont="1" applyFill="1" applyAlignment="1">
      <alignment vertical="center"/>
    </xf>
    <xf numFmtId="49" fontId="0" fillId="12" borderId="6" xfId="0" applyNumberFormat="1" applyFill="1" applyBorder="1" applyAlignment="1">
      <alignment vertical="center"/>
    </xf>
    <xf numFmtId="49" fontId="16" fillId="12" borderId="6" xfId="4" applyNumberFormat="1" applyFont="1" applyFill="1" applyBorder="1" applyAlignment="1" applyProtection="1">
      <alignment vertical="center"/>
      <protection locked="0"/>
    </xf>
    <xf numFmtId="0" fontId="17" fillId="12" borderId="6" xfId="0" applyFont="1" applyFill="1" applyBorder="1" applyAlignment="1">
      <alignment horizontal="left" vertical="center"/>
    </xf>
    <xf numFmtId="0" fontId="16" fillId="12" borderId="0" xfId="0" applyFont="1" applyFill="1" applyAlignment="1">
      <alignment vertical="center"/>
    </xf>
    <xf numFmtId="49" fontId="9" fillId="12" borderId="0" xfId="0" applyNumberFormat="1" applyFont="1" applyFill="1" applyAlignment="1">
      <alignment horizontal="center" vertical="center"/>
    </xf>
    <xf numFmtId="49" fontId="9" fillId="12" borderId="0" xfId="0" applyNumberFormat="1" applyFont="1" applyFill="1" applyAlignment="1">
      <alignment horizontal="center" vertical="center" shrinkToFit="1"/>
    </xf>
    <xf numFmtId="49" fontId="9" fillId="12" borderId="0" xfId="0" applyNumberFormat="1" applyFont="1" applyFill="1" applyAlignment="1">
      <alignment horizontal="left" vertical="center"/>
    </xf>
    <xf numFmtId="49" fontId="30" fillId="12" borderId="0" xfId="0" applyNumberFormat="1" applyFont="1" applyFill="1" applyAlignment="1">
      <alignment horizontal="center" vertical="center"/>
    </xf>
    <xf numFmtId="49" fontId="61" fillId="12" borderId="0" xfId="0" applyNumberFormat="1" applyFont="1" applyFill="1" applyAlignment="1">
      <alignment horizontal="right" vertical="center"/>
    </xf>
    <xf numFmtId="0" fontId="61" fillId="12" borderId="0" xfId="0" applyFont="1" applyFill="1" applyAlignment="1">
      <alignment horizontal="center" vertical="center"/>
    </xf>
    <xf numFmtId="0" fontId="61" fillId="12" borderId="0" xfId="0" applyFont="1" applyFill="1" applyAlignment="1">
      <alignment horizontal="right" vertical="center"/>
    </xf>
    <xf numFmtId="0" fontId="61" fillId="12" borderId="0" xfId="0" applyFont="1" applyFill="1" applyAlignment="1">
      <alignment horizontal="left" vertical="center"/>
    </xf>
    <xf numFmtId="0" fontId="61" fillId="12" borderId="0" xfId="0" applyFont="1" applyFill="1" applyAlignment="1">
      <alignment vertical="center"/>
    </xf>
    <xf numFmtId="0" fontId="62" fillId="12" borderId="0" xfId="0" applyFont="1" applyFill="1" applyAlignment="1">
      <alignment horizontal="center" vertical="center"/>
    </xf>
    <xf numFmtId="0" fontId="62" fillId="12" borderId="0" xfId="0" applyFont="1" applyFill="1" applyAlignment="1">
      <alignment vertical="center"/>
    </xf>
    <xf numFmtId="49" fontId="63" fillId="12" borderId="0" xfId="0" applyNumberFormat="1" applyFont="1" applyFill="1" applyAlignment="1">
      <alignment horizontal="center" vertical="center"/>
    </xf>
    <xf numFmtId="0" fontId="42" fillId="12" borderId="7" xfId="0" applyFont="1" applyFill="1" applyBorder="1" applyAlignment="1">
      <alignment horizontal="center" vertical="center"/>
    </xf>
    <xf numFmtId="0" fontId="64" fillId="12" borderId="7" xfId="0" applyFont="1" applyFill="1" applyBorder="1" applyAlignment="1">
      <alignment horizontal="center" vertical="center"/>
    </xf>
    <xf numFmtId="0" fontId="63" fillId="12" borderId="7" xfId="0" applyFont="1" applyFill="1" applyBorder="1" applyAlignment="1">
      <alignment vertical="center"/>
    </xf>
    <xf numFmtId="0" fontId="65" fillId="12" borderId="7" xfId="0" applyFont="1" applyFill="1" applyBorder="1" applyAlignment="1">
      <alignment horizontal="center" vertical="center"/>
    </xf>
    <xf numFmtId="0" fontId="65" fillId="12" borderId="0" xfId="0" applyFont="1" applyFill="1" applyAlignment="1">
      <alignment vertical="center"/>
    </xf>
    <xf numFmtId="0" fontId="66" fillId="12" borderId="0" xfId="0" applyFont="1" applyFill="1" applyAlignment="1">
      <alignment vertical="center"/>
    </xf>
    <xf numFmtId="0" fontId="67" fillId="12" borderId="0" xfId="0" applyFont="1" applyFill="1" applyAlignment="1">
      <alignment vertical="center"/>
    </xf>
    <xf numFmtId="49" fontId="66" fillId="12" borderId="0" xfId="0" applyNumberFormat="1" applyFont="1" applyFill="1" applyAlignment="1">
      <alignment vertical="center"/>
    </xf>
    <xf numFmtId="49" fontId="67" fillId="12" borderId="0" xfId="0" applyNumberFormat="1" applyFont="1" applyFill="1" applyAlignment="1">
      <alignment vertical="center"/>
    </xf>
    <xf numFmtId="0" fontId="18" fillId="12" borderId="0" xfId="0" applyFont="1" applyFill="1" applyAlignment="1">
      <alignment vertical="center"/>
    </xf>
    <xf numFmtId="49" fontId="66" fillId="12" borderId="0" xfId="0" applyNumberFormat="1" applyFont="1" applyFill="1" applyAlignment="1">
      <alignment horizontal="center" vertical="center"/>
    </xf>
    <xf numFmtId="0" fontId="42" fillId="12" borderId="0" xfId="0" applyFont="1" applyFill="1" applyAlignment="1">
      <alignment horizontal="center" vertical="center"/>
    </xf>
    <xf numFmtId="0" fontId="42" fillId="12" borderId="0" xfId="0" applyFont="1" applyFill="1" applyAlignment="1">
      <alignment horizontal="center" vertical="center" shrinkToFit="1"/>
    </xf>
    <xf numFmtId="0" fontId="66" fillId="12" borderId="0" xfId="0" applyFont="1" applyFill="1" applyAlignment="1">
      <alignment horizontal="center" vertical="center"/>
    </xf>
    <xf numFmtId="0" fontId="68" fillId="12" borderId="0" xfId="0" applyFont="1" applyFill="1" applyAlignment="1">
      <alignment vertical="center"/>
    </xf>
    <xf numFmtId="0" fontId="69" fillId="12" borderId="0" xfId="0" applyFont="1" applyFill="1" applyAlignment="1">
      <alignment vertical="center"/>
    </xf>
    <xf numFmtId="0" fontId="70" fillId="12" borderId="0" xfId="0" applyFont="1" applyFill="1" applyAlignment="1">
      <alignment horizontal="right" vertical="center"/>
    </xf>
    <xf numFmtId="0" fontId="32" fillId="16" borderId="10" xfId="0" applyFont="1" applyFill="1" applyBorder="1" applyAlignment="1">
      <alignment horizontal="right" vertical="center"/>
    </xf>
    <xf numFmtId="0" fontId="65" fillId="12" borderId="7" xfId="0" applyFont="1" applyFill="1" applyBorder="1" applyAlignment="1">
      <alignment vertical="center"/>
    </xf>
    <xf numFmtId="0" fontId="66" fillId="12" borderId="7" xfId="0" applyFont="1" applyFill="1" applyBorder="1" applyAlignment="1">
      <alignment vertical="center"/>
    </xf>
    <xf numFmtId="0" fontId="65" fillId="12" borderId="9" xfId="0" applyFont="1" applyFill="1" applyBorder="1" applyAlignment="1">
      <alignment horizontal="center" vertical="center"/>
    </xf>
    <xf numFmtId="0" fontId="65" fillId="12" borderId="8" xfId="0" applyFont="1" applyFill="1" applyBorder="1" applyAlignment="1">
      <alignment horizontal="left" vertical="center"/>
    </xf>
    <xf numFmtId="0" fontId="64" fillId="12" borderId="0" xfId="0" applyFont="1" applyFill="1" applyAlignment="1">
      <alignment horizontal="center" vertical="center"/>
    </xf>
    <xf numFmtId="0" fontId="65" fillId="12" borderId="0" xfId="0" applyFont="1" applyFill="1" applyAlignment="1">
      <alignment horizontal="center" vertical="center"/>
    </xf>
    <xf numFmtId="0" fontId="30" fillId="12" borderId="0" xfId="0" applyFont="1" applyFill="1" applyAlignment="1">
      <alignment horizontal="right" vertical="center"/>
    </xf>
    <xf numFmtId="0" fontId="32" fillId="16" borderId="8" xfId="0" applyFont="1" applyFill="1" applyBorder="1" applyAlignment="1">
      <alignment horizontal="right" vertical="center"/>
    </xf>
    <xf numFmtId="49" fontId="65" fillId="12" borderId="7" xfId="0" applyNumberFormat="1" applyFont="1" applyFill="1" applyBorder="1" applyAlignment="1">
      <alignment vertical="center"/>
    </xf>
    <xf numFmtId="49" fontId="65" fillId="12" borderId="0" xfId="0" applyNumberFormat="1" applyFont="1" applyFill="1" applyAlignment="1">
      <alignment vertical="center"/>
    </xf>
    <xf numFmtId="0" fontId="65" fillId="12" borderId="8" xfId="0" applyFont="1" applyFill="1" applyBorder="1" applyAlignment="1">
      <alignment vertical="center"/>
    </xf>
    <xf numFmtId="49" fontId="65" fillId="12" borderId="8" xfId="0" applyNumberFormat="1" applyFont="1" applyFill="1" applyBorder="1" applyAlignment="1">
      <alignment vertical="center"/>
    </xf>
    <xf numFmtId="0" fontId="65" fillId="12" borderId="9" xfId="0" applyFont="1" applyFill="1" applyBorder="1" applyAlignment="1">
      <alignment vertical="center"/>
    </xf>
    <xf numFmtId="0" fontId="71" fillId="12" borderId="9" xfId="0" applyFont="1" applyFill="1" applyBorder="1" applyAlignment="1">
      <alignment horizontal="center" vertical="center"/>
    </xf>
    <xf numFmtId="0" fontId="72" fillId="12" borderId="0" xfId="0" applyFont="1" applyFill="1" applyAlignment="1">
      <alignment vertical="center"/>
    </xf>
    <xf numFmtId="0" fontId="73" fillId="12" borderId="0" xfId="0" applyFont="1" applyFill="1" applyAlignment="1">
      <alignment vertical="center"/>
    </xf>
    <xf numFmtId="0" fontId="71" fillId="12" borderId="7" xfId="0" applyFont="1" applyFill="1" applyBorder="1" applyAlignment="1">
      <alignment horizontal="center" vertical="center"/>
    </xf>
    <xf numFmtId="49" fontId="65" fillId="12" borderId="9" xfId="0" applyNumberFormat="1" applyFont="1" applyFill="1" applyBorder="1" applyAlignment="1">
      <alignment vertical="center"/>
    </xf>
    <xf numFmtId="0" fontId="74" fillId="12" borderId="0" xfId="0" applyFont="1" applyFill="1" applyAlignment="1">
      <alignment vertical="center"/>
    </xf>
    <xf numFmtId="49" fontId="44" fillId="12" borderId="0" xfId="0" applyNumberFormat="1" applyFont="1" applyFill="1" applyAlignment="1">
      <alignment horizontal="center" vertical="center"/>
    </xf>
    <xf numFmtId="0" fontId="9" fillId="12" borderId="0" xfId="0" applyFont="1" applyFill="1" applyAlignment="1">
      <alignment horizontal="right" vertical="center"/>
    </xf>
    <xf numFmtId="0" fontId="66" fillId="12" borderId="0" xfId="0" applyFont="1" applyFill="1" applyAlignment="1">
      <alignment horizontal="left" vertical="center"/>
    </xf>
    <xf numFmtId="49" fontId="75" fillId="12" borderId="0" xfId="0" applyNumberFormat="1" applyFont="1" applyFill="1" applyAlignment="1">
      <alignment horizontal="center" vertical="center"/>
    </xf>
    <xf numFmtId="49" fontId="76" fillId="12" borderId="0" xfId="0" applyNumberFormat="1" applyFont="1" applyFill="1" applyAlignment="1">
      <alignment vertical="center"/>
    </xf>
    <xf numFmtId="49" fontId="77" fillId="12" borderId="0" xfId="0" applyNumberFormat="1" applyFont="1" applyFill="1" applyAlignment="1">
      <alignment horizontal="center" vertical="center"/>
    </xf>
    <xf numFmtId="49" fontId="77" fillId="12" borderId="0" xfId="0" applyNumberFormat="1" applyFont="1" applyFill="1" applyAlignment="1">
      <alignment vertical="center"/>
    </xf>
    <xf numFmtId="0" fontId="0" fillId="12" borderId="0" xfId="0" applyFill="1" applyAlignment="1">
      <alignment vertical="center"/>
    </xf>
    <xf numFmtId="49" fontId="33" fillId="12" borderId="12" xfId="0" applyNumberFormat="1" applyFont="1" applyFill="1" applyBorder="1" applyAlignment="1">
      <alignment horizontal="center" vertical="center"/>
    </xf>
    <xf numFmtId="49" fontId="33" fillId="12" borderId="12" xfId="0" applyNumberFormat="1" applyFont="1" applyFill="1" applyBorder="1" applyAlignment="1">
      <alignment vertical="center"/>
    </xf>
    <xf numFmtId="49" fontId="33" fillId="12" borderId="12" xfId="0" applyNumberFormat="1" applyFont="1" applyFill="1" applyBorder="1" applyAlignment="1">
      <alignment horizontal="centerContinuous" vertical="center"/>
    </xf>
    <xf numFmtId="49" fontId="33" fillId="12" borderId="13" xfId="0" applyNumberFormat="1" applyFont="1" applyFill="1" applyBorder="1" applyAlignment="1">
      <alignment horizontal="centerContinuous" vertical="center"/>
    </xf>
    <xf numFmtId="49" fontId="34" fillId="12" borderId="12" xfId="0" applyNumberFormat="1" applyFont="1" applyFill="1" applyBorder="1" applyAlignment="1">
      <alignment vertical="center"/>
    </xf>
    <xf numFmtId="49" fontId="34" fillId="12" borderId="13" xfId="0" applyNumberFormat="1" applyFont="1" applyFill="1" applyBorder="1" applyAlignment="1">
      <alignment vertical="center"/>
    </xf>
    <xf numFmtId="49" fontId="23" fillId="12" borderId="12" xfId="0" applyNumberFormat="1" applyFont="1" applyFill="1" applyBorder="1" applyAlignment="1">
      <alignment horizontal="left" vertical="center"/>
    </xf>
    <xf numFmtId="49" fontId="9" fillId="12" borderId="16" xfId="0" applyNumberFormat="1" applyFont="1" applyFill="1" applyBorder="1" applyAlignment="1">
      <alignment horizontal="right" vertical="center"/>
    </xf>
    <xf numFmtId="49" fontId="28" fillId="12" borderId="0" xfId="0" applyNumberFormat="1" applyFont="1" applyFill="1" applyAlignment="1">
      <alignment horizontal="center" vertical="center"/>
    </xf>
    <xf numFmtId="49" fontId="30" fillId="12" borderId="8" xfId="0" applyNumberFormat="1" applyFont="1" applyFill="1" applyBorder="1" applyAlignment="1">
      <alignment vertical="center"/>
    </xf>
    <xf numFmtId="49" fontId="23" fillId="12" borderId="16" xfId="0" applyNumberFormat="1" applyFont="1" applyFill="1" applyBorder="1" applyAlignment="1">
      <alignment vertical="center"/>
    </xf>
    <xf numFmtId="49" fontId="9" fillId="12" borderId="7" xfId="0" applyNumberFormat="1" applyFont="1" applyFill="1" applyBorder="1" applyAlignment="1">
      <alignment horizontal="right" vertical="center"/>
    </xf>
    <xf numFmtId="49" fontId="30" fillId="12" borderId="9" xfId="0" applyNumberFormat="1" applyFont="1" applyFill="1" applyBorder="1" applyAlignment="1">
      <alignment vertical="center"/>
    </xf>
    <xf numFmtId="0" fontId="9" fillId="12" borderId="7" xfId="0" applyFont="1" applyFill="1" applyBorder="1" applyAlignment="1">
      <alignment horizontal="right" vertical="center"/>
    </xf>
    <xf numFmtId="49" fontId="9" fillId="12" borderId="7" xfId="0" applyNumberFormat="1" applyFont="1" applyFill="1" applyBorder="1" applyAlignment="1">
      <alignment horizontal="center" vertical="center"/>
    </xf>
    <xf numFmtId="49" fontId="28" fillId="12" borderId="7" xfId="0" applyNumberFormat="1" applyFont="1" applyFill="1" applyBorder="1" applyAlignment="1">
      <alignment horizontal="center" vertical="center"/>
    </xf>
    <xf numFmtId="0" fontId="32" fillId="16" borderId="9" xfId="0" applyFont="1" applyFill="1" applyBorder="1" applyAlignment="1">
      <alignment horizontal="right" vertical="center"/>
    </xf>
    <xf numFmtId="0" fontId="30" fillId="12" borderId="0" xfId="0" applyFont="1" applyFill="1"/>
    <xf numFmtId="0" fontId="15" fillId="12" borderId="0" xfId="0" applyFont="1" applyFill="1"/>
    <xf numFmtId="0" fontId="26" fillId="5" borderId="7" xfId="0" applyFont="1" applyFill="1" applyBorder="1"/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" fillId="17" borderId="0" xfId="0" applyFont="1" applyFill="1"/>
    <xf numFmtId="0" fontId="1" fillId="17" borderId="0" xfId="0" applyFont="1" applyFill="1" applyAlignment="1">
      <alignment horizontal="center"/>
    </xf>
    <xf numFmtId="0" fontId="1" fillId="18" borderId="0" xfId="0" applyFont="1" applyFill="1"/>
    <xf numFmtId="0" fontId="1" fillId="18" borderId="0" xfId="0" applyFont="1" applyFill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0" xfId="0" applyNumberFormat="1" applyAlignment="1">
      <alignment horizontal="center" vertical="top"/>
    </xf>
    <xf numFmtId="0" fontId="1" fillId="0" borderId="19" xfId="0" applyFont="1" applyBorder="1" applyAlignment="1">
      <alignment horizontal="center"/>
    </xf>
    <xf numFmtId="0" fontId="57" fillId="0" borderId="5" xfId="0" applyFont="1" applyBorder="1" applyAlignment="1">
      <alignment horizontal="center"/>
    </xf>
    <xf numFmtId="49" fontId="1" fillId="0" borderId="19" xfId="0" applyNumberFormat="1" applyFont="1" applyBorder="1" applyAlignment="1">
      <alignment horizontal="center"/>
    </xf>
    <xf numFmtId="49" fontId="56" fillId="12" borderId="19" xfId="0" applyNumberFormat="1" applyFont="1" applyFill="1" applyBorder="1" applyAlignment="1">
      <alignment horizontal="center"/>
    </xf>
    <xf numFmtId="49" fontId="57" fillId="0" borderId="5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20" fontId="0" fillId="0" borderId="5" xfId="0" applyNumberFormat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49" fontId="56" fillId="0" borderId="0" xfId="0" applyNumberFormat="1" applyFont="1" applyAlignment="1">
      <alignment horizontal="center"/>
    </xf>
    <xf numFmtId="49" fontId="57" fillId="0" borderId="0" xfId="0" applyNumberFormat="1" applyFont="1" applyAlignment="1">
      <alignment horizontal="center"/>
    </xf>
    <xf numFmtId="49" fontId="0" fillId="0" borderId="0" xfId="0" applyNumberFormat="1"/>
    <xf numFmtId="49" fontId="57" fillId="0" borderId="0" xfId="0" applyNumberFormat="1" applyFont="1"/>
    <xf numFmtId="49" fontId="56" fillId="0" borderId="0" xfId="0" applyNumberFormat="1" applyFont="1"/>
    <xf numFmtId="0" fontId="58" fillId="0" borderId="11" xfId="0" applyFont="1" applyBorder="1" applyAlignment="1">
      <alignment horizontal="center" vertical="center"/>
    </xf>
    <xf numFmtId="0" fontId="58" fillId="0" borderId="12" xfId="0" applyFont="1" applyBorder="1" applyAlignment="1">
      <alignment horizontal="center" vertical="center"/>
    </xf>
    <xf numFmtId="0" fontId="58" fillId="0" borderId="13" xfId="0" applyFont="1" applyBorder="1" applyAlignment="1">
      <alignment horizontal="center" vertical="center"/>
    </xf>
    <xf numFmtId="14" fontId="59" fillId="13" borderId="15" xfId="0" applyNumberFormat="1" applyFont="1" applyFill="1" applyBorder="1" applyAlignment="1">
      <alignment horizontal="center" vertical="center" wrapText="1"/>
    </xf>
    <xf numFmtId="0" fontId="59" fillId="13" borderId="16" xfId="0" applyFont="1" applyFill="1" applyBorder="1" applyAlignment="1">
      <alignment horizontal="center" vertical="center" wrapText="1"/>
    </xf>
    <xf numFmtId="0" fontId="59" fillId="13" borderId="10" xfId="0" applyFont="1" applyFill="1" applyBorder="1" applyAlignment="1">
      <alignment horizontal="center" vertical="center" wrapText="1"/>
    </xf>
    <xf numFmtId="0" fontId="59" fillId="13" borderId="17" xfId="0" applyFont="1" applyFill="1" applyBorder="1" applyAlignment="1">
      <alignment horizontal="center" vertical="center" wrapText="1"/>
    </xf>
    <xf numFmtId="0" fontId="59" fillId="13" borderId="7" xfId="0" applyFont="1" applyFill="1" applyBorder="1" applyAlignment="1">
      <alignment horizontal="center" vertical="center" wrapText="1"/>
    </xf>
    <xf numFmtId="0" fontId="59" fillId="13" borderId="9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9" fillId="5" borderId="0" xfId="0" applyFont="1" applyFill="1" applyAlignment="1">
      <alignment horizontal="left" vertical="center"/>
    </xf>
    <xf numFmtId="0" fontId="0" fillId="11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2" borderId="5" xfId="0" applyFill="1" applyBorder="1" applyAlignment="1">
      <alignment vertical="center"/>
    </xf>
    <xf numFmtId="49" fontId="11" fillId="5" borderId="0" xfId="0" applyNumberFormat="1" applyFont="1" applyFill="1" applyAlignment="1">
      <alignment vertical="top" shrinkToFit="1"/>
    </xf>
    <xf numFmtId="0" fontId="9" fillId="5" borderId="16" xfId="0" applyFont="1" applyFill="1" applyBorder="1" applyAlignment="1">
      <alignment horizontal="left" vertical="center"/>
    </xf>
    <xf numFmtId="0" fontId="0" fillId="0" borderId="5" xfId="0" applyBorder="1" applyAlignment="1">
      <alignment horizontal="right" vertical="center" shrinkToFit="1"/>
    </xf>
    <xf numFmtId="14" fontId="16" fillId="5" borderId="6" xfId="0" applyNumberFormat="1" applyFont="1" applyFill="1" applyBorder="1" applyAlignment="1">
      <alignment horizontal="left" vertical="center"/>
    </xf>
    <xf numFmtId="0" fontId="1" fillId="5" borderId="7" xfId="0" applyFont="1" applyFill="1" applyBorder="1" applyAlignment="1">
      <alignment vertical="center" shrinkToFit="1"/>
    </xf>
    <xf numFmtId="0" fontId="43" fillId="5" borderId="7" xfId="0" applyFont="1" applyFill="1" applyBorder="1" applyAlignment="1">
      <alignment vertical="center" shrinkToFit="1"/>
    </xf>
    <xf numFmtId="0" fontId="0" fillId="5" borderId="7" xfId="0" applyFill="1" applyBorder="1" applyAlignment="1">
      <alignment horizontal="center"/>
    </xf>
    <xf numFmtId="0" fontId="1" fillId="5" borderId="11" xfId="0" applyFont="1" applyFill="1" applyBorder="1" applyAlignment="1">
      <alignment horizontal="right" vertical="center" shrinkToFit="1"/>
    </xf>
    <xf numFmtId="0" fontId="1" fillId="5" borderId="13" xfId="0" applyFont="1" applyFill="1" applyBorder="1" applyAlignment="1">
      <alignment horizontal="right" vertical="center" shrinkToFit="1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1" fillId="0" borderId="5" xfId="0" applyFont="1" applyBorder="1" applyAlignment="1">
      <alignment horizontal="right" vertical="center" shrinkToFit="1"/>
    </xf>
    <xf numFmtId="0" fontId="1" fillId="0" borderId="25" xfId="0" applyFont="1" applyBorder="1" applyAlignment="1">
      <alignment horizontal="right" vertical="center" shrinkToFit="1"/>
    </xf>
    <xf numFmtId="0" fontId="0" fillId="0" borderId="25" xfId="0" applyBorder="1" applyAlignment="1">
      <alignment horizontal="right" vertical="center" shrinkToFit="1"/>
    </xf>
    <xf numFmtId="0" fontId="0" fillId="0" borderId="25" xfId="0" applyBorder="1" applyAlignment="1">
      <alignment horizontal="center" vertical="center"/>
    </xf>
    <xf numFmtId="0" fontId="0" fillId="11" borderId="25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right" vertical="center" shrinkToFit="1"/>
    </xf>
    <xf numFmtId="0" fontId="0" fillId="0" borderId="13" xfId="0" applyBorder="1" applyAlignment="1">
      <alignment horizontal="right" vertical="center" shrinkToFit="1"/>
    </xf>
    <xf numFmtId="0" fontId="1" fillId="0" borderId="11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1" xfId="0" applyBorder="1" applyAlignment="1">
      <alignment horizontal="right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4" fontId="16" fillId="12" borderId="6" xfId="0" applyNumberFormat="1" applyFont="1" applyFill="1" applyBorder="1" applyAlignment="1">
      <alignment horizontal="left" vertical="center"/>
    </xf>
  </cellXfs>
  <cellStyles count="5">
    <cellStyle name="Hivatkozás" xfId="1" builtinId="8"/>
    <cellStyle name="Normál" xfId="0" builtinId="0"/>
    <cellStyle name="Normál 2" xfId="3" xr:uid="{36FA4029-AC26-4DD5-964E-8140263C5073}"/>
    <cellStyle name="Pénznem" xfId="2" builtinId="4"/>
    <cellStyle name="Pénznem 2" xfId="4" xr:uid="{26D08FD4-A400-4049-A050-63B4B38AA854}"/>
  </cellStyles>
  <dxfs count="72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0</xdr:rowOff>
    </xdr:from>
    <xdr:to>
      <xdr:col>4</xdr:col>
      <xdr:colOff>1259252</xdr:colOff>
      <xdr:row>11</xdr:row>
      <xdr:rowOff>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 editAs="oneCell">
    <xdr:from>
      <xdr:col>4</xdr:col>
      <xdr:colOff>624840</xdr:colOff>
      <xdr:row>0</xdr:row>
      <xdr:rowOff>53340</xdr:rowOff>
    </xdr:from>
    <xdr:to>
      <xdr:col>4</xdr:col>
      <xdr:colOff>1245870</xdr:colOff>
      <xdr:row>0</xdr:row>
      <xdr:rowOff>548640</xdr:rowOff>
    </xdr:to>
    <xdr:pic>
      <xdr:nvPicPr>
        <xdr:cNvPr id="1275" name="Kép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53340"/>
          <a:ext cx="62484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487680</xdr:colOff>
      <xdr:row>0</xdr:row>
      <xdr:rowOff>0</xdr:rowOff>
    </xdr:from>
    <xdr:to>
      <xdr:col>12</xdr:col>
      <xdr:colOff>504825</xdr:colOff>
      <xdr:row>1</xdr:row>
      <xdr:rowOff>133350</xdr:rowOff>
    </xdr:to>
    <xdr:pic>
      <xdr:nvPicPr>
        <xdr:cNvPr id="661528" name="Kép 2">
          <a:extLst>
            <a:ext uri="{FF2B5EF4-FFF2-40B4-BE49-F238E27FC236}">
              <a16:creationId xmlns:a16="http://schemas.microsoft.com/office/drawing/2014/main" id="{00000000-0008-0000-1800-00001818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2220" y="0"/>
          <a:ext cx="6019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487680</xdr:colOff>
      <xdr:row>0</xdr:row>
      <xdr:rowOff>0</xdr:rowOff>
    </xdr:from>
    <xdr:to>
      <xdr:col>12</xdr:col>
      <xdr:colOff>518160</xdr:colOff>
      <xdr:row>1</xdr:row>
      <xdr:rowOff>160020</xdr:rowOff>
    </xdr:to>
    <xdr:pic>
      <xdr:nvPicPr>
        <xdr:cNvPr id="723991" name="Kép 2">
          <a:extLst>
            <a:ext uri="{FF2B5EF4-FFF2-40B4-BE49-F238E27FC236}">
              <a16:creationId xmlns:a16="http://schemas.microsoft.com/office/drawing/2014/main" id="{00000000-0008-0000-2900-0000170C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0"/>
          <a:ext cx="61722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556260</xdr:colOff>
      <xdr:row>0</xdr:row>
      <xdr:rowOff>7620</xdr:rowOff>
    </xdr:from>
    <xdr:to>
      <xdr:col>12</xdr:col>
      <xdr:colOff>579120</xdr:colOff>
      <xdr:row>1</xdr:row>
      <xdr:rowOff>160020</xdr:rowOff>
    </xdr:to>
    <xdr:pic>
      <xdr:nvPicPr>
        <xdr:cNvPr id="727063" name="Kép 2">
          <a:extLst>
            <a:ext uri="{FF2B5EF4-FFF2-40B4-BE49-F238E27FC236}">
              <a16:creationId xmlns:a16="http://schemas.microsoft.com/office/drawing/2014/main" id="{00000000-0008-0000-2C00-00001718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7620"/>
          <a:ext cx="6096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478938</xdr:colOff>
      <xdr:row>0</xdr:row>
      <xdr:rowOff>0</xdr:rowOff>
    </xdr:from>
    <xdr:to>
      <xdr:col>17</xdr:col>
      <xdr:colOff>194309</xdr:colOff>
      <xdr:row>1</xdr:row>
      <xdr:rowOff>30480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40FEE394-BE27-48CB-8DAB-02EA0F095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2538" y="0"/>
          <a:ext cx="324971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</xdr:colOff>
      <xdr:row>0</xdr:row>
      <xdr:rowOff>0</xdr:rowOff>
    </xdr:from>
    <xdr:to>
      <xdr:col>12</xdr:col>
      <xdr:colOff>495300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A041C98C-E47B-4A38-913E-1919ACDD2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0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160020</xdr:colOff>
      <xdr:row>0</xdr:row>
      <xdr:rowOff>0</xdr:rowOff>
    </xdr:from>
    <xdr:to>
      <xdr:col>12</xdr:col>
      <xdr:colOff>495300</xdr:colOff>
      <xdr:row>1</xdr:row>
      <xdr:rowOff>129032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3CFCE520-C36E-4DA6-B8A7-A3B046F86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0"/>
          <a:ext cx="335280" cy="4414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487680</xdr:colOff>
      <xdr:row>0</xdr:row>
      <xdr:rowOff>0</xdr:rowOff>
    </xdr:from>
    <xdr:to>
      <xdr:col>12</xdr:col>
      <xdr:colOff>510540</xdr:colOff>
      <xdr:row>1</xdr:row>
      <xdr:rowOff>144780</xdr:rowOff>
    </xdr:to>
    <xdr:pic>
      <xdr:nvPicPr>
        <xdr:cNvPr id="737303" name="Kép 2">
          <a:extLst>
            <a:ext uri="{FF2B5EF4-FFF2-40B4-BE49-F238E27FC236}">
              <a16:creationId xmlns:a16="http://schemas.microsoft.com/office/drawing/2014/main" id="{00000000-0008-0000-3E00-00001740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2220" y="0"/>
          <a:ext cx="6096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541020</xdr:colOff>
      <xdr:row>0</xdr:row>
      <xdr:rowOff>0</xdr:rowOff>
    </xdr:from>
    <xdr:to>
      <xdr:col>12</xdr:col>
      <xdr:colOff>541020</xdr:colOff>
      <xdr:row>1</xdr:row>
      <xdr:rowOff>137160</xdr:rowOff>
    </xdr:to>
    <xdr:pic>
      <xdr:nvPicPr>
        <xdr:cNvPr id="738327" name="Kép 2">
          <a:extLst>
            <a:ext uri="{FF2B5EF4-FFF2-40B4-BE49-F238E27FC236}">
              <a16:creationId xmlns:a16="http://schemas.microsoft.com/office/drawing/2014/main" id="{00000000-0008-0000-3F00-00001744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7460" y="0"/>
          <a:ext cx="58674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586740</xdr:colOff>
      <xdr:row>0</xdr:row>
      <xdr:rowOff>38100</xdr:rowOff>
    </xdr:from>
    <xdr:to>
      <xdr:col>12</xdr:col>
      <xdr:colOff>563880</xdr:colOff>
      <xdr:row>1</xdr:row>
      <xdr:rowOff>160020</xdr:rowOff>
    </xdr:to>
    <xdr:pic>
      <xdr:nvPicPr>
        <xdr:cNvPr id="735255" name="Kép 2">
          <a:extLst>
            <a:ext uri="{FF2B5EF4-FFF2-40B4-BE49-F238E27FC236}">
              <a16:creationId xmlns:a16="http://schemas.microsoft.com/office/drawing/2014/main" id="{00000000-0008-0000-3C00-00001738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5560" y="38100"/>
          <a:ext cx="56388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487680</xdr:colOff>
      <xdr:row>0</xdr:row>
      <xdr:rowOff>0</xdr:rowOff>
    </xdr:from>
    <xdr:to>
      <xdr:col>12</xdr:col>
      <xdr:colOff>495300</xdr:colOff>
      <xdr:row>2</xdr:row>
      <xdr:rowOff>137160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4EAF871-C6F8-4B91-99A5-81C2CA682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0"/>
          <a:ext cx="61722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140970</xdr:rowOff>
    </xdr:to>
    <xdr:pic>
      <xdr:nvPicPr>
        <xdr:cNvPr id="296024" name="Kép 2">
          <a:extLst>
            <a:ext uri="{FF2B5EF4-FFF2-40B4-BE49-F238E27FC236}">
              <a16:creationId xmlns:a16="http://schemas.microsoft.com/office/drawing/2014/main" id="{00000000-0008-0000-0300-00005884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45720"/>
          <a:ext cx="5486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53340</xdr:rowOff>
    </xdr:from>
    <xdr:to>
      <xdr:col>12</xdr:col>
      <xdr:colOff>480060</xdr:colOff>
      <xdr:row>1</xdr:row>
      <xdr:rowOff>137160</xdr:rowOff>
    </xdr:to>
    <xdr:pic>
      <xdr:nvPicPr>
        <xdr:cNvPr id="297046" name="Kép 2">
          <a:extLst>
            <a:ext uri="{FF2B5EF4-FFF2-40B4-BE49-F238E27FC236}">
              <a16:creationId xmlns:a16="http://schemas.microsoft.com/office/drawing/2014/main" id="{00000000-0008-0000-0400-00005688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5334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30480</xdr:rowOff>
    </xdr:from>
    <xdr:to>
      <xdr:col>12</xdr:col>
      <xdr:colOff>556260</xdr:colOff>
      <xdr:row>2</xdr:row>
      <xdr:rowOff>0</xdr:rowOff>
    </xdr:to>
    <xdr:pic>
      <xdr:nvPicPr>
        <xdr:cNvPr id="299094" name="Kép 2">
          <a:extLst>
            <a:ext uri="{FF2B5EF4-FFF2-40B4-BE49-F238E27FC236}">
              <a16:creationId xmlns:a16="http://schemas.microsoft.com/office/drawing/2014/main" id="{00000000-0008-0000-0600-00005690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5080" y="30480"/>
          <a:ext cx="59436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563880</xdr:colOff>
      <xdr:row>0</xdr:row>
      <xdr:rowOff>30480</xdr:rowOff>
    </xdr:from>
    <xdr:to>
      <xdr:col>12</xdr:col>
      <xdr:colOff>57150</xdr:colOff>
      <xdr:row>1</xdr:row>
      <xdr:rowOff>133350</xdr:rowOff>
    </xdr:to>
    <xdr:pic>
      <xdr:nvPicPr>
        <xdr:cNvPr id="615495" name="Kép 2">
          <a:extLst>
            <a:ext uri="{FF2B5EF4-FFF2-40B4-BE49-F238E27FC236}">
              <a16:creationId xmlns:a16="http://schemas.microsoft.com/office/drawing/2014/main" id="{00000000-0008-0000-0800-000047640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0320" y="30480"/>
          <a:ext cx="5486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99060</xdr:colOff>
      <xdr:row>0</xdr:row>
      <xdr:rowOff>30480</xdr:rowOff>
    </xdr:from>
    <xdr:to>
      <xdr:col>12</xdr:col>
      <xdr:colOff>502920</xdr:colOff>
      <xdr:row>1</xdr:row>
      <xdr:rowOff>127529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F310ED6A-B0C1-40C9-8A2F-ACEA3DEEE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30480"/>
          <a:ext cx="403860" cy="409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487680</xdr:colOff>
      <xdr:row>0</xdr:row>
      <xdr:rowOff>0</xdr:rowOff>
    </xdr:from>
    <xdr:to>
      <xdr:col>12</xdr:col>
      <xdr:colOff>483870</xdr:colOff>
      <xdr:row>2</xdr:row>
      <xdr:rowOff>102870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2D271EE5-4EDA-4DC4-8731-5C9334A40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0" y="0"/>
          <a:ext cx="6096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556260</xdr:colOff>
      <xdr:row>0</xdr:row>
      <xdr:rowOff>30480</xdr:rowOff>
    </xdr:from>
    <xdr:to>
      <xdr:col>12</xdr:col>
      <xdr:colOff>525780</xdr:colOff>
      <xdr:row>1</xdr:row>
      <xdr:rowOff>137160</xdr:rowOff>
    </xdr:to>
    <xdr:pic>
      <xdr:nvPicPr>
        <xdr:cNvPr id="663576" name="Kép 2">
          <a:extLst>
            <a:ext uri="{FF2B5EF4-FFF2-40B4-BE49-F238E27FC236}">
              <a16:creationId xmlns:a16="http://schemas.microsoft.com/office/drawing/2014/main" id="{00000000-0008-0000-1A00-0000182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30480"/>
          <a:ext cx="55626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</xdr:colOff>
      <xdr:row>0</xdr:row>
      <xdr:rowOff>60960</xdr:rowOff>
    </xdr:from>
    <xdr:to>
      <xdr:col>12</xdr:col>
      <xdr:colOff>525780</xdr:colOff>
      <xdr:row>1</xdr:row>
      <xdr:rowOff>144780</xdr:rowOff>
    </xdr:to>
    <xdr:pic>
      <xdr:nvPicPr>
        <xdr:cNvPr id="659480" name="Kép 2">
          <a:extLst>
            <a:ext uri="{FF2B5EF4-FFF2-40B4-BE49-F238E27FC236}">
              <a16:creationId xmlns:a16="http://schemas.microsoft.com/office/drawing/2014/main" id="{00000000-0008-0000-1600-0000181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3180" y="6096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ozgo\OneDrive\Asztali%20g&#233;p\DO_versenyt&#225;bla.xlsx" TargetMode="External"/><Relationship Id="rId1" Type="http://schemas.openxmlformats.org/officeDocument/2006/relationships/externalLinkPath" Target="/Users/rozgo/OneDrive/Asztali%20g&#233;p/DO_versenyt&#225;b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talanos"/>
      <sheetName val="Birók"/>
      <sheetName val="1Q ELO"/>
      <sheetName val="1Q 8&gt;2"/>
      <sheetName val="1Q 8&gt;4"/>
      <sheetName val="1Q 16&gt;4"/>
      <sheetName val="1MD ELO"/>
      <sheetName val="1E3"/>
      <sheetName val="1E4"/>
      <sheetName val="1E5"/>
      <sheetName val="1E6"/>
      <sheetName val="1E7"/>
      <sheetName val="1E8"/>
      <sheetName val="1MD 8"/>
      <sheetName val="1MD 16"/>
      <sheetName val="1MD 32"/>
      <sheetName val="1MD 64"/>
      <sheetName val="1D ELO"/>
      <sheetName val="1D 8"/>
      <sheetName val="1D 16"/>
      <sheetName val="1D 32"/>
      <sheetName val="1Q ELO (2)"/>
      <sheetName val="1Q 8&gt;2 (2)"/>
      <sheetName val="1Q 8&gt;4 (2)"/>
      <sheetName val="1Q 16&gt;4 (2)"/>
      <sheetName val="1MD ELO (2)"/>
      <sheetName val="1E3 (2)"/>
      <sheetName val="1E4 (2)"/>
      <sheetName val="1E5 (2)"/>
      <sheetName val="1E6 (2)"/>
      <sheetName val="1E7 (2)"/>
      <sheetName val="1E8 (2)"/>
      <sheetName val="1MD 8 (2)"/>
      <sheetName val="1MD 16 (2)"/>
      <sheetName val="1MD 32 (2)"/>
      <sheetName val="1MD 64 (2)"/>
      <sheetName val="1D ELO (2)"/>
      <sheetName val="1D 8 (2)"/>
      <sheetName val="1D 16 (2)"/>
      <sheetName val="1D 32 (2)"/>
      <sheetName val="1Q ELO (3)"/>
      <sheetName val="1Q 8&gt;2 (3)"/>
      <sheetName val="1Q 8&gt;4 (3)"/>
      <sheetName val="1Q 16&gt;4 (3)"/>
      <sheetName val="1MD ELO (3)"/>
      <sheetName val="1E3 (3)"/>
      <sheetName val="1E4 (3)"/>
      <sheetName val="1E5 (3)"/>
      <sheetName val="1E6 (3)"/>
      <sheetName val="1E7 (3)"/>
      <sheetName val="1E8 (3)"/>
      <sheetName val="1MD 8 (3)"/>
      <sheetName val="1MD 16 (3)"/>
      <sheetName val="1MD 32 (3)"/>
      <sheetName val="1MD 64 (3)"/>
      <sheetName val="1D ELO (3)"/>
      <sheetName val="1D 8 (3)"/>
      <sheetName val="1D 16 (3)"/>
      <sheetName val="1D 32 (3)"/>
      <sheetName val="1Q ELO (4)"/>
      <sheetName val="1Q 8&gt;2 (4)"/>
      <sheetName val="1Q 8&gt;4 (4)"/>
      <sheetName val="1Q 16&gt;4 (4)"/>
      <sheetName val="1MD ELO (4)"/>
      <sheetName val="1E3 (4)"/>
      <sheetName val="1E4 (4)"/>
      <sheetName val="1E5 (4)"/>
      <sheetName val="1E6 (4)"/>
      <sheetName val="1E7 (4)"/>
      <sheetName val="1E8 (4)"/>
      <sheetName val="1MD 8 (4)"/>
      <sheetName val="1MD 16 (4)"/>
      <sheetName val="1MD 32 (4)"/>
      <sheetName val="1MD 64 (4)"/>
      <sheetName val="1D ELO (4)"/>
      <sheetName val="1D 8 (4)"/>
      <sheetName val="1D 16 (4)"/>
      <sheetName val="1D 32 (4)"/>
      <sheetName val="1Q ELO (5)"/>
      <sheetName val="1Q 8&gt;2 (5)"/>
      <sheetName val="1Q 8&gt;4 (5)"/>
      <sheetName val="1Q 16&gt;4 (5)"/>
      <sheetName val="1MD ELO (5)"/>
      <sheetName val="1E3 (5)"/>
      <sheetName val="1E4 (5)"/>
      <sheetName val="1E5 (5)"/>
      <sheetName val="1E6 (5)"/>
      <sheetName val="1E7 (5)"/>
      <sheetName val="1E8 (5)"/>
      <sheetName val="1MD 8 (5)"/>
      <sheetName val="1MD 16 (5)"/>
      <sheetName val="1MD 32 (5)"/>
      <sheetName val="1MD 64 (5)"/>
      <sheetName val="1D ELO (5)"/>
      <sheetName val="1D 8 (5)"/>
      <sheetName val="1D 16 (5)"/>
      <sheetName val="1D 32 (5)"/>
    </sheetNames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8"/>
  <sheetViews>
    <sheetView showGridLines="0" showZeros="0" workbookViewId="0">
      <selection activeCell="H14" sqref="H14"/>
    </sheetView>
  </sheetViews>
  <sheetFormatPr defaultRowHeight="13.2" x14ac:dyDescent="0.25"/>
  <cols>
    <col min="1" max="1" width="24.44140625" customWidth="1"/>
    <col min="2" max="3" width="19.109375" customWidth="1"/>
    <col min="4" max="4" width="25.5546875" customWidth="1"/>
    <col min="5" max="5" width="19.109375" style="1" customWidth="1"/>
  </cols>
  <sheetData>
    <row r="1" spans="1:7" s="2" customFormat="1" ht="49.5" customHeight="1" thickBot="1" x14ac:dyDescent="0.3">
      <c r="A1" s="61" t="s">
        <v>81</v>
      </c>
      <c r="B1" s="3"/>
      <c r="C1" s="3"/>
      <c r="D1" s="62"/>
      <c r="E1" s="4"/>
      <c r="F1" s="5"/>
      <c r="G1" s="5"/>
    </row>
    <row r="2" spans="1:7" s="6" customFormat="1" ht="36.75" customHeight="1" thickBot="1" x14ac:dyDescent="0.3">
      <c r="A2" s="7" t="s">
        <v>10</v>
      </c>
      <c r="B2" s="8"/>
      <c r="C2" s="8"/>
      <c r="D2" s="8"/>
      <c r="E2" s="9"/>
      <c r="F2" s="10"/>
      <c r="G2" s="10"/>
    </row>
    <row r="3" spans="1:7" s="2" customFormat="1" ht="6" customHeight="1" thickBot="1" x14ac:dyDescent="0.3">
      <c r="A3" s="11"/>
      <c r="B3" s="12"/>
      <c r="C3" s="12"/>
      <c r="D3" s="12"/>
      <c r="E3" s="13"/>
      <c r="F3" s="5"/>
      <c r="G3" s="5"/>
    </row>
    <row r="4" spans="1:7" s="2" customFormat="1" ht="20.25" customHeight="1" thickBot="1" x14ac:dyDescent="0.3">
      <c r="A4" s="14" t="s">
        <v>11</v>
      </c>
      <c r="B4" s="15"/>
      <c r="C4" s="15"/>
      <c r="D4" s="15"/>
      <c r="E4" s="16"/>
      <c r="F4" s="5"/>
      <c r="G4" s="5"/>
    </row>
    <row r="5" spans="1:7" s="17" customFormat="1" ht="15" customHeight="1" x14ac:dyDescent="0.25">
      <c r="A5" s="71" t="s">
        <v>12</v>
      </c>
      <c r="B5" s="19"/>
      <c r="C5" s="19"/>
      <c r="D5" s="19"/>
      <c r="E5" s="173"/>
      <c r="F5" s="20"/>
      <c r="G5" s="21"/>
    </row>
    <row r="6" spans="1:7" s="2" customFormat="1" ht="24.6" x14ac:dyDescent="0.25">
      <c r="A6" s="220" t="s">
        <v>263</v>
      </c>
      <c r="B6" s="174"/>
      <c r="C6" s="22"/>
      <c r="D6" s="23"/>
      <c r="E6" s="24"/>
      <c r="F6" s="5"/>
      <c r="G6" s="5"/>
    </row>
    <row r="7" spans="1:7" s="17" customFormat="1" ht="15" customHeight="1" x14ac:dyDescent="0.25">
      <c r="A7" s="72" t="s">
        <v>82</v>
      </c>
      <c r="B7" s="72" t="s">
        <v>83</v>
      </c>
      <c r="C7" s="72" t="s">
        <v>84</v>
      </c>
      <c r="D7" s="72" t="s">
        <v>85</v>
      </c>
      <c r="E7" s="72" t="s">
        <v>86</v>
      </c>
      <c r="F7" s="20"/>
      <c r="G7" s="21"/>
    </row>
    <row r="8" spans="1:7" s="2" customFormat="1" ht="16.5" customHeight="1" x14ac:dyDescent="0.25">
      <c r="A8" s="77" t="s">
        <v>264</v>
      </c>
      <c r="B8" s="77" t="s">
        <v>326</v>
      </c>
      <c r="C8" s="77" t="s">
        <v>265</v>
      </c>
      <c r="D8" s="77" t="s">
        <v>266</v>
      </c>
      <c r="E8" s="77" t="s">
        <v>267</v>
      </c>
      <c r="F8" s="5"/>
      <c r="G8" s="5"/>
    </row>
    <row r="9" spans="1:7" s="2" customFormat="1" ht="15" customHeight="1" x14ac:dyDescent="0.25">
      <c r="A9" s="71" t="s">
        <v>13</v>
      </c>
      <c r="B9" s="19"/>
      <c r="C9" s="72" t="s">
        <v>14</v>
      </c>
      <c r="D9" s="72"/>
      <c r="E9" s="73" t="s">
        <v>15</v>
      </c>
      <c r="F9" s="5"/>
      <c r="G9" s="5"/>
    </row>
    <row r="10" spans="1:7" s="2" customFormat="1" x14ac:dyDescent="0.25">
      <c r="A10" s="25" t="s">
        <v>100</v>
      </c>
      <c r="B10" s="26"/>
      <c r="C10" s="27" t="s">
        <v>99</v>
      </c>
      <c r="D10" s="72" t="s">
        <v>37</v>
      </c>
      <c r="E10" s="167"/>
      <c r="F10" s="5"/>
      <c r="G10" s="5"/>
    </row>
    <row r="11" spans="1:7" x14ac:dyDescent="0.25">
      <c r="A11" s="18"/>
      <c r="B11" s="19"/>
      <c r="C11" s="76" t="s">
        <v>35</v>
      </c>
      <c r="D11" s="76" t="s">
        <v>78</v>
      </c>
      <c r="E11" s="76" t="s">
        <v>79</v>
      </c>
      <c r="F11" s="29"/>
      <c r="G11" s="29"/>
    </row>
    <row r="12" spans="1:7" s="2" customFormat="1" x14ac:dyDescent="0.25">
      <c r="A12" s="63"/>
      <c r="B12" s="5"/>
      <c r="C12" s="78"/>
      <c r="D12" s="78" t="s">
        <v>499</v>
      </c>
      <c r="E12" s="78" t="s">
        <v>98</v>
      </c>
      <c r="F12" s="5"/>
      <c r="G12" s="5"/>
    </row>
    <row r="13" spans="1:7" ht="7.5" customHeight="1" x14ac:dyDescent="0.25">
      <c r="A13" s="29"/>
      <c r="B13" s="29"/>
      <c r="C13" s="29"/>
      <c r="D13" s="29"/>
      <c r="E13" s="30"/>
      <c r="F13" s="29"/>
      <c r="G13" s="29"/>
    </row>
    <row r="14" spans="1:7" ht="112.5" customHeight="1" x14ac:dyDescent="0.25">
      <c r="A14" s="29"/>
      <c r="B14" s="29"/>
      <c r="C14" s="29"/>
      <c r="D14" s="29"/>
      <c r="E14" s="30"/>
      <c r="F14" s="29"/>
      <c r="G14" s="29"/>
    </row>
    <row r="15" spans="1:7" ht="18.75" customHeight="1" x14ac:dyDescent="0.25">
      <c r="A15" s="28"/>
      <c r="B15" s="28"/>
      <c r="C15" s="28"/>
      <c r="D15" s="28"/>
      <c r="E15" s="30"/>
      <c r="F15" s="29"/>
      <c r="G15" s="29"/>
    </row>
    <row r="16" spans="1:7" ht="17.25" customHeight="1" x14ac:dyDescent="0.25">
      <c r="A16" s="28"/>
      <c r="B16" s="28"/>
      <c r="C16" s="28"/>
      <c r="D16" s="28"/>
      <c r="E16" s="28"/>
      <c r="F16" s="29"/>
      <c r="G16" s="29"/>
    </row>
    <row r="17" spans="1:7" ht="12.75" customHeight="1" x14ac:dyDescent="0.25">
      <c r="A17" s="31"/>
      <c r="B17" s="162"/>
      <c r="C17" s="64"/>
      <c r="D17" s="32"/>
      <c r="E17" s="30"/>
      <c r="F17" s="29"/>
      <c r="G17" s="29"/>
    </row>
    <row r="18" spans="1:7" x14ac:dyDescent="0.25">
      <c r="A18" s="29"/>
      <c r="B18" s="29"/>
      <c r="C18" s="29"/>
      <c r="D18" s="29"/>
      <c r="E18" s="30"/>
      <c r="F18" s="29"/>
      <c r="G18" s="29"/>
    </row>
  </sheetData>
  <phoneticPr fontId="35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9E706-720B-42D1-9907-1729638E0445}">
  <sheetPr>
    <tabColor indexed="11"/>
  </sheetPr>
  <dimension ref="A1:R41"/>
  <sheetViews>
    <sheetView workbookViewId="0">
      <selection activeCell="P19" sqref="P19"/>
    </sheetView>
  </sheetViews>
  <sheetFormatPr defaultRowHeight="13.2" x14ac:dyDescent="0.25"/>
  <cols>
    <col min="16" max="16" width="16.6640625" customWidth="1"/>
  </cols>
  <sheetData>
    <row r="1" spans="1:18" ht="24.6" x14ac:dyDescent="0.25">
      <c r="A1" s="414" t="str">
        <f>Altalanos!$A$6</f>
        <v>Tenisz Diákolimpia B-A-Z. Vármegyei Döntő</v>
      </c>
      <c r="B1" s="414"/>
      <c r="C1" s="414"/>
      <c r="D1" s="414"/>
      <c r="E1" s="414"/>
      <c r="F1" s="414"/>
      <c r="G1" s="79"/>
      <c r="H1" s="82" t="s">
        <v>29</v>
      </c>
      <c r="I1" s="80"/>
      <c r="J1" s="81"/>
      <c r="L1" s="83"/>
      <c r="M1" s="84"/>
      <c r="N1" s="41"/>
      <c r="O1" s="41" t="s">
        <v>9</v>
      </c>
      <c r="P1" s="41"/>
      <c r="Q1" s="40"/>
      <c r="R1" s="41"/>
    </row>
    <row r="2" spans="1:18" x14ac:dyDescent="0.25">
      <c r="A2" s="85" t="s">
        <v>28</v>
      </c>
      <c r="B2" s="86"/>
      <c r="C2" s="86"/>
      <c r="D2" s="86"/>
      <c r="E2" s="185" t="s">
        <v>502</v>
      </c>
      <c r="F2" s="86"/>
      <c r="G2" s="87"/>
      <c r="H2" s="88"/>
      <c r="I2" s="88"/>
      <c r="J2" s="89"/>
      <c r="K2" s="83"/>
      <c r="L2" s="83"/>
      <c r="M2" s="83"/>
      <c r="N2" s="42"/>
      <c r="O2" s="39"/>
      <c r="P2" s="42"/>
      <c r="Q2" s="39"/>
      <c r="R2" s="42"/>
    </row>
    <row r="3" spans="1:18" x14ac:dyDescent="0.25">
      <c r="A3" s="34" t="s">
        <v>16</v>
      </c>
      <c r="B3" s="34"/>
      <c r="C3" s="34"/>
      <c r="D3" s="34"/>
      <c r="E3" s="34" t="s">
        <v>14</v>
      </c>
      <c r="F3" s="34"/>
      <c r="G3" s="34"/>
      <c r="H3" s="34" t="s">
        <v>18</v>
      </c>
      <c r="I3" s="34"/>
      <c r="J3" s="43"/>
      <c r="K3" s="34"/>
      <c r="L3" s="35" t="s">
        <v>19</v>
      </c>
      <c r="M3" s="34"/>
      <c r="N3" s="112"/>
      <c r="O3" s="111"/>
      <c r="P3" s="112"/>
      <c r="Q3" s="111"/>
      <c r="R3" s="113"/>
    </row>
    <row r="4" spans="1:18" ht="13.8" thickBot="1" x14ac:dyDescent="0.3">
      <c r="A4" s="417" t="str">
        <f>Altalanos!$A$10</f>
        <v>2024.05.02-03.</v>
      </c>
      <c r="B4" s="417"/>
      <c r="C4" s="417"/>
      <c r="D4" s="90"/>
      <c r="E4" s="91" t="str">
        <f>Altalanos!$C$10</f>
        <v>Kazincbarcika</v>
      </c>
      <c r="F4" s="91"/>
      <c r="G4" s="91"/>
      <c r="H4" s="93" t="s">
        <v>39</v>
      </c>
      <c r="I4" s="91"/>
      <c r="J4" s="92"/>
      <c r="K4" s="93"/>
      <c r="L4" s="94">
        <f>Altalanos!$E$10</f>
        <v>0</v>
      </c>
      <c r="M4" s="93"/>
      <c r="N4" s="114"/>
      <c r="O4" s="115"/>
      <c r="P4" s="153" t="s">
        <v>52</v>
      </c>
      <c r="Q4" s="154" t="s">
        <v>61</v>
      </c>
      <c r="R4" s="154" t="s">
        <v>57</v>
      </c>
    </row>
    <row r="5" spans="1:18" x14ac:dyDescent="0.25">
      <c r="A5" s="29"/>
      <c r="B5" s="29" t="s">
        <v>27</v>
      </c>
      <c r="C5" s="107" t="s">
        <v>36</v>
      </c>
      <c r="D5" s="29" t="s">
        <v>22</v>
      </c>
      <c r="E5" s="29" t="s">
        <v>41</v>
      </c>
      <c r="F5" s="29"/>
      <c r="G5" s="29" t="s">
        <v>17</v>
      </c>
      <c r="H5" s="29"/>
      <c r="I5" s="29" t="s">
        <v>20</v>
      </c>
      <c r="J5" s="29"/>
      <c r="K5" s="140" t="s">
        <v>42</v>
      </c>
      <c r="L5" s="140" t="s">
        <v>43</v>
      </c>
      <c r="M5" s="140" t="s">
        <v>44</v>
      </c>
      <c r="P5" s="155" t="s">
        <v>59</v>
      </c>
      <c r="Q5" s="156" t="s">
        <v>55</v>
      </c>
      <c r="R5" s="156" t="s">
        <v>62</v>
      </c>
    </row>
    <row r="6" spans="1:18" x14ac:dyDescent="0.25">
      <c r="A6" s="96"/>
      <c r="B6" s="96"/>
      <c r="C6" s="139"/>
      <c r="D6" s="96"/>
      <c r="E6" s="96"/>
      <c r="F6" s="96"/>
      <c r="G6" s="96"/>
      <c r="H6" s="96"/>
      <c r="I6" s="96"/>
      <c r="J6" s="96"/>
      <c r="K6" s="96"/>
      <c r="L6" s="96"/>
      <c r="M6" s="96"/>
      <c r="P6" s="157" t="s">
        <v>60</v>
      </c>
      <c r="Q6" s="158" t="s">
        <v>63</v>
      </c>
      <c r="R6" s="158" t="s">
        <v>58</v>
      </c>
    </row>
    <row r="7" spans="1:18" x14ac:dyDescent="0.25">
      <c r="A7" s="116" t="s">
        <v>38</v>
      </c>
      <c r="B7" s="141"/>
      <c r="C7" s="143" t="str">
        <f>IF($B7="","",VLOOKUP($B7,#REF!,5))</f>
        <v/>
      </c>
      <c r="D7" s="143" t="str">
        <f>IF($B7="","",VLOOKUP($B7,#REF!,15))</f>
        <v/>
      </c>
      <c r="E7" s="418" t="s">
        <v>328</v>
      </c>
      <c r="F7" s="419"/>
      <c r="G7" s="418" t="s">
        <v>327</v>
      </c>
      <c r="H7" s="419"/>
      <c r="I7" s="144" t="str">
        <f>IF($B7="","",VLOOKUP($B7,#REF!,4))</f>
        <v/>
      </c>
      <c r="J7" s="96"/>
      <c r="K7" s="170"/>
      <c r="L7" s="165" t="str">
        <f>IF(K7="","",CONCATENATE(VLOOKUP($Y$3,$AB$1:$AK$1,K7)," pont"))</f>
        <v/>
      </c>
      <c r="M7" s="171"/>
      <c r="P7" s="153" t="s">
        <v>66</v>
      </c>
      <c r="Q7" s="154" t="s">
        <v>54</v>
      </c>
      <c r="R7" s="154" t="s">
        <v>64</v>
      </c>
    </row>
    <row r="8" spans="1:18" x14ac:dyDescent="0.25">
      <c r="A8" s="116"/>
      <c r="B8" s="142"/>
      <c r="C8" s="145"/>
      <c r="D8" s="145"/>
      <c r="E8" s="145"/>
      <c r="F8" s="145"/>
      <c r="G8" s="145"/>
      <c r="H8" s="145"/>
      <c r="I8" s="145"/>
      <c r="J8" s="96"/>
      <c r="K8" s="116"/>
      <c r="L8" s="116"/>
      <c r="M8" s="172"/>
      <c r="P8" s="155" t="s">
        <v>67</v>
      </c>
      <c r="Q8" s="156" t="s">
        <v>56</v>
      </c>
      <c r="R8" s="156" t="s">
        <v>65</v>
      </c>
    </row>
    <row r="9" spans="1:18" x14ac:dyDescent="0.25">
      <c r="A9" s="116" t="s">
        <v>39</v>
      </c>
      <c r="B9" s="141"/>
      <c r="C9" s="143" t="str">
        <f>IF($B9="","",VLOOKUP($B9,#REF!,5))</f>
        <v/>
      </c>
      <c r="D9" s="143" t="str">
        <f>IF($B9="","",VLOOKUP($B9,#REF!,15))</f>
        <v/>
      </c>
      <c r="E9" s="418" t="s">
        <v>329</v>
      </c>
      <c r="F9" s="419"/>
      <c r="G9" s="418" t="s">
        <v>330</v>
      </c>
      <c r="H9" s="419"/>
      <c r="I9" s="144" t="str">
        <f>IF($B9="","",VLOOKUP($B9,#REF!,4))</f>
        <v/>
      </c>
      <c r="J9" s="96"/>
      <c r="K9" s="170"/>
      <c r="L9" s="165" t="str">
        <f>IF(K9="","",CONCATENATE(VLOOKUP($Y$3,$AB$1:$AK$1,K9)," pont"))</f>
        <v/>
      </c>
      <c r="M9" s="171"/>
    </row>
    <row r="10" spans="1:18" x14ac:dyDescent="0.25">
      <c r="A10" s="116"/>
      <c r="B10" s="142"/>
      <c r="C10" s="145"/>
      <c r="D10" s="145"/>
      <c r="E10" s="145"/>
      <c r="F10" s="145"/>
      <c r="G10" s="145"/>
      <c r="H10" s="145"/>
      <c r="I10" s="145"/>
      <c r="J10" s="96"/>
      <c r="K10" s="116"/>
      <c r="L10" s="116"/>
      <c r="M10" s="172"/>
    </row>
    <row r="11" spans="1:18" x14ac:dyDescent="0.25">
      <c r="A11" s="116" t="s">
        <v>40</v>
      </c>
      <c r="B11" s="141"/>
      <c r="C11" s="143" t="str">
        <f>IF($B11="","",VLOOKUP($B11,#REF!,5))</f>
        <v/>
      </c>
      <c r="D11" s="143" t="str">
        <f>IF($B11="","",VLOOKUP($B11,#REF!,15))</f>
        <v/>
      </c>
      <c r="E11" s="418" t="s">
        <v>331</v>
      </c>
      <c r="F11" s="419"/>
      <c r="G11" s="418" t="s">
        <v>332</v>
      </c>
      <c r="H11" s="419"/>
      <c r="I11" s="144" t="str">
        <f>IF($B11="","",VLOOKUP($B11,#REF!,4))</f>
        <v/>
      </c>
      <c r="J11" s="96"/>
      <c r="K11" s="170"/>
      <c r="L11" s="165" t="str">
        <f>IF(K11="","",CONCATENATE(VLOOKUP($Y$3,$AB$1:$AK$1,K11)," pont"))</f>
        <v/>
      </c>
      <c r="M11" s="171"/>
    </row>
    <row r="12" spans="1:18" x14ac:dyDescent="0.25">
      <c r="A12" s="116"/>
      <c r="B12" s="142"/>
      <c r="C12" s="145"/>
      <c r="D12" s="145"/>
      <c r="E12" s="145"/>
      <c r="F12" s="145"/>
      <c r="G12" s="145"/>
      <c r="H12" s="145"/>
      <c r="I12" s="145"/>
      <c r="J12" s="96"/>
      <c r="K12" s="139"/>
      <c r="L12" s="139"/>
      <c r="M12" s="172"/>
    </row>
    <row r="13" spans="1:18" x14ac:dyDescent="0.25">
      <c r="A13" s="116" t="s">
        <v>45</v>
      </c>
      <c r="B13" s="141"/>
      <c r="C13" s="143" t="str">
        <f>IF($B13="","",VLOOKUP($B13,#REF!,5))</f>
        <v/>
      </c>
      <c r="D13" s="143" t="str">
        <f>IF($B13="","",VLOOKUP($B13,#REF!,15))</f>
        <v/>
      </c>
      <c r="E13" s="418" t="s">
        <v>270</v>
      </c>
      <c r="F13" s="419"/>
      <c r="G13" s="418" t="s">
        <v>333</v>
      </c>
      <c r="H13" s="419"/>
      <c r="I13" s="144" t="str">
        <f>IF($B13="","",VLOOKUP($B13,#REF!,4))</f>
        <v/>
      </c>
      <c r="J13" s="96"/>
      <c r="K13" s="170"/>
      <c r="L13" s="165" t="str">
        <f>IF(K13="","",CONCATENATE(VLOOKUP($Y$3,$AB$1:$AK$1,K13)," pont"))</f>
        <v/>
      </c>
      <c r="M13" s="171"/>
    </row>
    <row r="14" spans="1:18" x14ac:dyDescent="0.25">
      <c r="A14" s="116"/>
      <c r="B14" s="142"/>
      <c r="C14" s="145"/>
      <c r="D14" s="145"/>
      <c r="E14" s="145"/>
      <c r="F14" s="145"/>
      <c r="G14" s="145"/>
      <c r="H14" s="145"/>
      <c r="I14" s="145"/>
      <c r="J14" s="96"/>
      <c r="K14" s="116"/>
      <c r="L14" s="116"/>
      <c r="M14" s="172"/>
    </row>
    <row r="15" spans="1:18" x14ac:dyDescent="0.25">
      <c r="A15" s="116" t="s">
        <v>46</v>
      </c>
      <c r="B15" s="141"/>
      <c r="C15" s="143" t="str">
        <f>IF($B15="","",VLOOKUP($B15,#REF!,5))</f>
        <v/>
      </c>
      <c r="D15" s="143" t="str">
        <f>IF($B15="","",VLOOKUP($B15,#REF!,15))</f>
        <v/>
      </c>
      <c r="E15" s="418" t="s">
        <v>334</v>
      </c>
      <c r="F15" s="419"/>
      <c r="G15" s="418" t="s">
        <v>335</v>
      </c>
      <c r="H15" s="419"/>
      <c r="I15" s="144" t="str">
        <f>IF($B15="","",VLOOKUP($B15,#REF!,4))</f>
        <v/>
      </c>
      <c r="J15" s="96"/>
      <c r="K15" s="170"/>
      <c r="L15" s="165" t="str">
        <f>IF(K15="","",CONCATENATE(VLOOKUP($Y$3,$AB$1:$AK$1,K15)," pont"))</f>
        <v/>
      </c>
      <c r="M15" s="171"/>
    </row>
    <row r="16" spans="1:18" x14ac:dyDescent="0.25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</row>
    <row r="17" spans="1:13" x14ac:dyDescent="0.25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</row>
    <row r="18" spans="1:13" x14ac:dyDescent="0.25">
      <c r="A18" s="96"/>
      <c r="B18" s="413"/>
      <c r="C18" s="413"/>
      <c r="D18" s="412" t="str">
        <f>E7</f>
        <v>Győrfi</v>
      </c>
      <c r="E18" s="412"/>
      <c r="F18" s="412" t="str">
        <f>E9</f>
        <v>Bana</v>
      </c>
      <c r="G18" s="412"/>
      <c r="H18" s="412" t="str">
        <f>E11</f>
        <v>Bukó</v>
      </c>
      <c r="I18" s="412"/>
      <c r="J18" s="412" t="str">
        <f>E13</f>
        <v>Szakál</v>
      </c>
      <c r="K18" s="412"/>
      <c r="L18" s="412" t="str">
        <f>E15</f>
        <v>Plachy</v>
      </c>
      <c r="M18" s="412"/>
    </row>
    <row r="19" spans="1:13" x14ac:dyDescent="0.25">
      <c r="A19" s="146" t="s">
        <v>38</v>
      </c>
      <c r="B19" s="416" t="str">
        <f>E7</f>
        <v>Győrfi</v>
      </c>
      <c r="C19" s="416"/>
      <c r="D19" s="411"/>
      <c r="E19" s="411"/>
      <c r="F19" s="409"/>
      <c r="G19" s="409"/>
      <c r="H19" s="409"/>
      <c r="I19" s="409"/>
      <c r="J19" s="412"/>
      <c r="K19" s="412"/>
      <c r="L19" s="412"/>
      <c r="M19" s="412"/>
    </row>
    <row r="20" spans="1:13" x14ac:dyDescent="0.25">
      <c r="A20" s="146" t="s">
        <v>39</v>
      </c>
      <c r="B20" s="416" t="str">
        <f>E9</f>
        <v>Bana</v>
      </c>
      <c r="C20" s="416"/>
      <c r="D20" s="409"/>
      <c r="E20" s="409"/>
      <c r="F20" s="411"/>
      <c r="G20" s="411"/>
      <c r="H20" s="409"/>
      <c r="I20" s="409"/>
      <c r="J20" s="409"/>
      <c r="K20" s="409"/>
      <c r="L20" s="412"/>
      <c r="M20" s="412"/>
    </row>
    <row r="21" spans="1:13" x14ac:dyDescent="0.25">
      <c r="A21" s="146" t="s">
        <v>40</v>
      </c>
      <c r="B21" s="416" t="str">
        <f>E11</f>
        <v>Bukó</v>
      </c>
      <c r="C21" s="416"/>
      <c r="D21" s="409"/>
      <c r="E21" s="409"/>
      <c r="F21" s="409"/>
      <c r="G21" s="409"/>
      <c r="H21" s="411"/>
      <c r="I21" s="411"/>
      <c r="J21" s="409"/>
      <c r="K21" s="409"/>
      <c r="L21" s="409"/>
      <c r="M21" s="409"/>
    </row>
    <row r="22" spans="1:13" x14ac:dyDescent="0.25">
      <c r="A22" s="146" t="s">
        <v>45</v>
      </c>
      <c r="B22" s="416" t="str">
        <f>E13</f>
        <v>Szakál</v>
      </c>
      <c r="C22" s="416"/>
      <c r="D22" s="409"/>
      <c r="E22" s="409"/>
      <c r="F22" s="409"/>
      <c r="G22" s="409"/>
      <c r="H22" s="412"/>
      <c r="I22" s="412"/>
      <c r="J22" s="411"/>
      <c r="K22" s="411"/>
      <c r="L22" s="409"/>
      <c r="M22" s="409"/>
    </row>
    <row r="23" spans="1:13" x14ac:dyDescent="0.25">
      <c r="A23" s="146" t="s">
        <v>46</v>
      </c>
      <c r="B23" s="416" t="str">
        <f>E15</f>
        <v>Plachy</v>
      </c>
      <c r="C23" s="416"/>
      <c r="D23" s="409"/>
      <c r="E23" s="409"/>
      <c r="F23" s="409"/>
      <c r="G23" s="409"/>
      <c r="H23" s="412"/>
      <c r="I23" s="412"/>
      <c r="J23" s="412"/>
      <c r="K23" s="412"/>
      <c r="L23" s="411"/>
      <c r="M23" s="411"/>
    </row>
    <row r="24" spans="1:13" x14ac:dyDescent="0.25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</row>
    <row r="25" spans="1:13" x14ac:dyDescent="0.25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</row>
    <row r="26" spans="1:13" x14ac:dyDescent="0.25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</row>
    <row r="27" spans="1:13" x14ac:dyDescent="0.25">
      <c r="A27" s="96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</row>
    <row r="28" spans="1:13" x14ac:dyDescent="0.25">
      <c r="A28" s="96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</row>
    <row r="29" spans="1:13" x14ac:dyDescent="0.25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</row>
    <row r="30" spans="1:13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x14ac:dyDescent="0.25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</row>
    <row r="32" spans="1:13" x14ac:dyDescent="0.25">
      <c r="A32" s="96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5"/>
      <c r="M32" s="96"/>
    </row>
    <row r="33" spans="1:18" x14ac:dyDescent="0.25">
      <c r="A33" s="45" t="s">
        <v>22</v>
      </c>
      <c r="B33" s="46"/>
      <c r="C33" s="75"/>
      <c r="D33" s="122" t="s">
        <v>0</v>
      </c>
      <c r="E33" s="123" t="s">
        <v>24</v>
      </c>
      <c r="F33" s="137"/>
      <c r="G33" s="122" t="s">
        <v>0</v>
      </c>
      <c r="H33" s="123" t="s">
        <v>31</v>
      </c>
      <c r="I33" s="56"/>
      <c r="J33" s="123" t="s">
        <v>32</v>
      </c>
      <c r="K33" s="55" t="s">
        <v>33</v>
      </c>
      <c r="L33" s="29"/>
      <c r="M33" s="137"/>
      <c r="P33" s="118"/>
      <c r="Q33" s="118"/>
      <c r="R33" s="119"/>
    </row>
    <row r="34" spans="1:18" x14ac:dyDescent="0.25">
      <c r="A34" s="100" t="s">
        <v>23</v>
      </c>
      <c r="B34" s="101"/>
      <c r="C34" s="102"/>
      <c r="D34" s="124"/>
      <c r="E34" s="415"/>
      <c r="F34" s="415"/>
      <c r="G34" s="131" t="s">
        <v>1</v>
      </c>
      <c r="H34" s="101"/>
      <c r="I34" s="125"/>
      <c r="J34" s="132"/>
      <c r="K34" s="98" t="s">
        <v>25</v>
      </c>
      <c r="L34" s="138"/>
      <c r="M34" s="126"/>
      <c r="P34" s="120"/>
      <c r="Q34" s="120"/>
      <c r="R34" s="48"/>
    </row>
    <row r="35" spans="1:18" x14ac:dyDescent="0.25">
      <c r="A35" s="103" t="s">
        <v>30</v>
      </c>
      <c r="B35" s="54"/>
      <c r="C35" s="104"/>
      <c r="D35" s="127"/>
      <c r="E35" s="410"/>
      <c r="F35" s="410"/>
      <c r="G35" s="133" t="s">
        <v>2</v>
      </c>
      <c r="H35" s="36"/>
      <c r="I35" s="97"/>
      <c r="J35" s="37"/>
      <c r="K35" s="135"/>
      <c r="L35" s="95"/>
      <c r="M35" s="130"/>
      <c r="P35" s="48"/>
      <c r="Q35" s="47"/>
      <c r="R35" s="48"/>
    </row>
    <row r="36" spans="1:18" x14ac:dyDescent="0.25">
      <c r="A36" s="67"/>
      <c r="B36" s="68"/>
      <c r="C36" s="69"/>
      <c r="D36" s="127"/>
      <c r="E36" s="38"/>
      <c r="F36" s="96"/>
      <c r="G36" s="133" t="s">
        <v>3</v>
      </c>
      <c r="H36" s="36"/>
      <c r="I36" s="97"/>
      <c r="J36" s="37"/>
      <c r="K36" s="98" t="s">
        <v>26</v>
      </c>
      <c r="L36" s="138"/>
      <c r="M36" s="126"/>
      <c r="P36" s="120"/>
      <c r="Q36" s="120"/>
      <c r="R36" s="48"/>
    </row>
    <row r="37" spans="1:18" x14ac:dyDescent="0.25">
      <c r="A37" s="49"/>
      <c r="B37" s="44"/>
      <c r="C37" s="50"/>
      <c r="D37" s="127"/>
      <c r="E37" s="38"/>
      <c r="F37" s="96"/>
      <c r="G37" s="133" t="s">
        <v>4</v>
      </c>
      <c r="H37" s="36"/>
      <c r="I37" s="97"/>
      <c r="J37" s="37"/>
      <c r="K37" s="136"/>
      <c r="L37" s="96"/>
      <c r="M37" s="128"/>
      <c r="P37" s="48"/>
      <c r="Q37" s="47"/>
      <c r="R37" s="48"/>
    </row>
    <row r="38" spans="1:18" x14ac:dyDescent="0.25">
      <c r="A38" s="58"/>
      <c r="B38" s="70"/>
      <c r="C38" s="74"/>
      <c r="D38" s="127"/>
      <c r="E38" s="38"/>
      <c r="F38" s="96"/>
      <c r="G38" s="133" t="s">
        <v>5</v>
      </c>
      <c r="H38" s="36"/>
      <c r="I38" s="97"/>
      <c r="J38" s="37"/>
      <c r="K38" s="103"/>
      <c r="L38" s="95"/>
      <c r="M38" s="130"/>
      <c r="P38" s="48"/>
      <c r="Q38" s="47"/>
      <c r="R38" s="48"/>
    </row>
    <row r="39" spans="1:18" x14ac:dyDescent="0.25">
      <c r="A39" s="59"/>
      <c r="B39" s="20"/>
      <c r="C39" s="50"/>
      <c r="D39" s="127"/>
      <c r="E39" s="38"/>
      <c r="F39" s="96"/>
      <c r="G39" s="133" t="s">
        <v>6</v>
      </c>
      <c r="H39" s="36"/>
      <c r="I39" s="97"/>
      <c r="J39" s="37"/>
      <c r="K39" s="98" t="s">
        <v>21</v>
      </c>
      <c r="L39" s="138"/>
      <c r="M39" s="126"/>
      <c r="P39" s="120"/>
      <c r="Q39" s="120"/>
      <c r="R39" s="48"/>
    </row>
    <row r="40" spans="1:18" x14ac:dyDescent="0.25">
      <c r="A40" s="59"/>
      <c r="B40" s="20"/>
      <c r="C40" s="65"/>
      <c r="D40" s="127"/>
      <c r="E40" s="38"/>
      <c r="F40" s="96"/>
      <c r="G40" s="133" t="s">
        <v>7</v>
      </c>
      <c r="H40" s="36"/>
      <c r="I40" s="97"/>
      <c r="J40" s="37"/>
      <c r="K40" s="136"/>
      <c r="L40" s="96"/>
      <c r="M40" s="128"/>
      <c r="P40" s="48"/>
      <c r="Q40" s="47"/>
      <c r="R40" s="48"/>
    </row>
    <row r="41" spans="1:18" x14ac:dyDescent="0.25">
      <c r="A41" s="60"/>
      <c r="B41" s="57"/>
      <c r="C41" s="66"/>
      <c r="D41" s="129"/>
      <c r="E41" s="51"/>
      <c r="F41" s="95"/>
      <c r="G41" s="134" t="s">
        <v>8</v>
      </c>
      <c r="H41" s="54"/>
      <c r="I41" s="99"/>
      <c r="J41" s="52"/>
      <c r="K41" s="103">
        <f>L4</f>
        <v>0</v>
      </c>
      <c r="L41" s="95"/>
      <c r="M41" s="130"/>
      <c r="P41" s="48"/>
      <c r="Q41" s="47"/>
      <c r="R41" s="121"/>
    </row>
  </sheetData>
  <mergeCells count="50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E15:F15"/>
    <mergeCell ref="G15:H15"/>
    <mergeCell ref="L19:M19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21:M21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H23:I23"/>
    <mergeCell ref="J23:K23"/>
    <mergeCell ref="L23:M23"/>
    <mergeCell ref="B22:C22"/>
    <mergeCell ref="D22:E22"/>
    <mergeCell ref="F22:G22"/>
    <mergeCell ref="H22:I22"/>
    <mergeCell ref="J22:K22"/>
    <mergeCell ref="L22:M22"/>
    <mergeCell ref="E34:F34"/>
    <mergeCell ref="E35:F35"/>
    <mergeCell ref="B23:C23"/>
    <mergeCell ref="D23:E23"/>
    <mergeCell ref="F23:G23"/>
  </mergeCells>
  <conditionalFormatting sqref="E7 E9 E11 E13 E15">
    <cfRule type="cellIs" dxfId="51" priority="2" stopIfTrue="1" operator="equal">
      <formula>"Bye"</formula>
    </cfRule>
  </conditionalFormatting>
  <conditionalFormatting sqref="R41">
    <cfRule type="expression" dxfId="50" priority="1" stopIfTrue="1">
      <formula>$O$1="CU"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Munka16">
    <tabColor indexed="11"/>
  </sheetPr>
  <dimension ref="A1:AK47"/>
  <sheetViews>
    <sheetView workbookViewId="0">
      <selection activeCell="E2" sqref="E2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414" t="str">
        <f>Altalanos!$A$6</f>
        <v>Tenisz Diákolimpia B-A-Z. Vármegyei Döntő</v>
      </c>
      <c r="B1" s="414"/>
      <c r="C1" s="414"/>
      <c r="D1" s="414"/>
      <c r="E1" s="414"/>
      <c r="F1" s="414"/>
      <c r="G1" s="79"/>
      <c r="H1" s="82" t="s">
        <v>29</v>
      </c>
      <c r="I1" s="80"/>
      <c r="J1" s="81"/>
      <c r="L1" s="83"/>
      <c r="M1" s="84"/>
      <c r="N1" s="41"/>
      <c r="O1" s="41" t="s">
        <v>9</v>
      </c>
      <c r="P1" s="41"/>
      <c r="Q1" s="40"/>
      <c r="R1" s="41"/>
      <c r="AB1" s="169" t="str">
        <f>IF(Y5=1,CONCATENATE(VLOOKUP(Y3,AA16:AH26,2)),CONCATENATE(VLOOKUP(Y3,AA2:AK13,2)))</f>
        <v>150</v>
      </c>
      <c r="AC1" s="169" t="str">
        <f>IF(Y5=1,CONCATENATE(VLOOKUP(Y3,AA16:AK26,3)),CONCATENATE(VLOOKUP(Y3,AA2:AK13,3)))</f>
        <v>120</v>
      </c>
      <c r="AD1" s="169" t="str">
        <f>IF(Y5=1,CONCATENATE(VLOOKUP(Y3,AA16:AK26,4)),CONCATENATE(VLOOKUP(Y3,AA2:AK13,4)))</f>
        <v>100</v>
      </c>
      <c r="AE1" s="169" t="str">
        <f>IF(Y5=1,CONCATENATE(VLOOKUP(Y3,AA16:AK26,5)),CONCATENATE(VLOOKUP(Y3,AA2:AK13,5)))</f>
        <v>80</v>
      </c>
      <c r="AF1" s="169" t="str">
        <f>IF(Y5=1,CONCATENATE(VLOOKUP(Y3,AA16:AK26,6)),CONCATENATE(VLOOKUP(Y3,AA2:AK13,6)))</f>
        <v>70</v>
      </c>
      <c r="AG1" s="169" t="str">
        <f>IF(Y5=1,CONCATENATE(VLOOKUP(Y3,AA16:AK26,7)),CONCATENATE(VLOOKUP(Y3,AA2:AK13,7)))</f>
        <v>60</v>
      </c>
      <c r="AH1" s="169" t="str">
        <f>IF(Y5=1,CONCATENATE(VLOOKUP(Y3,AA16:AK26,8)),CONCATENATE(VLOOKUP(Y3,AA2:AK13,8)))</f>
        <v>55</v>
      </c>
      <c r="AI1" s="169" t="str">
        <f>IF(Y5=1,CONCATENATE(VLOOKUP(Y3,AA16:AK26,9)),CONCATENATE(VLOOKUP(Y3,AA2:AK13,9)))</f>
        <v>50</v>
      </c>
      <c r="AJ1" s="169" t="str">
        <f>IF(Y5=1,CONCATENATE(VLOOKUP(Y3,AA16:AK26,10)),CONCATENATE(VLOOKUP(Y3,AA2:AK13,10)))</f>
        <v>45</v>
      </c>
      <c r="AK1" s="169" t="str">
        <f>IF(Y5=1,CONCATENATE(VLOOKUP(Y3,AA16:AK26,11)),CONCATENATE(VLOOKUP(Y3,AA2:AK13,11)))</f>
        <v>40</v>
      </c>
    </row>
    <row r="2" spans="1:37" x14ac:dyDescent="0.25">
      <c r="A2" s="85" t="s">
        <v>28</v>
      </c>
      <c r="B2" s="86"/>
      <c r="C2" s="86"/>
      <c r="D2" s="86"/>
      <c r="E2" s="185" t="s">
        <v>265</v>
      </c>
      <c r="F2" s="86"/>
      <c r="G2" s="87"/>
      <c r="H2" s="88"/>
      <c r="I2" s="88"/>
      <c r="J2" s="89"/>
      <c r="K2" s="83"/>
      <c r="L2" s="83"/>
      <c r="M2" s="83"/>
      <c r="N2" s="42"/>
      <c r="O2" s="39"/>
      <c r="P2" s="42"/>
      <c r="Q2" s="39"/>
      <c r="R2" s="42"/>
      <c r="Y2" s="164"/>
      <c r="Z2" s="163"/>
      <c r="AA2" s="163" t="s">
        <v>38</v>
      </c>
      <c r="AB2" s="154">
        <v>150</v>
      </c>
      <c r="AC2" s="154">
        <v>120</v>
      </c>
      <c r="AD2" s="154">
        <v>100</v>
      </c>
      <c r="AE2" s="154">
        <v>80</v>
      </c>
      <c r="AF2" s="154">
        <v>70</v>
      </c>
      <c r="AG2" s="154">
        <v>60</v>
      </c>
      <c r="AH2" s="154">
        <v>55</v>
      </c>
      <c r="AI2" s="154">
        <v>50</v>
      </c>
      <c r="AJ2" s="154">
        <v>45</v>
      </c>
      <c r="AK2" s="154">
        <v>40</v>
      </c>
    </row>
    <row r="3" spans="1:37" x14ac:dyDescent="0.25">
      <c r="A3" s="34" t="s">
        <v>16</v>
      </c>
      <c r="B3" s="34"/>
      <c r="C3" s="34"/>
      <c r="D3" s="34"/>
      <c r="E3" s="34" t="s">
        <v>14</v>
      </c>
      <c r="F3" s="34"/>
      <c r="G3" s="34"/>
      <c r="H3" s="34" t="s">
        <v>18</v>
      </c>
      <c r="I3" s="34"/>
      <c r="J3" s="43"/>
      <c r="K3" s="34"/>
      <c r="L3" s="35" t="s">
        <v>19</v>
      </c>
      <c r="M3" s="34"/>
      <c r="N3" s="112"/>
      <c r="O3" s="111"/>
      <c r="P3" s="112"/>
      <c r="Q3" s="153" t="s">
        <v>52</v>
      </c>
      <c r="R3" s="154" t="s">
        <v>58</v>
      </c>
      <c r="S3" s="154" t="s">
        <v>53</v>
      </c>
      <c r="Y3" s="163" t="str">
        <f>IF(H4="OB","A",IF(H4="IX","W",H4))</f>
        <v>B</v>
      </c>
      <c r="Z3" s="163"/>
      <c r="AA3" s="163" t="s">
        <v>68</v>
      </c>
      <c r="AB3" s="154">
        <v>120</v>
      </c>
      <c r="AC3" s="154">
        <v>90</v>
      </c>
      <c r="AD3" s="154">
        <v>65</v>
      </c>
      <c r="AE3" s="154">
        <v>55</v>
      </c>
      <c r="AF3" s="154">
        <v>50</v>
      </c>
      <c r="AG3" s="154">
        <v>45</v>
      </c>
      <c r="AH3" s="154">
        <v>40</v>
      </c>
      <c r="AI3" s="154">
        <v>35</v>
      </c>
      <c r="AJ3" s="154">
        <v>25</v>
      </c>
      <c r="AK3" s="154">
        <v>20</v>
      </c>
    </row>
    <row r="4" spans="1:37" ht="13.8" thickBot="1" x14ac:dyDescent="0.3">
      <c r="A4" s="417" t="str">
        <f>Altalanos!$A$10</f>
        <v>2024.05.02-03.</v>
      </c>
      <c r="B4" s="417"/>
      <c r="C4" s="417"/>
      <c r="D4" s="90"/>
      <c r="E4" s="91" t="str">
        <f>Altalanos!$C$10</f>
        <v>Kazincbarcika</v>
      </c>
      <c r="F4" s="91"/>
      <c r="G4" s="91"/>
      <c r="H4" s="93" t="s">
        <v>39</v>
      </c>
      <c r="I4" s="91"/>
      <c r="J4" s="92"/>
      <c r="K4" s="93"/>
      <c r="L4" s="94">
        <f>Altalanos!$E$10</f>
        <v>0</v>
      </c>
      <c r="M4" s="93"/>
      <c r="N4" s="114"/>
      <c r="O4" s="115"/>
      <c r="P4" s="114"/>
      <c r="Q4" s="155" t="s">
        <v>59</v>
      </c>
      <c r="R4" s="156" t="s">
        <v>54</v>
      </c>
      <c r="S4" s="156" t="s">
        <v>55</v>
      </c>
      <c r="Y4" s="163"/>
      <c r="Z4" s="163"/>
      <c r="AA4" s="163" t="s">
        <v>69</v>
      </c>
      <c r="AB4" s="154">
        <v>90</v>
      </c>
      <c r="AC4" s="154">
        <v>60</v>
      </c>
      <c r="AD4" s="154">
        <v>45</v>
      </c>
      <c r="AE4" s="154">
        <v>34</v>
      </c>
      <c r="AF4" s="154">
        <v>27</v>
      </c>
      <c r="AG4" s="154">
        <v>22</v>
      </c>
      <c r="AH4" s="154">
        <v>18</v>
      </c>
      <c r="AI4" s="154">
        <v>15</v>
      </c>
      <c r="AJ4" s="154">
        <v>12</v>
      </c>
      <c r="AK4" s="154">
        <v>9</v>
      </c>
    </row>
    <row r="5" spans="1:37" x14ac:dyDescent="0.25">
      <c r="A5" s="29"/>
      <c r="B5" s="29" t="s">
        <v>27</v>
      </c>
      <c r="C5" s="107" t="s">
        <v>36</v>
      </c>
      <c r="D5" s="29" t="s">
        <v>22</v>
      </c>
      <c r="E5" s="29" t="s">
        <v>41</v>
      </c>
      <c r="F5" s="29"/>
      <c r="G5" s="29" t="s">
        <v>17</v>
      </c>
      <c r="H5" s="29"/>
      <c r="I5" s="29" t="s">
        <v>20</v>
      </c>
      <c r="J5" s="29"/>
      <c r="K5" s="140" t="s">
        <v>42</v>
      </c>
      <c r="L5" s="140" t="s">
        <v>43</v>
      </c>
      <c r="M5" s="140" t="s">
        <v>44</v>
      </c>
      <c r="Q5" s="157" t="s">
        <v>60</v>
      </c>
      <c r="R5" s="158" t="s">
        <v>56</v>
      </c>
      <c r="S5" s="158" t="s">
        <v>57</v>
      </c>
      <c r="Y5" s="163">
        <f>IF(OR(Altalanos!$A$8="F1",Altalanos!$A$8="F2",Altalanos!$A$8="N1",Altalanos!$A$8="N2"),1,2)</f>
        <v>2</v>
      </c>
      <c r="Z5" s="163"/>
      <c r="AA5" s="163" t="s">
        <v>70</v>
      </c>
      <c r="AB5" s="154">
        <v>60</v>
      </c>
      <c r="AC5" s="154">
        <v>40</v>
      </c>
      <c r="AD5" s="154">
        <v>30</v>
      </c>
      <c r="AE5" s="154">
        <v>20</v>
      </c>
      <c r="AF5" s="154">
        <v>18</v>
      </c>
      <c r="AG5" s="154">
        <v>15</v>
      </c>
      <c r="AH5" s="154">
        <v>12</v>
      </c>
      <c r="AI5" s="154">
        <v>10</v>
      </c>
      <c r="AJ5" s="154">
        <v>8</v>
      </c>
      <c r="AK5" s="154">
        <v>6</v>
      </c>
    </row>
    <row r="6" spans="1:37" x14ac:dyDescent="0.25">
      <c r="A6" s="96"/>
      <c r="B6" s="96"/>
      <c r="C6" s="139"/>
      <c r="D6" s="96"/>
      <c r="E6" s="96"/>
      <c r="F6" s="96"/>
      <c r="G6" s="96"/>
      <c r="H6" s="96"/>
      <c r="I6" s="96"/>
      <c r="J6" s="96"/>
      <c r="K6" s="96"/>
      <c r="L6" s="96"/>
      <c r="M6" s="96"/>
      <c r="Y6" s="163"/>
      <c r="Z6" s="163"/>
      <c r="AA6" s="163" t="s">
        <v>71</v>
      </c>
      <c r="AB6" s="154">
        <v>40</v>
      </c>
      <c r="AC6" s="154">
        <v>25</v>
      </c>
      <c r="AD6" s="154">
        <v>18</v>
      </c>
      <c r="AE6" s="154">
        <v>13</v>
      </c>
      <c r="AF6" s="154">
        <v>10</v>
      </c>
      <c r="AG6" s="154">
        <v>8</v>
      </c>
      <c r="AH6" s="154">
        <v>6</v>
      </c>
      <c r="AI6" s="154">
        <v>5</v>
      </c>
      <c r="AJ6" s="154">
        <v>4</v>
      </c>
      <c r="AK6" s="154">
        <v>3</v>
      </c>
    </row>
    <row r="7" spans="1:37" x14ac:dyDescent="0.25">
      <c r="A7" s="147" t="s">
        <v>38</v>
      </c>
      <c r="B7" s="159"/>
      <c r="C7" s="109" t="str">
        <f>IF($B7="","",VLOOKUP($B7,#REF!,5))</f>
        <v/>
      </c>
      <c r="D7" s="109" t="str">
        <f>IF($B7="","",VLOOKUP($B7,#REF!,15))</f>
        <v/>
      </c>
      <c r="E7" s="106" t="s">
        <v>336</v>
      </c>
      <c r="F7" s="108"/>
      <c r="G7" s="106" t="s">
        <v>337</v>
      </c>
      <c r="H7" s="108"/>
      <c r="I7" s="106" t="str">
        <f>IF($B7="","",VLOOKUP($B7,#REF!,4))</f>
        <v/>
      </c>
      <c r="J7" s="96"/>
      <c r="K7" s="170"/>
      <c r="L7" s="165" t="str">
        <f>IF(K7="","",CONCATENATE(VLOOKUP($Y$3,$AB$1:$AK$1,K7)," pont"))</f>
        <v/>
      </c>
      <c r="M7" s="171"/>
      <c r="Q7" s="153" t="s">
        <v>52</v>
      </c>
      <c r="R7" s="182" t="s">
        <v>89</v>
      </c>
      <c r="S7" s="182" t="s">
        <v>91</v>
      </c>
      <c r="Y7" s="163"/>
      <c r="Z7" s="163"/>
      <c r="AA7" s="163" t="s">
        <v>72</v>
      </c>
      <c r="AB7" s="154">
        <v>25</v>
      </c>
      <c r="AC7" s="154">
        <v>15</v>
      </c>
      <c r="AD7" s="154">
        <v>13</v>
      </c>
      <c r="AE7" s="154">
        <v>8</v>
      </c>
      <c r="AF7" s="154">
        <v>6</v>
      </c>
      <c r="AG7" s="154">
        <v>4</v>
      </c>
      <c r="AH7" s="154">
        <v>3</v>
      </c>
      <c r="AI7" s="154">
        <v>2</v>
      </c>
      <c r="AJ7" s="154">
        <v>1</v>
      </c>
      <c r="AK7" s="154">
        <v>0</v>
      </c>
    </row>
    <row r="8" spans="1:37" x14ac:dyDescent="0.25">
      <c r="A8" s="116"/>
      <c r="B8" s="160"/>
      <c r="C8" s="117"/>
      <c r="D8" s="117"/>
      <c r="E8" s="117"/>
      <c r="F8" s="117"/>
      <c r="G8" s="117"/>
      <c r="H8" s="117"/>
      <c r="I8" s="117"/>
      <c r="J8" s="96"/>
      <c r="K8" s="116"/>
      <c r="L8" s="116"/>
      <c r="M8" s="172"/>
      <c r="Q8" s="155" t="s">
        <v>59</v>
      </c>
      <c r="R8" s="183" t="s">
        <v>90</v>
      </c>
      <c r="S8" s="183" t="s">
        <v>92</v>
      </c>
      <c r="Y8" s="163"/>
      <c r="Z8" s="163"/>
      <c r="AA8" s="163" t="s">
        <v>73</v>
      </c>
      <c r="AB8" s="154">
        <v>15</v>
      </c>
      <c r="AC8" s="154">
        <v>10</v>
      </c>
      <c r="AD8" s="154">
        <v>7</v>
      </c>
      <c r="AE8" s="154">
        <v>5</v>
      </c>
      <c r="AF8" s="154">
        <v>4</v>
      </c>
      <c r="AG8" s="154">
        <v>3</v>
      </c>
      <c r="AH8" s="154">
        <v>2</v>
      </c>
      <c r="AI8" s="154">
        <v>1</v>
      </c>
      <c r="AJ8" s="154">
        <v>0</v>
      </c>
      <c r="AK8" s="154">
        <v>0</v>
      </c>
    </row>
    <row r="9" spans="1:37" x14ac:dyDescent="0.25">
      <c r="A9" s="116" t="s">
        <v>39</v>
      </c>
      <c r="B9" s="161"/>
      <c r="C9" s="109" t="str">
        <f>IF($B9="","",VLOOKUP($B9,#REF!,5))</f>
        <v/>
      </c>
      <c r="D9" s="109" t="str">
        <f>IF($B9="","",VLOOKUP($B9,#REF!,15))</f>
        <v/>
      </c>
      <c r="E9" s="105" t="s">
        <v>310</v>
      </c>
      <c r="F9" s="110"/>
      <c r="G9" s="105" t="s">
        <v>338</v>
      </c>
      <c r="H9" s="110"/>
      <c r="I9" s="105" t="str">
        <f>IF($B9="","",VLOOKUP($B9,#REF!,4))</f>
        <v/>
      </c>
      <c r="J9" s="96"/>
      <c r="K9" s="170"/>
      <c r="L9" s="165" t="str">
        <f>IF(K9="","",CONCATENATE(VLOOKUP($Y$3,$AB$1:$AK$1,K9)," pont"))</f>
        <v/>
      </c>
      <c r="M9" s="171"/>
      <c r="Q9" s="157" t="s">
        <v>60</v>
      </c>
      <c r="R9" s="184" t="s">
        <v>64</v>
      </c>
      <c r="S9" s="184" t="s">
        <v>93</v>
      </c>
      <c r="Y9" s="163"/>
      <c r="Z9" s="163"/>
      <c r="AA9" s="163" t="s">
        <v>74</v>
      </c>
      <c r="AB9" s="154">
        <v>10</v>
      </c>
      <c r="AC9" s="154">
        <v>6</v>
      </c>
      <c r="AD9" s="154">
        <v>4</v>
      </c>
      <c r="AE9" s="154">
        <v>2</v>
      </c>
      <c r="AF9" s="154">
        <v>1</v>
      </c>
      <c r="AG9" s="154">
        <v>0</v>
      </c>
      <c r="AH9" s="154">
        <v>0</v>
      </c>
      <c r="AI9" s="154">
        <v>0</v>
      </c>
      <c r="AJ9" s="154">
        <v>0</v>
      </c>
      <c r="AK9" s="154">
        <v>0</v>
      </c>
    </row>
    <row r="10" spans="1:37" x14ac:dyDescent="0.25">
      <c r="A10" s="116"/>
      <c r="B10" s="160"/>
      <c r="C10" s="117"/>
      <c r="D10" s="117"/>
      <c r="E10" s="117"/>
      <c r="F10" s="117"/>
      <c r="G10" s="117"/>
      <c r="H10" s="117"/>
      <c r="I10" s="117"/>
      <c r="J10" s="96"/>
      <c r="K10" s="116"/>
      <c r="L10" s="116"/>
      <c r="M10" s="172"/>
      <c r="Y10" s="163"/>
      <c r="Z10" s="163"/>
      <c r="AA10" s="163" t="s">
        <v>75</v>
      </c>
      <c r="AB10" s="154">
        <v>6</v>
      </c>
      <c r="AC10" s="154">
        <v>3</v>
      </c>
      <c r="AD10" s="154">
        <v>2</v>
      </c>
      <c r="AE10" s="154">
        <v>1</v>
      </c>
      <c r="AF10" s="154">
        <v>0</v>
      </c>
      <c r="AG10" s="154">
        <v>0</v>
      </c>
      <c r="AH10" s="154">
        <v>0</v>
      </c>
      <c r="AI10" s="154">
        <v>0</v>
      </c>
      <c r="AJ10" s="154">
        <v>0</v>
      </c>
      <c r="AK10" s="154">
        <v>0</v>
      </c>
    </row>
    <row r="11" spans="1:37" x14ac:dyDescent="0.25">
      <c r="A11" s="116" t="s">
        <v>40</v>
      </c>
      <c r="B11" s="161"/>
      <c r="C11" s="109" t="str">
        <f>IF($B11="","",VLOOKUP($B11,#REF!,5))</f>
        <v/>
      </c>
      <c r="D11" s="109" t="str">
        <f>IF($B11="","",VLOOKUP($B11,#REF!,15))</f>
        <v/>
      </c>
      <c r="E11" s="105" t="s">
        <v>339</v>
      </c>
      <c r="F11" s="110"/>
      <c r="G11" s="105" t="s">
        <v>340</v>
      </c>
      <c r="H11" s="110"/>
      <c r="I11" s="105" t="str">
        <f>IF($B11="","",VLOOKUP($B11,#REF!,4))</f>
        <v/>
      </c>
      <c r="J11" s="96"/>
      <c r="K11" s="170"/>
      <c r="L11" s="165" t="str">
        <f>IF(K11="","",CONCATENATE(VLOOKUP($Y$3,$AB$1:$AK$1,K11)," pont"))</f>
        <v/>
      </c>
      <c r="M11" s="171"/>
      <c r="Y11" s="163"/>
      <c r="Z11" s="163"/>
      <c r="AA11" s="163" t="s">
        <v>80</v>
      </c>
      <c r="AB11" s="154">
        <v>3</v>
      </c>
      <c r="AC11" s="154">
        <v>2</v>
      </c>
      <c r="AD11" s="154">
        <v>1</v>
      </c>
      <c r="AE11" s="154">
        <v>0</v>
      </c>
      <c r="AF11" s="154">
        <v>0</v>
      </c>
      <c r="AG11" s="154">
        <v>0</v>
      </c>
      <c r="AH11" s="154">
        <v>0</v>
      </c>
      <c r="AI11" s="154">
        <v>0</v>
      </c>
      <c r="AJ11" s="154">
        <v>0</v>
      </c>
      <c r="AK11" s="154">
        <v>0</v>
      </c>
    </row>
    <row r="12" spans="1:37" x14ac:dyDescent="0.25">
      <c r="A12" s="96"/>
      <c r="B12" s="147"/>
      <c r="C12" s="139"/>
      <c r="D12" s="96"/>
      <c r="E12" s="96"/>
      <c r="F12" s="96"/>
      <c r="G12" s="96"/>
      <c r="H12" s="96"/>
      <c r="I12" s="96"/>
      <c r="J12" s="96"/>
      <c r="K12" s="139"/>
      <c r="L12" s="139"/>
      <c r="M12" s="172"/>
      <c r="Y12" s="163"/>
      <c r="Z12" s="163"/>
      <c r="AA12" s="163" t="s">
        <v>76</v>
      </c>
      <c r="AB12" s="168">
        <v>0</v>
      </c>
      <c r="AC12" s="168">
        <v>0</v>
      </c>
      <c r="AD12" s="168">
        <v>0</v>
      </c>
      <c r="AE12" s="168">
        <v>0</v>
      </c>
      <c r="AF12" s="168">
        <v>0</v>
      </c>
      <c r="AG12" s="168">
        <v>0</v>
      </c>
      <c r="AH12" s="168">
        <v>0</v>
      </c>
      <c r="AI12" s="168">
        <v>0</v>
      </c>
      <c r="AJ12" s="168">
        <v>0</v>
      </c>
      <c r="AK12" s="168">
        <v>0</v>
      </c>
    </row>
    <row r="13" spans="1:37" x14ac:dyDescent="0.25">
      <c r="A13" s="147" t="s">
        <v>45</v>
      </c>
      <c r="B13" s="159"/>
      <c r="C13" s="109" t="str">
        <f>IF($B13="","",VLOOKUP($B13,#REF!,5))</f>
        <v/>
      </c>
      <c r="D13" s="109" t="str">
        <f>IF($B13="","",VLOOKUP($B13,#REF!,15))</f>
        <v/>
      </c>
      <c r="E13" s="106" t="s">
        <v>341</v>
      </c>
      <c r="F13" s="108"/>
      <c r="G13" s="106" t="s">
        <v>342</v>
      </c>
      <c r="H13" s="108"/>
      <c r="I13" s="106" t="str">
        <f>IF($B13="","",VLOOKUP($B13,#REF!,4))</f>
        <v/>
      </c>
      <c r="J13" s="96"/>
      <c r="K13" s="170"/>
      <c r="L13" s="165" t="str">
        <f>IF(K13="","",CONCATENATE(VLOOKUP($Y$3,$AB$1:$AK$1,K13)," pont"))</f>
        <v/>
      </c>
      <c r="M13" s="171"/>
      <c r="Y13" s="163"/>
      <c r="Z13" s="163"/>
      <c r="AA13" s="163" t="s">
        <v>77</v>
      </c>
      <c r="AB13" s="168">
        <v>0</v>
      </c>
      <c r="AC13" s="168">
        <v>0</v>
      </c>
      <c r="AD13" s="168">
        <v>0</v>
      </c>
      <c r="AE13" s="168">
        <v>0</v>
      </c>
      <c r="AF13" s="168">
        <v>0</v>
      </c>
      <c r="AG13" s="168">
        <v>0</v>
      </c>
      <c r="AH13" s="168">
        <v>0</v>
      </c>
      <c r="AI13" s="168">
        <v>0</v>
      </c>
      <c r="AJ13" s="168">
        <v>0</v>
      </c>
      <c r="AK13" s="168">
        <v>0</v>
      </c>
    </row>
    <row r="14" spans="1:37" x14ac:dyDescent="0.25">
      <c r="A14" s="116"/>
      <c r="B14" s="160"/>
      <c r="C14" s="117"/>
      <c r="D14" s="117"/>
      <c r="E14" s="117"/>
      <c r="F14" s="117"/>
      <c r="G14" s="117"/>
      <c r="H14" s="117"/>
      <c r="I14" s="117"/>
      <c r="J14" s="96"/>
      <c r="K14" s="116"/>
      <c r="L14" s="116"/>
      <c r="M14" s="172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</row>
    <row r="15" spans="1:37" x14ac:dyDescent="0.25">
      <c r="A15" s="116" t="s">
        <v>46</v>
      </c>
      <c r="B15" s="161"/>
      <c r="C15" s="109" t="str">
        <f>IF($B15="","",VLOOKUP($B15,#REF!,5))</f>
        <v/>
      </c>
      <c r="D15" s="109" t="str">
        <f>IF($B15="","",VLOOKUP($B15,#REF!,15))</f>
        <v/>
      </c>
      <c r="E15" s="105" t="s">
        <v>343</v>
      </c>
      <c r="F15" s="110"/>
      <c r="G15" s="105" t="s">
        <v>344</v>
      </c>
      <c r="H15" s="110"/>
      <c r="I15" s="105" t="str">
        <f>IF($B15="","",VLOOKUP($B15,#REF!,4))</f>
        <v/>
      </c>
      <c r="J15" s="96"/>
      <c r="K15" s="170"/>
      <c r="L15" s="165" t="str">
        <f>IF(K15="","",CONCATENATE(VLOOKUP($Y$3,$AB$1:$AK$1,K15)," pont"))</f>
        <v/>
      </c>
      <c r="M15" s="171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</row>
    <row r="16" spans="1:37" x14ac:dyDescent="0.25">
      <c r="A16" s="116"/>
      <c r="B16" s="160"/>
      <c r="C16" s="117"/>
      <c r="D16" s="117"/>
      <c r="E16" s="117"/>
      <c r="F16" s="117"/>
      <c r="G16" s="117"/>
      <c r="H16" s="117"/>
      <c r="I16" s="117"/>
      <c r="J16" s="96"/>
      <c r="K16" s="116"/>
      <c r="L16" s="116"/>
      <c r="M16" s="172"/>
      <c r="Y16" s="163"/>
      <c r="Z16" s="163"/>
      <c r="AA16" s="163" t="s">
        <v>38</v>
      </c>
      <c r="AB16" s="163">
        <v>300</v>
      </c>
      <c r="AC16" s="163">
        <v>250</v>
      </c>
      <c r="AD16" s="163">
        <v>220</v>
      </c>
      <c r="AE16" s="163">
        <v>180</v>
      </c>
      <c r="AF16" s="163">
        <v>160</v>
      </c>
      <c r="AG16" s="163">
        <v>150</v>
      </c>
      <c r="AH16" s="163">
        <v>140</v>
      </c>
      <c r="AI16" s="163">
        <v>130</v>
      </c>
      <c r="AJ16" s="163">
        <v>120</v>
      </c>
      <c r="AK16" s="163">
        <v>110</v>
      </c>
    </row>
    <row r="17" spans="1:37" x14ac:dyDescent="0.25">
      <c r="A17" s="116" t="s">
        <v>47</v>
      </c>
      <c r="B17" s="161"/>
      <c r="C17" s="109" t="str">
        <f>IF($B17="","",VLOOKUP($B17,#REF!,5))</f>
        <v/>
      </c>
      <c r="D17" s="109" t="str">
        <f>IF($B17="","",VLOOKUP($B17,#REF!,15))</f>
        <v/>
      </c>
      <c r="E17" s="105" t="s">
        <v>345</v>
      </c>
      <c r="F17" s="110"/>
      <c r="G17" s="105" t="s">
        <v>291</v>
      </c>
      <c r="H17" s="110"/>
      <c r="I17" s="105" t="str">
        <f>IF($B17="","",VLOOKUP($B17,#REF!,4))</f>
        <v/>
      </c>
      <c r="J17" s="96"/>
      <c r="K17" s="170"/>
      <c r="L17" s="165" t="str">
        <f>IF(K17="","",CONCATENATE(VLOOKUP($Y$3,$AB$1:$AK$1,K17)," pont"))</f>
        <v/>
      </c>
      <c r="M17" s="171"/>
      <c r="Y17" s="163"/>
      <c r="Z17" s="163"/>
      <c r="AA17" s="163" t="s">
        <v>68</v>
      </c>
      <c r="AB17" s="163">
        <v>250</v>
      </c>
      <c r="AC17" s="163">
        <v>200</v>
      </c>
      <c r="AD17" s="163">
        <v>160</v>
      </c>
      <c r="AE17" s="163">
        <v>140</v>
      </c>
      <c r="AF17" s="163">
        <v>120</v>
      </c>
      <c r="AG17" s="163">
        <v>110</v>
      </c>
      <c r="AH17" s="163">
        <v>100</v>
      </c>
      <c r="AI17" s="163">
        <v>90</v>
      </c>
      <c r="AJ17" s="163">
        <v>80</v>
      </c>
      <c r="AK17" s="163">
        <v>70</v>
      </c>
    </row>
    <row r="18" spans="1:37" x14ac:dyDescent="0.25">
      <c r="A18" s="116"/>
      <c r="B18" s="160"/>
      <c r="C18" s="117"/>
      <c r="D18" s="117"/>
      <c r="E18" s="117"/>
      <c r="F18" s="117"/>
      <c r="G18" s="117"/>
      <c r="H18" s="117"/>
      <c r="I18" s="117"/>
      <c r="J18" s="96"/>
      <c r="K18" s="116"/>
      <c r="L18" s="116"/>
      <c r="M18" s="172"/>
      <c r="Y18" s="163"/>
      <c r="Z18" s="163"/>
      <c r="AA18" s="163" t="s">
        <v>69</v>
      </c>
      <c r="AB18" s="163">
        <v>200</v>
      </c>
      <c r="AC18" s="163">
        <v>150</v>
      </c>
      <c r="AD18" s="163">
        <v>130</v>
      </c>
      <c r="AE18" s="163">
        <v>110</v>
      </c>
      <c r="AF18" s="163">
        <v>95</v>
      </c>
      <c r="AG18" s="163">
        <v>80</v>
      </c>
      <c r="AH18" s="163">
        <v>70</v>
      </c>
      <c r="AI18" s="163">
        <v>60</v>
      </c>
      <c r="AJ18" s="163">
        <v>55</v>
      </c>
      <c r="AK18" s="163">
        <v>50</v>
      </c>
    </row>
    <row r="19" spans="1:37" x14ac:dyDescent="0.25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Y19" s="163"/>
      <c r="Z19" s="163"/>
      <c r="AA19" s="163" t="s">
        <v>71</v>
      </c>
      <c r="AB19" s="163">
        <v>120</v>
      </c>
      <c r="AC19" s="163">
        <v>90</v>
      </c>
      <c r="AD19" s="163">
        <v>65</v>
      </c>
      <c r="AE19" s="163">
        <v>55</v>
      </c>
      <c r="AF19" s="163">
        <v>50</v>
      </c>
      <c r="AG19" s="163">
        <v>45</v>
      </c>
      <c r="AH19" s="163">
        <v>40</v>
      </c>
      <c r="AI19" s="163">
        <v>35</v>
      </c>
      <c r="AJ19" s="163">
        <v>25</v>
      </c>
      <c r="AK19" s="163">
        <v>20</v>
      </c>
    </row>
    <row r="20" spans="1:37" x14ac:dyDescent="0.25">
      <c r="A20" s="96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Y20" s="163"/>
      <c r="Z20" s="163"/>
      <c r="AA20" s="163" t="s">
        <v>72</v>
      </c>
      <c r="AB20" s="163">
        <v>90</v>
      </c>
      <c r="AC20" s="163">
        <v>60</v>
      </c>
      <c r="AD20" s="163">
        <v>45</v>
      </c>
      <c r="AE20" s="163">
        <v>34</v>
      </c>
      <c r="AF20" s="163">
        <v>27</v>
      </c>
      <c r="AG20" s="163">
        <v>22</v>
      </c>
      <c r="AH20" s="163">
        <v>18</v>
      </c>
      <c r="AI20" s="163">
        <v>15</v>
      </c>
      <c r="AJ20" s="163">
        <v>12</v>
      </c>
      <c r="AK20" s="163">
        <v>9</v>
      </c>
    </row>
    <row r="21" spans="1:37" ht="18.75" customHeight="1" x14ac:dyDescent="0.25">
      <c r="A21" s="96"/>
      <c r="B21" s="413"/>
      <c r="C21" s="413"/>
      <c r="D21" s="412" t="str">
        <f>E7</f>
        <v>Bárány</v>
      </c>
      <c r="E21" s="412"/>
      <c r="F21" s="412" t="str">
        <f>E9</f>
        <v>Czeglédi</v>
      </c>
      <c r="G21" s="412"/>
      <c r="H21" s="412" t="str">
        <f>E11</f>
        <v>Kurecskó</v>
      </c>
      <c r="I21" s="412"/>
      <c r="J21" s="96"/>
      <c r="K21" s="96"/>
      <c r="L21" s="96"/>
      <c r="M21" s="148" t="s">
        <v>42</v>
      </c>
      <c r="Y21" s="163"/>
      <c r="Z21" s="163"/>
      <c r="AA21" s="163" t="s">
        <v>73</v>
      </c>
      <c r="AB21" s="163">
        <v>60</v>
      </c>
      <c r="AC21" s="163">
        <v>40</v>
      </c>
      <c r="AD21" s="163">
        <v>30</v>
      </c>
      <c r="AE21" s="163">
        <v>20</v>
      </c>
      <c r="AF21" s="163">
        <v>18</v>
      </c>
      <c r="AG21" s="163">
        <v>15</v>
      </c>
      <c r="AH21" s="163">
        <v>12</v>
      </c>
      <c r="AI21" s="163">
        <v>10</v>
      </c>
      <c r="AJ21" s="163">
        <v>8</v>
      </c>
      <c r="AK21" s="163">
        <v>6</v>
      </c>
    </row>
    <row r="22" spans="1:37" ht="18.75" customHeight="1" x14ac:dyDescent="0.25">
      <c r="A22" s="146" t="s">
        <v>38</v>
      </c>
      <c r="B22" s="416" t="str">
        <f>E7</f>
        <v>Bárány</v>
      </c>
      <c r="C22" s="416"/>
      <c r="D22" s="411"/>
      <c r="E22" s="411"/>
      <c r="F22" s="409"/>
      <c r="G22" s="409"/>
      <c r="H22" s="409"/>
      <c r="I22" s="409"/>
      <c r="J22" s="96"/>
      <c r="K22" s="96"/>
      <c r="L22" s="96"/>
      <c r="M22" s="149"/>
      <c r="Y22" s="163"/>
      <c r="Z22" s="163"/>
      <c r="AA22" s="163" t="s">
        <v>74</v>
      </c>
      <c r="AB22" s="163">
        <v>40</v>
      </c>
      <c r="AC22" s="163">
        <v>25</v>
      </c>
      <c r="AD22" s="163">
        <v>18</v>
      </c>
      <c r="AE22" s="163">
        <v>13</v>
      </c>
      <c r="AF22" s="163">
        <v>8</v>
      </c>
      <c r="AG22" s="163">
        <v>7</v>
      </c>
      <c r="AH22" s="163">
        <v>6</v>
      </c>
      <c r="AI22" s="163">
        <v>5</v>
      </c>
      <c r="AJ22" s="163">
        <v>4</v>
      </c>
      <c r="AK22" s="163">
        <v>3</v>
      </c>
    </row>
    <row r="23" spans="1:37" ht="18.75" customHeight="1" x14ac:dyDescent="0.25">
      <c r="A23" s="146" t="s">
        <v>39</v>
      </c>
      <c r="B23" s="416" t="str">
        <f>E9</f>
        <v>Czeglédi</v>
      </c>
      <c r="C23" s="416"/>
      <c r="D23" s="409"/>
      <c r="E23" s="409"/>
      <c r="F23" s="411"/>
      <c r="G23" s="411"/>
      <c r="H23" s="409"/>
      <c r="I23" s="409"/>
      <c r="J23" s="96"/>
      <c r="K23" s="96"/>
      <c r="L23" s="96"/>
      <c r="M23" s="149"/>
      <c r="Y23" s="163"/>
      <c r="Z23" s="163"/>
      <c r="AA23" s="163" t="s">
        <v>75</v>
      </c>
      <c r="AB23" s="163">
        <v>25</v>
      </c>
      <c r="AC23" s="163">
        <v>15</v>
      </c>
      <c r="AD23" s="163">
        <v>13</v>
      </c>
      <c r="AE23" s="163">
        <v>7</v>
      </c>
      <c r="AF23" s="163">
        <v>6</v>
      </c>
      <c r="AG23" s="163">
        <v>5</v>
      </c>
      <c r="AH23" s="163">
        <v>4</v>
      </c>
      <c r="AI23" s="163">
        <v>3</v>
      </c>
      <c r="AJ23" s="163">
        <v>2</v>
      </c>
      <c r="AK23" s="163">
        <v>1</v>
      </c>
    </row>
    <row r="24" spans="1:37" ht="18.75" customHeight="1" x14ac:dyDescent="0.25">
      <c r="A24" s="146" t="s">
        <v>40</v>
      </c>
      <c r="B24" s="416" t="str">
        <f>E11</f>
        <v>Kurecskó</v>
      </c>
      <c r="C24" s="416"/>
      <c r="D24" s="409"/>
      <c r="E24" s="409"/>
      <c r="F24" s="409"/>
      <c r="G24" s="409"/>
      <c r="H24" s="411"/>
      <c r="I24" s="411"/>
      <c r="J24" s="96"/>
      <c r="K24" s="96"/>
      <c r="L24" s="96"/>
      <c r="M24" s="149"/>
      <c r="Y24" s="163"/>
      <c r="Z24" s="163"/>
      <c r="AA24" s="163" t="s">
        <v>80</v>
      </c>
      <c r="AB24" s="163">
        <v>15</v>
      </c>
      <c r="AC24" s="163">
        <v>10</v>
      </c>
      <c r="AD24" s="163">
        <v>8</v>
      </c>
      <c r="AE24" s="163">
        <v>4</v>
      </c>
      <c r="AF24" s="163">
        <v>3</v>
      </c>
      <c r="AG24" s="163">
        <v>2</v>
      </c>
      <c r="AH24" s="163">
        <v>1</v>
      </c>
      <c r="AI24" s="163">
        <v>0</v>
      </c>
      <c r="AJ24" s="163">
        <v>0</v>
      </c>
      <c r="AK24" s="163">
        <v>0</v>
      </c>
    </row>
    <row r="25" spans="1:37" x14ac:dyDescent="0.25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150"/>
      <c r="Y25" s="163"/>
      <c r="Z25" s="163"/>
      <c r="AA25" s="163" t="s">
        <v>76</v>
      </c>
      <c r="AB25" s="163">
        <v>10</v>
      </c>
      <c r="AC25" s="163">
        <v>6</v>
      </c>
      <c r="AD25" s="163">
        <v>4</v>
      </c>
      <c r="AE25" s="163">
        <v>2</v>
      </c>
      <c r="AF25" s="163">
        <v>1</v>
      </c>
      <c r="AG25" s="163">
        <v>0</v>
      </c>
      <c r="AH25" s="163">
        <v>0</v>
      </c>
      <c r="AI25" s="163">
        <v>0</v>
      </c>
      <c r="AJ25" s="163">
        <v>0</v>
      </c>
      <c r="AK25" s="163">
        <v>0</v>
      </c>
    </row>
    <row r="26" spans="1:37" ht="18.75" customHeight="1" x14ac:dyDescent="0.25">
      <c r="A26" s="96"/>
      <c r="B26" s="413"/>
      <c r="C26" s="413"/>
      <c r="D26" s="412" t="str">
        <f>E13</f>
        <v xml:space="preserve">Pálfi </v>
      </c>
      <c r="E26" s="412"/>
      <c r="F26" s="412" t="str">
        <f>E15</f>
        <v>Daragó</v>
      </c>
      <c r="G26" s="412"/>
      <c r="H26" s="412" t="str">
        <f>E17</f>
        <v>Zavodnyik</v>
      </c>
      <c r="I26" s="412"/>
      <c r="J26" s="439"/>
      <c r="K26" s="439"/>
      <c r="L26" s="96"/>
      <c r="M26" s="150"/>
      <c r="Y26" s="163"/>
      <c r="Z26" s="163"/>
      <c r="AA26" s="163" t="s">
        <v>77</v>
      </c>
      <c r="AB26" s="163">
        <v>3</v>
      </c>
      <c r="AC26" s="163">
        <v>2</v>
      </c>
      <c r="AD26" s="163">
        <v>1</v>
      </c>
      <c r="AE26" s="163">
        <v>0</v>
      </c>
      <c r="AF26" s="163">
        <v>0</v>
      </c>
      <c r="AG26" s="163">
        <v>0</v>
      </c>
      <c r="AH26" s="163">
        <v>0</v>
      </c>
      <c r="AI26" s="163">
        <v>0</v>
      </c>
      <c r="AJ26" s="163">
        <v>0</v>
      </c>
      <c r="AK26" s="163">
        <v>0</v>
      </c>
    </row>
    <row r="27" spans="1:37" ht="18.75" customHeight="1" x14ac:dyDescent="0.25">
      <c r="A27" s="146" t="s">
        <v>45</v>
      </c>
      <c r="B27" s="416" t="str">
        <f>E13</f>
        <v xml:space="preserve">Pálfi </v>
      </c>
      <c r="C27" s="416"/>
      <c r="D27" s="411"/>
      <c r="E27" s="411"/>
      <c r="F27" s="409"/>
      <c r="G27" s="409"/>
      <c r="H27" s="409"/>
      <c r="I27" s="409"/>
      <c r="J27" s="439"/>
      <c r="K27" s="439"/>
      <c r="L27" s="96"/>
      <c r="M27" s="149"/>
    </row>
    <row r="28" spans="1:37" ht="18.75" customHeight="1" x14ac:dyDescent="0.25">
      <c r="A28" s="146" t="s">
        <v>46</v>
      </c>
      <c r="B28" s="416" t="str">
        <f>E15</f>
        <v>Daragó</v>
      </c>
      <c r="C28" s="416"/>
      <c r="D28" s="409"/>
      <c r="E28" s="409"/>
      <c r="F28" s="411"/>
      <c r="G28" s="411"/>
      <c r="H28" s="409"/>
      <c r="I28" s="409"/>
      <c r="J28" s="439"/>
      <c r="K28" s="439"/>
      <c r="L28" s="96"/>
      <c r="M28" s="149"/>
    </row>
    <row r="29" spans="1:37" ht="18.75" customHeight="1" x14ac:dyDescent="0.25">
      <c r="A29" s="146" t="s">
        <v>47</v>
      </c>
      <c r="B29" s="416" t="str">
        <f>E17</f>
        <v>Zavodnyik</v>
      </c>
      <c r="C29" s="416"/>
      <c r="D29" s="409"/>
      <c r="E29" s="409"/>
      <c r="F29" s="409"/>
      <c r="G29" s="409"/>
      <c r="H29" s="411"/>
      <c r="I29" s="411"/>
      <c r="J29" s="439"/>
      <c r="K29" s="439"/>
      <c r="L29" s="96"/>
      <c r="M29" s="149"/>
    </row>
    <row r="30" spans="1:37" ht="18.75" customHeight="1" x14ac:dyDescent="0.25">
      <c r="A30" s="53"/>
      <c r="B30" s="151"/>
      <c r="C30" s="151"/>
      <c r="D30" s="53"/>
      <c r="E30" s="53"/>
      <c r="F30" s="53"/>
      <c r="G30" s="53"/>
      <c r="H30" s="53"/>
      <c r="I30" s="53"/>
      <c r="J30" s="96"/>
      <c r="K30" s="96"/>
      <c r="L30" s="96"/>
      <c r="M30" s="152"/>
    </row>
    <row r="31" spans="1:37" x14ac:dyDescent="0.25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</row>
    <row r="32" spans="1:37" x14ac:dyDescent="0.25">
      <c r="A32" s="96" t="s">
        <v>34</v>
      </c>
      <c r="B32" s="96"/>
      <c r="C32" s="420" t="str">
        <f>IF(M22=1,B22,IF(M23=1,B23,IF(M24=1,B24,"")))</f>
        <v/>
      </c>
      <c r="D32" s="420"/>
      <c r="E32" s="116" t="s">
        <v>49</v>
      </c>
      <c r="F32" s="420" t="e">
        <f>IF(M27=1,B27,IF(M28=1,B28,IF(M29=1,B29,IF(#REF!=1,#REF!,""))))</f>
        <v>#REF!</v>
      </c>
      <c r="G32" s="420"/>
      <c r="H32" s="96"/>
      <c r="I32" s="95"/>
      <c r="J32" s="96"/>
      <c r="K32" s="96"/>
      <c r="L32" s="96"/>
      <c r="M32" s="96"/>
    </row>
    <row r="33" spans="1:18" x14ac:dyDescent="0.25">
      <c r="A33" s="96"/>
      <c r="B33" s="96"/>
      <c r="C33" s="96"/>
      <c r="D33" s="96"/>
      <c r="E33" s="96"/>
      <c r="F33" s="116"/>
      <c r="G33" s="116"/>
      <c r="H33" s="96"/>
      <c r="I33" s="96"/>
      <c r="J33" s="96"/>
      <c r="K33" s="96"/>
      <c r="L33" s="96"/>
      <c r="M33" s="96"/>
    </row>
    <row r="34" spans="1:18" x14ac:dyDescent="0.25">
      <c r="A34" s="96" t="s">
        <v>48</v>
      </c>
      <c r="B34" s="96"/>
      <c r="C34" s="420" t="str">
        <f>IF(M22=2,B22,IF(M23=2,B23,IF(M24=2,B24,"")))</f>
        <v/>
      </c>
      <c r="D34" s="420"/>
      <c r="E34" s="116" t="s">
        <v>49</v>
      </c>
      <c r="F34" s="420" t="e">
        <f>IF(M27=2,B27,IF(M28=2,B28,IF(M29=2,B29,IF(#REF!=2,#REF!,""))))</f>
        <v>#REF!</v>
      </c>
      <c r="G34" s="420"/>
      <c r="H34" s="96"/>
      <c r="I34" s="95"/>
      <c r="J34" s="96"/>
      <c r="K34" s="96"/>
      <c r="L34" s="96"/>
      <c r="M34" s="96"/>
    </row>
    <row r="35" spans="1:18" x14ac:dyDescent="0.25">
      <c r="A35" s="96"/>
      <c r="B35" s="96"/>
      <c r="C35" s="116"/>
      <c r="D35" s="116"/>
      <c r="E35" s="116"/>
      <c r="F35" s="116"/>
      <c r="G35" s="116"/>
      <c r="H35" s="96"/>
      <c r="I35" s="96"/>
      <c r="J35" s="96"/>
      <c r="K35" s="96"/>
      <c r="L35" s="96"/>
      <c r="M35" s="96"/>
    </row>
    <row r="36" spans="1:18" x14ac:dyDescent="0.25">
      <c r="A36" s="96" t="s">
        <v>50</v>
      </c>
      <c r="B36" s="96"/>
      <c r="C36" s="420" t="str">
        <f>IF(M22=3,B22,IF(M23=3,B23,IF(M24=3,B24,"")))</f>
        <v/>
      </c>
      <c r="D36" s="420"/>
      <c r="E36" s="116" t="s">
        <v>49</v>
      </c>
      <c r="F36" s="420" t="e">
        <f>IF(M27=3,B27,IF(M28=3,B28,IF(M29=3,B29,IF(#REF!=3,#REF!,""))))</f>
        <v>#REF!</v>
      </c>
      <c r="G36" s="420"/>
      <c r="H36" s="96"/>
      <c r="I36" s="95"/>
      <c r="J36" s="96"/>
      <c r="K36" s="96"/>
      <c r="L36" s="96"/>
      <c r="M36" s="96"/>
    </row>
    <row r="37" spans="1:18" x14ac:dyDescent="0.25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</row>
    <row r="38" spans="1:18" x14ac:dyDescent="0.25">
      <c r="A38" s="96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5"/>
      <c r="M38" s="96"/>
    </row>
    <row r="39" spans="1:18" x14ac:dyDescent="0.25">
      <c r="A39" s="45" t="s">
        <v>22</v>
      </c>
      <c r="B39" s="46"/>
      <c r="C39" s="75"/>
      <c r="D39" s="122" t="s">
        <v>0</v>
      </c>
      <c r="E39" s="123" t="s">
        <v>24</v>
      </c>
      <c r="F39" s="137"/>
      <c r="G39" s="122" t="s">
        <v>0</v>
      </c>
      <c r="H39" s="123" t="s">
        <v>31</v>
      </c>
      <c r="I39" s="56"/>
      <c r="J39" s="123" t="s">
        <v>32</v>
      </c>
      <c r="K39" s="55" t="s">
        <v>33</v>
      </c>
      <c r="L39" s="29"/>
      <c r="M39" s="137"/>
      <c r="P39" s="118"/>
      <c r="Q39" s="118"/>
      <c r="R39" s="119"/>
    </row>
    <row r="40" spans="1:18" x14ac:dyDescent="0.25">
      <c r="A40" s="100" t="s">
        <v>23</v>
      </c>
      <c r="B40" s="101"/>
      <c r="C40" s="102"/>
      <c r="D40" s="124">
        <v>1</v>
      </c>
      <c r="E40" s="415" t="e">
        <f>IF(D40&gt;$R$42,,UPPER(VLOOKUP(D40,#REF!,2)))</f>
        <v>#REF!</v>
      </c>
      <c r="F40" s="415"/>
      <c r="G40" s="131" t="s">
        <v>1</v>
      </c>
      <c r="H40" s="101"/>
      <c r="I40" s="125"/>
      <c r="J40" s="132"/>
      <c r="K40" s="98" t="s">
        <v>25</v>
      </c>
      <c r="L40" s="138"/>
      <c r="M40" s="126"/>
      <c r="P40" s="120"/>
      <c r="Q40" s="120"/>
      <c r="R40" s="48"/>
    </row>
    <row r="41" spans="1:18" x14ac:dyDescent="0.25">
      <c r="A41" s="103" t="s">
        <v>30</v>
      </c>
      <c r="B41" s="54"/>
      <c r="C41" s="104"/>
      <c r="D41" s="127">
        <v>2</v>
      </c>
      <c r="E41" s="410" t="e">
        <f>IF(D41&gt;$R$42,,UPPER(VLOOKUP(D41,#REF!,2)))</f>
        <v>#REF!</v>
      </c>
      <c r="F41" s="410"/>
      <c r="G41" s="133" t="s">
        <v>2</v>
      </c>
      <c r="H41" s="36"/>
      <c r="I41" s="97"/>
      <c r="J41" s="37"/>
      <c r="K41" s="135"/>
      <c r="L41" s="95"/>
      <c r="M41" s="130"/>
      <c r="P41" s="48"/>
      <c r="Q41" s="47"/>
      <c r="R41" s="48"/>
    </row>
    <row r="42" spans="1:18" x14ac:dyDescent="0.25">
      <c r="A42" s="67"/>
      <c r="B42" s="68"/>
      <c r="C42" s="69"/>
      <c r="D42" s="127"/>
      <c r="E42" s="38"/>
      <c r="F42" s="96"/>
      <c r="G42" s="133" t="s">
        <v>3</v>
      </c>
      <c r="H42" s="36"/>
      <c r="I42" s="97"/>
      <c r="J42" s="37"/>
      <c r="K42" s="98" t="s">
        <v>26</v>
      </c>
      <c r="L42" s="138"/>
      <c r="M42" s="126"/>
      <c r="P42" s="120"/>
      <c r="Q42" s="120"/>
      <c r="R42" s="121" t="e">
        <f>MIN(4,#REF!)</f>
        <v>#REF!</v>
      </c>
    </row>
    <row r="43" spans="1:18" x14ac:dyDescent="0.25">
      <c r="A43" s="49"/>
      <c r="B43" s="44"/>
      <c r="C43" s="50"/>
      <c r="D43" s="127"/>
      <c r="E43" s="38"/>
      <c r="F43" s="96"/>
      <c r="G43" s="133" t="s">
        <v>4</v>
      </c>
      <c r="H43" s="36"/>
      <c r="I43" s="97"/>
      <c r="J43" s="37"/>
      <c r="K43" s="136"/>
      <c r="L43" s="96"/>
      <c r="M43" s="128"/>
      <c r="P43" s="48"/>
      <c r="Q43" s="47"/>
      <c r="R43" s="48"/>
    </row>
    <row r="44" spans="1:18" x14ac:dyDescent="0.25">
      <c r="A44" s="58"/>
      <c r="B44" s="70"/>
      <c r="C44" s="74"/>
      <c r="D44" s="127"/>
      <c r="E44" s="38"/>
      <c r="F44" s="96"/>
      <c r="G44" s="133" t="s">
        <v>5</v>
      </c>
      <c r="H44" s="36"/>
      <c r="I44" s="97"/>
      <c r="J44" s="37"/>
      <c r="K44" s="103"/>
      <c r="L44" s="95"/>
      <c r="M44" s="130"/>
      <c r="P44" s="48"/>
      <c r="Q44" s="47"/>
      <c r="R44" s="48"/>
    </row>
    <row r="45" spans="1:18" x14ac:dyDescent="0.25">
      <c r="A45" s="59"/>
      <c r="B45" s="20"/>
      <c r="C45" s="50"/>
      <c r="D45" s="127"/>
      <c r="E45" s="38"/>
      <c r="F45" s="96"/>
      <c r="G45" s="133" t="s">
        <v>6</v>
      </c>
      <c r="H45" s="36"/>
      <c r="I45" s="97"/>
      <c r="J45" s="37"/>
      <c r="K45" s="98" t="s">
        <v>21</v>
      </c>
      <c r="L45" s="138"/>
      <c r="M45" s="126"/>
      <c r="P45" s="120"/>
      <c r="Q45" s="120"/>
      <c r="R45" s="48"/>
    </row>
    <row r="46" spans="1:18" x14ac:dyDescent="0.25">
      <c r="A46" s="59"/>
      <c r="B46" s="20"/>
      <c r="C46" s="65"/>
      <c r="D46" s="127"/>
      <c r="E46" s="38"/>
      <c r="F46" s="96"/>
      <c r="G46" s="133" t="s">
        <v>7</v>
      </c>
      <c r="H46" s="36"/>
      <c r="I46" s="97"/>
      <c r="J46" s="37"/>
      <c r="K46" s="136"/>
      <c r="L46" s="96"/>
      <c r="M46" s="128"/>
      <c r="P46" s="48"/>
      <c r="Q46" s="47"/>
      <c r="R46" s="48"/>
    </row>
    <row r="47" spans="1:18" x14ac:dyDescent="0.25">
      <c r="A47" s="60"/>
      <c r="B47" s="57"/>
      <c r="C47" s="66"/>
      <c r="D47" s="129"/>
      <c r="E47" s="51"/>
      <c r="F47" s="95"/>
      <c r="G47" s="134" t="s">
        <v>8</v>
      </c>
      <c r="H47" s="54"/>
      <c r="I47" s="99"/>
      <c r="J47" s="52"/>
      <c r="K47" s="103">
        <f>L4</f>
        <v>0</v>
      </c>
      <c r="L47" s="95"/>
      <c r="M47" s="130"/>
      <c r="P47" s="48"/>
      <c r="Q47" s="47"/>
      <c r="R47" s="121"/>
    </row>
  </sheetData>
  <mergeCells count="43">
    <mergeCell ref="H29:I29"/>
    <mergeCell ref="E40:F40"/>
    <mergeCell ref="E41:F41"/>
    <mergeCell ref="C32:D32"/>
    <mergeCell ref="F32:G32"/>
    <mergeCell ref="C34:D34"/>
    <mergeCell ref="F34:G34"/>
    <mergeCell ref="C36:D36"/>
    <mergeCell ref="F36:G36"/>
    <mergeCell ref="B26:C26"/>
    <mergeCell ref="D26:E26"/>
    <mergeCell ref="F26:G26"/>
    <mergeCell ref="H26:I26"/>
    <mergeCell ref="J26:K29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B23:C23"/>
    <mergeCell ref="D23:E23"/>
    <mergeCell ref="F23:G23"/>
    <mergeCell ref="H23:I23"/>
    <mergeCell ref="B24:C24"/>
    <mergeCell ref="D24:E24"/>
    <mergeCell ref="F24:G24"/>
    <mergeCell ref="H24:I24"/>
    <mergeCell ref="H21:I21"/>
    <mergeCell ref="B22:C22"/>
    <mergeCell ref="D22:E22"/>
    <mergeCell ref="F22:G22"/>
    <mergeCell ref="H22:I22"/>
    <mergeCell ref="A1:F1"/>
    <mergeCell ref="A4:C4"/>
    <mergeCell ref="B21:C21"/>
    <mergeCell ref="D21:E21"/>
    <mergeCell ref="F21:G21"/>
  </mergeCells>
  <conditionalFormatting sqref="E7 E9 E11 E13 E15 E17">
    <cfRule type="cellIs" dxfId="49" priority="1" stopIfTrue="1" operator="equal">
      <formula>"Bye"</formula>
    </cfRule>
  </conditionalFormatting>
  <conditionalFormatting sqref="R42 R47">
    <cfRule type="expression" dxfId="48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Munka12">
    <tabColor indexed="11"/>
  </sheetPr>
  <dimension ref="A1:AK41"/>
  <sheetViews>
    <sheetView workbookViewId="0">
      <selection activeCell="Q16" sqref="Q16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414" t="str">
        <f>Altalanos!$A$6</f>
        <v>Tenisz Diákolimpia B-A-Z. Vármegyei Döntő</v>
      </c>
      <c r="B1" s="414"/>
      <c r="C1" s="414"/>
      <c r="D1" s="414"/>
      <c r="E1" s="414"/>
      <c r="F1" s="414"/>
      <c r="G1" s="79"/>
      <c r="H1" s="82" t="s">
        <v>29</v>
      </c>
      <c r="I1" s="80"/>
      <c r="J1" s="81"/>
      <c r="L1" s="83"/>
      <c r="M1" s="84"/>
      <c r="N1" s="41"/>
      <c r="O1" s="41" t="s">
        <v>9</v>
      </c>
      <c r="P1" s="41"/>
      <c r="Q1" s="40"/>
      <c r="R1" s="41"/>
      <c r="AB1" s="169" t="str">
        <f>IF(Y5=1,CONCATENATE(VLOOKUP(Y3,AA16:AH27,2)),CONCATENATE(VLOOKUP(Y3,AA2:AK13,2)))</f>
        <v>150</v>
      </c>
      <c r="AC1" s="169" t="str">
        <f>IF(Y5=1,CONCATENATE(VLOOKUP(Y3,AA16:AK27,3)),CONCATENATE(VLOOKUP(Y3,AA2:AK13,3)))</f>
        <v>120</v>
      </c>
      <c r="AD1" s="169" t="str">
        <f>IF(Y5=1,CONCATENATE(VLOOKUP(Y3,AA16:AK27,4)),CONCATENATE(VLOOKUP(Y3,AA2:AK13,4)))</f>
        <v>100</v>
      </c>
      <c r="AE1" s="169" t="str">
        <f>IF(Y5=1,CONCATENATE(VLOOKUP(Y3,AA16:AK27,5)),CONCATENATE(VLOOKUP(Y3,AA2:AK13,5)))</f>
        <v>80</v>
      </c>
      <c r="AF1" s="169" t="str">
        <f>IF(Y5=1,CONCATENATE(VLOOKUP(Y3,AA16:AK27,6)),CONCATENATE(VLOOKUP(Y3,AA2:AK13,6)))</f>
        <v>70</v>
      </c>
      <c r="AG1" s="169" t="str">
        <f>IF(Y5=1,CONCATENATE(VLOOKUP(Y3,AA16:AK27,7)),CONCATENATE(VLOOKUP(Y3,AA2:AK13,7)))</f>
        <v>60</v>
      </c>
      <c r="AH1" s="169" t="str">
        <f>IF(Y5=1,CONCATENATE(VLOOKUP(Y3,AA16:AK27,8)),CONCATENATE(VLOOKUP(Y3,AA2:AK13,8)))</f>
        <v>55</v>
      </c>
      <c r="AI1" s="169" t="str">
        <f>IF(Y5=1,CONCATENATE(VLOOKUP(Y3,AA16:AK27,9)),CONCATENATE(VLOOKUP(Y3,AA2:AK13,9)))</f>
        <v>50</v>
      </c>
      <c r="AJ1" s="169" t="str">
        <f>IF(Y5=1,CONCATENATE(VLOOKUP(Y3,AA16:AK27,10)),CONCATENATE(VLOOKUP(Y3,AA2:AK13,10)))</f>
        <v>45</v>
      </c>
      <c r="AK1" s="169" t="str">
        <f>IF(Y5=1,CONCATENATE(VLOOKUP(Y3,AA16:AK27,11)),CONCATENATE(VLOOKUP(Y3,AA2:AK13,11)))</f>
        <v>40</v>
      </c>
    </row>
    <row r="2" spans="1:37" x14ac:dyDescent="0.25">
      <c r="A2" s="85" t="s">
        <v>28</v>
      </c>
      <c r="B2" s="86"/>
      <c r="C2" s="86"/>
      <c r="D2" s="86"/>
      <c r="E2" s="185" t="s">
        <v>265</v>
      </c>
      <c r="F2" s="86"/>
      <c r="G2" s="87"/>
      <c r="H2" s="88"/>
      <c r="I2" s="88"/>
      <c r="J2" s="89"/>
      <c r="K2" s="83"/>
      <c r="L2" s="83"/>
      <c r="M2" s="83"/>
      <c r="N2" s="42"/>
      <c r="O2" s="39"/>
      <c r="P2" s="42"/>
      <c r="Q2" s="39"/>
      <c r="R2" s="42"/>
      <c r="Y2" s="164"/>
      <c r="Z2" s="163"/>
      <c r="AA2" s="163" t="s">
        <v>38</v>
      </c>
      <c r="AB2" s="154">
        <v>150</v>
      </c>
      <c r="AC2" s="154">
        <v>120</v>
      </c>
      <c r="AD2" s="154">
        <v>100</v>
      </c>
      <c r="AE2" s="154">
        <v>80</v>
      </c>
      <c r="AF2" s="154">
        <v>70</v>
      </c>
      <c r="AG2" s="154">
        <v>60</v>
      </c>
      <c r="AH2" s="154">
        <v>55</v>
      </c>
      <c r="AI2" s="154">
        <v>50</v>
      </c>
      <c r="AJ2" s="154">
        <v>45</v>
      </c>
      <c r="AK2" s="154">
        <v>40</v>
      </c>
    </row>
    <row r="3" spans="1:37" x14ac:dyDescent="0.25">
      <c r="A3" s="34" t="s">
        <v>16</v>
      </c>
      <c r="B3" s="34"/>
      <c r="C3" s="34"/>
      <c r="D3" s="34"/>
      <c r="E3" s="34" t="s">
        <v>14</v>
      </c>
      <c r="F3" s="34"/>
      <c r="G3" s="34"/>
      <c r="H3" s="34" t="s">
        <v>18</v>
      </c>
      <c r="I3" s="34"/>
      <c r="J3" s="43"/>
      <c r="K3" s="34"/>
      <c r="L3" s="35" t="s">
        <v>19</v>
      </c>
      <c r="M3" s="34"/>
      <c r="N3" s="112"/>
      <c r="O3" s="111"/>
      <c r="P3" s="112"/>
      <c r="Q3" s="153" t="s">
        <v>52</v>
      </c>
      <c r="R3" s="154" t="s">
        <v>58</v>
      </c>
      <c r="Y3" s="163" t="str">
        <f>IF(H4="OB","A",IF(H4="IX","W",H4))</f>
        <v>A</v>
      </c>
      <c r="Z3" s="163"/>
      <c r="AA3" s="163" t="s">
        <v>68</v>
      </c>
      <c r="AB3" s="154">
        <v>120</v>
      </c>
      <c r="AC3" s="154">
        <v>90</v>
      </c>
      <c r="AD3" s="154">
        <v>65</v>
      </c>
      <c r="AE3" s="154">
        <v>55</v>
      </c>
      <c r="AF3" s="154">
        <v>50</v>
      </c>
      <c r="AG3" s="154">
        <v>45</v>
      </c>
      <c r="AH3" s="154">
        <v>40</v>
      </c>
      <c r="AI3" s="154">
        <v>35</v>
      </c>
      <c r="AJ3" s="154">
        <v>25</v>
      </c>
      <c r="AK3" s="154">
        <v>20</v>
      </c>
    </row>
    <row r="4" spans="1:37" ht="13.8" thickBot="1" x14ac:dyDescent="0.3">
      <c r="A4" s="417" t="str">
        <f>Altalanos!$A$10</f>
        <v>2024.05.02-03.</v>
      </c>
      <c r="B4" s="417"/>
      <c r="C4" s="417"/>
      <c r="D4" s="90"/>
      <c r="E4" s="91" t="str">
        <f>Altalanos!$C$10</f>
        <v>Kazincbarcika</v>
      </c>
      <c r="F4" s="91"/>
      <c r="G4" s="91"/>
      <c r="H4" s="93" t="s">
        <v>38</v>
      </c>
      <c r="I4" s="91"/>
      <c r="J4" s="92"/>
      <c r="K4" s="93"/>
      <c r="L4" s="94">
        <f>Altalanos!$E$10</f>
        <v>0</v>
      </c>
      <c r="M4" s="93"/>
      <c r="N4" s="114"/>
      <c r="O4" s="115"/>
      <c r="P4" s="114"/>
      <c r="Q4" s="155" t="s">
        <v>59</v>
      </c>
      <c r="R4" s="156" t="s">
        <v>54</v>
      </c>
      <c r="Y4" s="163"/>
      <c r="Z4" s="163"/>
      <c r="AA4" s="163" t="s">
        <v>69</v>
      </c>
      <c r="AB4" s="154">
        <v>90</v>
      </c>
      <c r="AC4" s="154">
        <v>60</v>
      </c>
      <c r="AD4" s="154">
        <v>45</v>
      </c>
      <c r="AE4" s="154">
        <v>34</v>
      </c>
      <c r="AF4" s="154">
        <v>27</v>
      </c>
      <c r="AG4" s="154">
        <v>22</v>
      </c>
      <c r="AH4" s="154">
        <v>18</v>
      </c>
      <c r="AI4" s="154">
        <v>15</v>
      </c>
      <c r="AJ4" s="154">
        <v>12</v>
      </c>
      <c r="AK4" s="154">
        <v>9</v>
      </c>
    </row>
    <row r="5" spans="1:37" x14ac:dyDescent="0.25">
      <c r="A5" s="29"/>
      <c r="B5" s="29" t="s">
        <v>27</v>
      </c>
      <c r="C5" s="107" t="s">
        <v>36</v>
      </c>
      <c r="D5" s="29" t="s">
        <v>22</v>
      </c>
      <c r="E5" s="29" t="s">
        <v>41</v>
      </c>
      <c r="F5" s="29"/>
      <c r="G5" s="29" t="s">
        <v>17</v>
      </c>
      <c r="H5" s="29"/>
      <c r="I5" s="29" t="s">
        <v>20</v>
      </c>
      <c r="J5" s="29"/>
      <c r="K5" s="140" t="s">
        <v>42</v>
      </c>
      <c r="L5" s="140" t="s">
        <v>43</v>
      </c>
      <c r="M5" s="140" t="s">
        <v>44</v>
      </c>
      <c r="Q5" s="157" t="s">
        <v>60</v>
      </c>
      <c r="R5" s="158" t="s">
        <v>56</v>
      </c>
      <c r="Y5" s="163">
        <f>IF(OR(Altalanos!$A$8="F1",Altalanos!$A$8="F2",Altalanos!$A$8="N1",Altalanos!$A$8="N2"),1,2)</f>
        <v>2</v>
      </c>
      <c r="Z5" s="163"/>
      <c r="AA5" s="163" t="s">
        <v>70</v>
      </c>
      <c r="AB5" s="154">
        <v>60</v>
      </c>
      <c r="AC5" s="154">
        <v>40</v>
      </c>
      <c r="AD5" s="154">
        <v>30</v>
      </c>
      <c r="AE5" s="154">
        <v>20</v>
      </c>
      <c r="AF5" s="154">
        <v>18</v>
      </c>
      <c r="AG5" s="154">
        <v>15</v>
      </c>
      <c r="AH5" s="154">
        <v>12</v>
      </c>
      <c r="AI5" s="154">
        <v>10</v>
      </c>
      <c r="AJ5" s="154">
        <v>8</v>
      </c>
      <c r="AK5" s="154">
        <v>6</v>
      </c>
    </row>
    <row r="6" spans="1:37" x14ac:dyDescent="0.25">
      <c r="A6" s="96"/>
      <c r="B6" s="96"/>
      <c r="C6" s="139"/>
      <c r="D6" s="96"/>
      <c r="E6" s="96"/>
      <c r="F6" s="96"/>
      <c r="G6" s="96"/>
      <c r="H6" s="96"/>
      <c r="I6" s="96"/>
      <c r="J6" s="96"/>
      <c r="K6" s="96"/>
      <c r="L6" s="96"/>
      <c r="M6" s="96"/>
      <c r="Y6" s="163"/>
      <c r="Z6" s="163"/>
      <c r="AA6" s="163" t="s">
        <v>71</v>
      </c>
      <c r="AB6" s="154">
        <v>40</v>
      </c>
      <c r="AC6" s="154">
        <v>25</v>
      </c>
      <c r="AD6" s="154">
        <v>18</v>
      </c>
      <c r="AE6" s="154">
        <v>13</v>
      </c>
      <c r="AF6" s="154">
        <v>10</v>
      </c>
      <c r="AG6" s="154">
        <v>8</v>
      </c>
      <c r="AH6" s="154">
        <v>6</v>
      </c>
      <c r="AI6" s="154">
        <v>5</v>
      </c>
      <c r="AJ6" s="154">
        <v>4</v>
      </c>
      <c r="AK6" s="154">
        <v>3</v>
      </c>
    </row>
    <row r="7" spans="1:37" x14ac:dyDescent="0.25">
      <c r="A7" s="116" t="s">
        <v>38</v>
      </c>
      <c r="B7" s="141"/>
      <c r="C7" s="109" t="str">
        <f>IF($B7="","",VLOOKUP($B7,#REF!,5))</f>
        <v/>
      </c>
      <c r="D7" s="109" t="str">
        <f>IF($B7="","",VLOOKUP($B7,#REF!,15))</f>
        <v/>
      </c>
      <c r="E7" s="105" t="s">
        <v>270</v>
      </c>
      <c r="F7" s="110"/>
      <c r="G7" s="105" t="s">
        <v>293</v>
      </c>
      <c r="H7" s="110"/>
      <c r="I7" s="105" t="str">
        <f>IF($B7="","",VLOOKUP($B7,#REF!,4))</f>
        <v/>
      </c>
      <c r="J7" s="96"/>
      <c r="K7" s="170"/>
      <c r="L7" s="165" t="str">
        <f>IF(K7="","",CONCATENATE(VLOOKUP($Y$3,$AB$1:$AK$1,K7)," pont"))</f>
        <v/>
      </c>
      <c r="M7" s="171"/>
      <c r="Y7" s="163"/>
      <c r="Z7" s="163"/>
      <c r="AA7" s="163" t="s">
        <v>72</v>
      </c>
      <c r="AB7" s="154">
        <v>25</v>
      </c>
      <c r="AC7" s="154">
        <v>15</v>
      </c>
      <c r="AD7" s="154">
        <v>13</v>
      </c>
      <c r="AE7" s="154">
        <v>8</v>
      </c>
      <c r="AF7" s="154">
        <v>6</v>
      </c>
      <c r="AG7" s="154">
        <v>4</v>
      </c>
      <c r="AH7" s="154">
        <v>3</v>
      </c>
      <c r="AI7" s="154">
        <v>2</v>
      </c>
      <c r="AJ7" s="154">
        <v>1</v>
      </c>
      <c r="AK7" s="154">
        <v>0</v>
      </c>
    </row>
    <row r="8" spans="1:37" x14ac:dyDescent="0.25">
      <c r="A8" s="116"/>
      <c r="B8" s="142"/>
      <c r="C8" s="117"/>
      <c r="D8" s="117"/>
      <c r="E8" s="117"/>
      <c r="F8" s="117"/>
      <c r="G8" s="117"/>
      <c r="H8" s="117"/>
      <c r="I8" s="117"/>
      <c r="J8" s="96"/>
      <c r="K8" s="116"/>
      <c r="L8" s="116"/>
      <c r="M8" s="172"/>
      <c r="Y8" s="163"/>
      <c r="Z8" s="163"/>
      <c r="AA8" s="163" t="s">
        <v>73</v>
      </c>
      <c r="AB8" s="154">
        <v>15</v>
      </c>
      <c r="AC8" s="154">
        <v>10</v>
      </c>
      <c r="AD8" s="154">
        <v>7</v>
      </c>
      <c r="AE8" s="154">
        <v>5</v>
      </c>
      <c r="AF8" s="154">
        <v>4</v>
      </c>
      <c r="AG8" s="154">
        <v>3</v>
      </c>
      <c r="AH8" s="154">
        <v>2</v>
      </c>
      <c r="AI8" s="154">
        <v>1</v>
      </c>
      <c r="AJ8" s="154">
        <v>0</v>
      </c>
      <c r="AK8" s="154">
        <v>0</v>
      </c>
    </row>
    <row r="9" spans="1:37" x14ac:dyDescent="0.25">
      <c r="A9" s="116" t="s">
        <v>39</v>
      </c>
      <c r="B9" s="141"/>
      <c r="C9" s="109" t="str">
        <f>IF($B9="","",VLOOKUP($B9,#REF!,5))</f>
        <v/>
      </c>
      <c r="D9" s="109" t="str">
        <f>IF($B9="","",VLOOKUP($B9,#REF!,15))</f>
        <v/>
      </c>
      <c r="E9" s="105" t="s">
        <v>346</v>
      </c>
      <c r="F9" s="110"/>
      <c r="G9" s="105" t="s">
        <v>347</v>
      </c>
      <c r="H9" s="110"/>
      <c r="I9" s="105" t="str">
        <f>IF($B9="","",VLOOKUP($B9,#REF!,4))</f>
        <v/>
      </c>
      <c r="J9" s="96"/>
      <c r="K9" s="170"/>
      <c r="L9" s="165" t="str">
        <f>IF(K9="","",CONCATENATE(VLOOKUP($Y$3,$AB$1:$AK$1,K9)," pont"))</f>
        <v/>
      </c>
      <c r="M9" s="171"/>
      <c r="Y9" s="163"/>
      <c r="Z9" s="163"/>
      <c r="AA9" s="163" t="s">
        <v>74</v>
      </c>
      <c r="AB9" s="154">
        <v>10</v>
      </c>
      <c r="AC9" s="154">
        <v>6</v>
      </c>
      <c r="AD9" s="154">
        <v>4</v>
      </c>
      <c r="AE9" s="154">
        <v>2</v>
      </c>
      <c r="AF9" s="154">
        <v>1</v>
      </c>
      <c r="AG9" s="154">
        <v>0</v>
      </c>
      <c r="AH9" s="154">
        <v>0</v>
      </c>
      <c r="AI9" s="154">
        <v>0</v>
      </c>
      <c r="AJ9" s="154">
        <v>0</v>
      </c>
      <c r="AK9" s="154">
        <v>0</v>
      </c>
    </row>
    <row r="10" spans="1:37" x14ac:dyDescent="0.25">
      <c r="A10" s="116"/>
      <c r="B10" s="142"/>
      <c r="C10" s="117"/>
      <c r="D10" s="117"/>
      <c r="E10" s="117"/>
      <c r="F10" s="117"/>
      <c r="G10" s="117"/>
      <c r="H10" s="117"/>
      <c r="I10" s="117"/>
      <c r="J10" s="96"/>
      <c r="K10" s="116"/>
      <c r="L10" s="116"/>
      <c r="M10" s="172"/>
      <c r="Y10" s="163"/>
      <c r="Z10" s="163"/>
      <c r="AA10" s="163" t="s">
        <v>75</v>
      </c>
      <c r="AB10" s="154">
        <v>6</v>
      </c>
      <c r="AC10" s="154">
        <v>3</v>
      </c>
      <c r="AD10" s="154">
        <v>2</v>
      </c>
      <c r="AE10" s="154">
        <v>1</v>
      </c>
      <c r="AF10" s="154">
        <v>0</v>
      </c>
      <c r="AG10" s="154">
        <v>0</v>
      </c>
      <c r="AH10" s="154">
        <v>0</v>
      </c>
      <c r="AI10" s="154">
        <v>0</v>
      </c>
      <c r="AJ10" s="154">
        <v>0</v>
      </c>
      <c r="AK10" s="154">
        <v>0</v>
      </c>
    </row>
    <row r="11" spans="1:37" x14ac:dyDescent="0.25">
      <c r="A11" s="116" t="s">
        <v>40</v>
      </c>
      <c r="B11" s="141"/>
      <c r="C11" s="109" t="str">
        <f>IF($B11="","",VLOOKUP($B11,#REF!,5))</f>
        <v/>
      </c>
      <c r="D11" s="109" t="str">
        <f>IF($B11="","",VLOOKUP($B11,#REF!,15))</f>
        <v/>
      </c>
      <c r="E11" s="105" t="s">
        <v>348</v>
      </c>
      <c r="F11" s="110"/>
      <c r="G11" s="105" t="s">
        <v>349</v>
      </c>
      <c r="H11" s="110"/>
      <c r="I11" s="105" t="str">
        <f>IF($B11="","",VLOOKUP($B11,#REF!,4))</f>
        <v/>
      </c>
      <c r="J11" s="96"/>
      <c r="K11" s="170"/>
      <c r="L11" s="165" t="str">
        <f>IF(K11="","",CONCATENATE(VLOOKUP($Y$3,$AB$1:$AK$1,K11)," pont"))</f>
        <v/>
      </c>
      <c r="M11" s="171"/>
      <c r="Y11" s="163"/>
      <c r="Z11" s="163"/>
      <c r="AA11" s="163" t="s">
        <v>80</v>
      </c>
      <c r="AB11" s="154">
        <v>3</v>
      </c>
      <c r="AC11" s="154">
        <v>2</v>
      </c>
      <c r="AD11" s="154">
        <v>1</v>
      </c>
      <c r="AE11" s="154">
        <v>0</v>
      </c>
      <c r="AF11" s="154">
        <v>0</v>
      </c>
      <c r="AG11" s="154">
        <v>0</v>
      </c>
      <c r="AH11" s="154">
        <v>0</v>
      </c>
      <c r="AI11" s="154">
        <v>0</v>
      </c>
      <c r="AJ11" s="154">
        <v>0</v>
      </c>
      <c r="AK11" s="154">
        <v>0</v>
      </c>
    </row>
    <row r="12" spans="1:37" x14ac:dyDescent="0.25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Y12" s="163"/>
      <c r="Z12" s="163"/>
      <c r="AA12" s="163" t="s">
        <v>76</v>
      </c>
      <c r="AB12" s="168">
        <v>0</v>
      </c>
      <c r="AC12" s="168">
        <v>0</v>
      </c>
      <c r="AD12" s="168">
        <v>0</v>
      </c>
      <c r="AE12" s="168">
        <v>0</v>
      </c>
      <c r="AF12" s="168">
        <v>0</v>
      </c>
      <c r="AG12" s="168">
        <v>0</v>
      </c>
      <c r="AH12" s="168">
        <v>0</v>
      </c>
      <c r="AI12" s="168">
        <v>0</v>
      </c>
      <c r="AJ12" s="168">
        <v>0</v>
      </c>
      <c r="AK12" s="168">
        <v>0</v>
      </c>
    </row>
    <row r="13" spans="1:37" x14ac:dyDescent="0.25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Y13" s="163"/>
      <c r="Z13" s="163"/>
      <c r="AA13" s="163" t="s">
        <v>77</v>
      </c>
      <c r="AB13" s="168">
        <v>0</v>
      </c>
      <c r="AC13" s="168">
        <v>0</v>
      </c>
      <c r="AD13" s="168">
        <v>0</v>
      </c>
      <c r="AE13" s="168">
        <v>0</v>
      </c>
      <c r="AF13" s="168">
        <v>0</v>
      </c>
      <c r="AG13" s="168">
        <v>0</v>
      </c>
      <c r="AH13" s="168">
        <v>0</v>
      </c>
      <c r="AI13" s="168">
        <v>0</v>
      </c>
      <c r="AJ13" s="168">
        <v>0</v>
      </c>
      <c r="AK13" s="168">
        <v>0</v>
      </c>
    </row>
    <row r="14" spans="1:37" x14ac:dyDescent="0.25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</row>
    <row r="15" spans="1:37" x14ac:dyDescent="0.25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</row>
    <row r="16" spans="1:37" x14ac:dyDescent="0.25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Y16" s="163"/>
      <c r="Z16" s="163"/>
      <c r="AA16" s="163" t="s">
        <v>38</v>
      </c>
      <c r="AB16" s="163">
        <v>300</v>
      </c>
      <c r="AC16" s="163">
        <v>250</v>
      </c>
      <c r="AD16" s="163">
        <v>220</v>
      </c>
      <c r="AE16" s="163">
        <v>180</v>
      </c>
      <c r="AF16" s="163">
        <v>160</v>
      </c>
      <c r="AG16" s="163">
        <v>150</v>
      </c>
      <c r="AH16" s="163">
        <v>140</v>
      </c>
      <c r="AI16" s="163">
        <v>130</v>
      </c>
      <c r="AJ16" s="163">
        <v>120</v>
      </c>
      <c r="AK16" s="163">
        <v>110</v>
      </c>
    </row>
    <row r="17" spans="1:37" x14ac:dyDescent="0.25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Y17" s="163"/>
      <c r="Z17" s="163"/>
      <c r="AA17" s="163" t="s">
        <v>68</v>
      </c>
      <c r="AB17" s="163">
        <v>250</v>
      </c>
      <c r="AC17" s="163">
        <v>200</v>
      </c>
      <c r="AD17" s="163">
        <v>160</v>
      </c>
      <c r="AE17" s="163">
        <v>140</v>
      </c>
      <c r="AF17" s="163">
        <v>120</v>
      </c>
      <c r="AG17" s="163">
        <v>110</v>
      </c>
      <c r="AH17" s="163">
        <v>100</v>
      </c>
      <c r="AI17" s="163">
        <v>90</v>
      </c>
      <c r="AJ17" s="163">
        <v>80</v>
      </c>
      <c r="AK17" s="163">
        <v>70</v>
      </c>
    </row>
    <row r="18" spans="1:37" ht="18.75" customHeight="1" x14ac:dyDescent="0.25">
      <c r="A18" s="96"/>
      <c r="B18" s="413"/>
      <c r="C18" s="413"/>
      <c r="D18" s="412" t="str">
        <f>E7</f>
        <v>Szakál</v>
      </c>
      <c r="E18" s="412"/>
      <c r="F18" s="412" t="str">
        <f>E9</f>
        <v>Gyöngyösi</v>
      </c>
      <c r="G18" s="412"/>
      <c r="H18" s="412" t="str">
        <f>E11</f>
        <v>Kövér</v>
      </c>
      <c r="I18" s="412"/>
      <c r="J18" s="96"/>
      <c r="K18" s="96"/>
      <c r="L18" s="96"/>
      <c r="M18" s="96"/>
      <c r="Y18" s="163"/>
      <c r="Z18" s="163"/>
      <c r="AA18" s="163" t="s">
        <v>69</v>
      </c>
      <c r="AB18" s="163">
        <v>200</v>
      </c>
      <c r="AC18" s="163">
        <v>150</v>
      </c>
      <c r="AD18" s="163">
        <v>130</v>
      </c>
      <c r="AE18" s="163">
        <v>110</v>
      </c>
      <c r="AF18" s="163">
        <v>95</v>
      </c>
      <c r="AG18" s="163">
        <v>80</v>
      </c>
      <c r="AH18" s="163">
        <v>70</v>
      </c>
      <c r="AI18" s="163">
        <v>60</v>
      </c>
      <c r="AJ18" s="163">
        <v>55</v>
      </c>
      <c r="AK18" s="163">
        <v>50</v>
      </c>
    </row>
    <row r="19" spans="1:37" ht="18.75" customHeight="1" x14ac:dyDescent="0.25">
      <c r="A19" s="146" t="s">
        <v>38</v>
      </c>
      <c r="B19" s="416" t="str">
        <f>E7</f>
        <v>Szakál</v>
      </c>
      <c r="C19" s="416"/>
      <c r="D19" s="411"/>
      <c r="E19" s="411"/>
      <c r="F19" s="409"/>
      <c r="G19" s="409"/>
      <c r="H19" s="409"/>
      <c r="I19" s="409"/>
      <c r="J19" s="96"/>
      <c r="K19" s="96"/>
      <c r="L19" s="96"/>
      <c r="M19" s="96"/>
      <c r="Y19" s="163"/>
      <c r="Z19" s="163"/>
      <c r="AA19" s="163" t="s">
        <v>70</v>
      </c>
      <c r="AB19" s="163">
        <v>150</v>
      </c>
      <c r="AC19" s="163">
        <v>120</v>
      </c>
      <c r="AD19" s="163">
        <v>100</v>
      </c>
      <c r="AE19" s="163">
        <v>80</v>
      </c>
      <c r="AF19" s="163">
        <v>70</v>
      </c>
      <c r="AG19" s="163">
        <v>60</v>
      </c>
      <c r="AH19" s="163">
        <v>55</v>
      </c>
      <c r="AI19" s="163">
        <v>50</v>
      </c>
      <c r="AJ19" s="163">
        <v>45</v>
      </c>
      <c r="AK19" s="163">
        <v>40</v>
      </c>
    </row>
    <row r="20" spans="1:37" ht="18.75" customHeight="1" x14ac:dyDescent="0.25">
      <c r="A20" s="146" t="s">
        <v>39</v>
      </c>
      <c r="B20" s="416" t="str">
        <f>E9</f>
        <v>Gyöngyösi</v>
      </c>
      <c r="C20" s="416"/>
      <c r="D20" s="409"/>
      <c r="E20" s="409"/>
      <c r="F20" s="411"/>
      <c r="G20" s="411"/>
      <c r="H20" s="409"/>
      <c r="I20" s="409"/>
      <c r="J20" s="96"/>
      <c r="K20" s="96"/>
      <c r="L20" s="96"/>
      <c r="M20" s="96"/>
      <c r="Y20" s="163"/>
      <c r="Z20" s="163"/>
      <c r="AA20" s="163" t="s">
        <v>71</v>
      </c>
      <c r="AB20" s="163">
        <v>120</v>
      </c>
      <c r="AC20" s="163">
        <v>90</v>
      </c>
      <c r="AD20" s="163">
        <v>65</v>
      </c>
      <c r="AE20" s="163">
        <v>55</v>
      </c>
      <c r="AF20" s="163">
        <v>50</v>
      </c>
      <c r="AG20" s="163">
        <v>45</v>
      </c>
      <c r="AH20" s="163">
        <v>40</v>
      </c>
      <c r="AI20" s="163">
        <v>35</v>
      </c>
      <c r="AJ20" s="163">
        <v>25</v>
      </c>
      <c r="AK20" s="163">
        <v>20</v>
      </c>
    </row>
    <row r="21" spans="1:37" ht="18.75" customHeight="1" x14ac:dyDescent="0.25">
      <c r="A21" s="146" t="s">
        <v>40</v>
      </c>
      <c r="B21" s="416" t="str">
        <f>E11</f>
        <v>Kövér</v>
      </c>
      <c r="C21" s="416"/>
      <c r="D21" s="409"/>
      <c r="E21" s="409"/>
      <c r="F21" s="409"/>
      <c r="G21" s="409"/>
      <c r="H21" s="411"/>
      <c r="I21" s="411"/>
      <c r="J21" s="96"/>
      <c r="K21" s="96"/>
      <c r="L21" s="96"/>
      <c r="M21" s="96"/>
      <c r="Y21" s="163"/>
      <c r="Z21" s="163"/>
      <c r="AA21" s="163" t="s">
        <v>72</v>
      </c>
      <c r="AB21" s="163">
        <v>90</v>
      </c>
      <c r="AC21" s="163">
        <v>60</v>
      </c>
      <c r="AD21" s="163">
        <v>45</v>
      </c>
      <c r="AE21" s="163">
        <v>34</v>
      </c>
      <c r="AF21" s="163">
        <v>27</v>
      </c>
      <c r="AG21" s="163">
        <v>22</v>
      </c>
      <c r="AH21" s="163">
        <v>18</v>
      </c>
      <c r="AI21" s="163">
        <v>15</v>
      </c>
      <c r="AJ21" s="163">
        <v>12</v>
      </c>
      <c r="AK21" s="163">
        <v>9</v>
      </c>
    </row>
    <row r="22" spans="1:37" x14ac:dyDescent="0.25">
      <c r="A22" s="96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Y22" s="163"/>
      <c r="Z22" s="163"/>
      <c r="AA22" s="163" t="s">
        <v>73</v>
      </c>
      <c r="AB22" s="163">
        <v>60</v>
      </c>
      <c r="AC22" s="163">
        <v>40</v>
      </c>
      <c r="AD22" s="163">
        <v>30</v>
      </c>
      <c r="AE22" s="163">
        <v>20</v>
      </c>
      <c r="AF22" s="163">
        <v>18</v>
      </c>
      <c r="AG22" s="163">
        <v>15</v>
      </c>
      <c r="AH22" s="163">
        <v>12</v>
      </c>
      <c r="AI22" s="163">
        <v>10</v>
      </c>
      <c r="AJ22" s="163">
        <v>8</v>
      </c>
      <c r="AK22" s="163">
        <v>6</v>
      </c>
    </row>
    <row r="23" spans="1:37" x14ac:dyDescent="0.25">
      <c r="A23" s="96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Y23" s="163"/>
      <c r="Z23" s="163"/>
      <c r="AA23" s="163" t="s">
        <v>74</v>
      </c>
      <c r="AB23" s="163">
        <v>40</v>
      </c>
      <c r="AC23" s="163">
        <v>25</v>
      </c>
      <c r="AD23" s="163">
        <v>18</v>
      </c>
      <c r="AE23" s="163">
        <v>13</v>
      </c>
      <c r="AF23" s="163">
        <v>8</v>
      </c>
      <c r="AG23" s="163">
        <v>7</v>
      </c>
      <c r="AH23" s="163">
        <v>6</v>
      </c>
      <c r="AI23" s="163">
        <v>5</v>
      </c>
      <c r="AJ23" s="163">
        <v>4</v>
      </c>
      <c r="AK23" s="163">
        <v>3</v>
      </c>
    </row>
    <row r="24" spans="1:37" x14ac:dyDescent="0.25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Y24" s="163"/>
      <c r="Z24" s="163"/>
      <c r="AA24" s="163" t="s">
        <v>75</v>
      </c>
      <c r="AB24" s="163">
        <v>25</v>
      </c>
      <c r="AC24" s="163">
        <v>15</v>
      </c>
      <c r="AD24" s="163">
        <v>13</v>
      </c>
      <c r="AE24" s="163">
        <v>7</v>
      </c>
      <c r="AF24" s="163">
        <v>6</v>
      </c>
      <c r="AG24" s="163">
        <v>5</v>
      </c>
      <c r="AH24" s="163">
        <v>4</v>
      </c>
      <c r="AI24" s="163">
        <v>3</v>
      </c>
      <c r="AJ24" s="163">
        <v>2</v>
      </c>
      <c r="AK24" s="163">
        <v>1</v>
      </c>
    </row>
    <row r="25" spans="1:37" x14ac:dyDescent="0.25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Y25" s="163"/>
      <c r="Z25" s="163"/>
      <c r="AA25" s="163" t="s">
        <v>80</v>
      </c>
      <c r="AB25" s="163">
        <v>15</v>
      </c>
      <c r="AC25" s="163">
        <v>10</v>
      </c>
      <c r="AD25" s="163">
        <v>8</v>
      </c>
      <c r="AE25" s="163">
        <v>4</v>
      </c>
      <c r="AF25" s="163">
        <v>3</v>
      </c>
      <c r="AG25" s="163">
        <v>2</v>
      </c>
      <c r="AH25" s="163">
        <v>1</v>
      </c>
      <c r="AI25" s="163">
        <v>0</v>
      </c>
      <c r="AJ25" s="163">
        <v>0</v>
      </c>
      <c r="AK25" s="163">
        <v>0</v>
      </c>
    </row>
    <row r="26" spans="1:37" x14ac:dyDescent="0.25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Y26" s="163"/>
      <c r="Z26" s="163"/>
      <c r="AA26" s="163" t="s">
        <v>76</v>
      </c>
      <c r="AB26" s="163">
        <v>10</v>
      </c>
      <c r="AC26" s="163">
        <v>6</v>
      </c>
      <c r="AD26" s="163">
        <v>4</v>
      </c>
      <c r="AE26" s="163">
        <v>2</v>
      </c>
      <c r="AF26" s="163">
        <v>1</v>
      </c>
      <c r="AG26" s="163">
        <v>0</v>
      </c>
      <c r="AH26" s="163">
        <v>0</v>
      </c>
      <c r="AI26" s="163">
        <v>0</v>
      </c>
      <c r="AJ26" s="163">
        <v>0</v>
      </c>
      <c r="AK26" s="163">
        <v>0</v>
      </c>
    </row>
    <row r="27" spans="1:37" x14ac:dyDescent="0.25">
      <c r="A27" s="96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Y27" s="163"/>
      <c r="Z27" s="163"/>
      <c r="AA27" s="163" t="s">
        <v>77</v>
      </c>
      <c r="AB27" s="163">
        <v>3</v>
      </c>
      <c r="AC27" s="163">
        <v>2</v>
      </c>
      <c r="AD27" s="163">
        <v>1</v>
      </c>
      <c r="AE27" s="163">
        <v>0</v>
      </c>
      <c r="AF27" s="163">
        <v>0</v>
      </c>
      <c r="AG27" s="163">
        <v>0</v>
      </c>
      <c r="AH27" s="163">
        <v>0</v>
      </c>
      <c r="AI27" s="163">
        <v>0</v>
      </c>
      <c r="AJ27" s="163">
        <v>0</v>
      </c>
      <c r="AK27" s="163">
        <v>0</v>
      </c>
    </row>
    <row r="28" spans="1:37" x14ac:dyDescent="0.25">
      <c r="A28" s="96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</row>
    <row r="29" spans="1:37" x14ac:dyDescent="0.25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</row>
    <row r="30" spans="1:37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37" x14ac:dyDescent="0.25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</row>
    <row r="32" spans="1:37" x14ac:dyDescent="0.25">
      <c r="A32" s="96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5"/>
      <c r="M32" s="95"/>
    </row>
    <row r="33" spans="1:18" x14ac:dyDescent="0.25">
      <c r="A33" s="45" t="s">
        <v>22</v>
      </c>
      <c r="B33" s="46"/>
      <c r="C33" s="75"/>
      <c r="D33" s="122" t="s">
        <v>0</v>
      </c>
      <c r="E33" s="123" t="s">
        <v>24</v>
      </c>
      <c r="F33" s="137"/>
      <c r="G33" s="122" t="s">
        <v>0</v>
      </c>
      <c r="H33" s="123" t="s">
        <v>31</v>
      </c>
      <c r="I33" s="56"/>
      <c r="J33" s="123" t="s">
        <v>32</v>
      </c>
      <c r="K33" s="55" t="s">
        <v>33</v>
      </c>
      <c r="L33" s="29"/>
      <c r="M33" s="181"/>
      <c r="N33" s="180"/>
      <c r="P33" s="118"/>
      <c r="Q33" s="118"/>
      <c r="R33" s="119"/>
    </row>
    <row r="34" spans="1:18" x14ac:dyDescent="0.25">
      <c r="A34" s="100" t="s">
        <v>23</v>
      </c>
      <c r="B34" s="101"/>
      <c r="C34" s="102"/>
      <c r="D34" s="124"/>
      <c r="E34" s="415"/>
      <c r="F34" s="415"/>
      <c r="G34" s="131" t="s">
        <v>1</v>
      </c>
      <c r="H34" s="101"/>
      <c r="I34" s="125"/>
      <c r="J34" s="132"/>
      <c r="K34" s="98" t="s">
        <v>25</v>
      </c>
      <c r="L34" s="138"/>
      <c r="M34" s="128"/>
      <c r="P34" s="120"/>
      <c r="Q34" s="120"/>
      <c r="R34" s="48"/>
    </row>
    <row r="35" spans="1:18" x14ac:dyDescent="0.25">
      <c r="A35" s="103" t="s">
        <v>30</v>
      </c>
      <c r="B35" s="54"/>
      <c r="C35" s="104"/>
      <c r="D35" s="127"/>
      <c r="E35" s="410"/>
      <c r="F35" s="410"/>
      <c r="G35" s="133" t="s">
        <v>2</v>
      </c>
      <c r="H35" s="36"/>
      <c r="I35" s="97"/>
      <c r="J35" s="37"/>
      <c r="K35" s="135"/>
      <c r="L35" s="95"/>
      <c r="M35" s="130"/>
      <c r="P35" s="48"/>
      <c r="Q35" s="47"/>
      <c r="R35" s="48"/>
    </row>
    <row r="36" spans="1:18" x14ac:dyDescent="0.25">
      <c r="A36" s="67"/>
      <c r="B36" s="68"/>
      <c r="C36" s="69"/>
      <c r="D36" s="127"/>
      <c r="E36" s="38"/>
      <c r="F36" s="96"/>
      <c r="G36" s="133" t="s">
        <v>3</v>
      </c>
      <c r="H36" s="36"/>
      <c r="I36" s="97"/>
      <c r="J36" s="37"/>
      <c r="K36" s="98" t="s">
        <v>26</v>
      </c>
      <c r="L36" s="138"/>
      <c r="M36" s="126"/>
      <c r="P36" s="120"/>
      <c r="Q36" s="120"/>
      <c r="R36" s="48"/>
    </row>
    <row r="37" spans="1:18" x14ac:dyDescent="0.25">
      <c r="A37" s="49"/>
      <c r="B37" s="44"/>
      <c r="C37" s="50"/>
      <c r="D37" s="127"/>
      <c r="E37" s="38"/>
      <c r="F37" s="96"/>
      <c r="G37" s="133" t="s">
        <v>4</v>
      </c>
      <c r="H37" s="36"/>
      <c r="I37" s="97"/>
      <c r="J37" s="37"/>
      <c r="K37" s="136"/>
      <c r="L37" s="96"/>
      <c r="M37" s="128"/>
      <c r="P37" s="48"/>
      <c r="Q37" s="47"/>
      <c r="R37" s="48"/>
    </row>
    <row r="38" spans="1:18" x14ac:dyDescent="0.25">
      <c r="A38" s="58"/>
      <c r="B38" s="70"/>
      <c r="C38" s="74"/>
      <c r="D38" s="127"/>
      <c r="E38" s="38"/>
      <c r="F38" s="96"/>
      <c r="G38" s="133" t="s">
        <v>5</v>
      </c>
      <c r="H38" s="36"/>
      <c r="I38" s="97"/>
      <c r="J38" s="37"/>
      <c r="K38" s="103"/>
      <c r="L38" s="95"/>
      <c r="M38" s="130"/>
      <c r="P38" s="48"/>
      <c r="Q38" s="47"/>
      <c r="R38" s="48"/>
    </row>
    <row r="39" spans="1:18" x14ac:dyDescent="0.25">
      <c r="A39" s="59"/>
      <c r="B39" s="20"/>
      <c r="C39" s="50"/>
      <c r="D39" s="127"/>
      <c r="E39" s="38"/>
      <c r="F39" s="96"/>
      <c r="G39" s="133" t="s">
        <v>6</v>
      </c>
      <c r="H39" s="36"/>
      <c r="I39" s="97"/>
      <c r="J39" s="37"/>
      <c r="K39" s="98" t="s">
        <v>21</v>
      </c>
      <c r="L39" s="138"/>
      <c r="M39" s="126"/>
      <c r="P39" s="120"/>
      <c r="Q39" s="120"/>
      <c r="R39" s="48"/>
    </row>
    <row r="40" spans="1:18" x14ac:dyDescent="0.25">
      <c r="A40" s="59"/>
      <c r="B40" s="20"/>
      <c r="C40" s="65"/>
      <c r="D40" s="127"/>
      <c r="E40" s="38"/>
      <c r="F40" s="96"/>
      <c r="G40" s="133" t="s">
        <v>7</v>
      </c>
      <c r="H40" s="36"/>
      <c r="I40" s="97"/>
      <c r="J40" s="37"/>
      <c r="K40" s="136"/>
      <c r="L40" s="96"/>
      <c r="M40" s="128"/>
      <c r="P40" s="48"/>
      <c r="Q40" s="47"/>
      <c r="R40" s="48"/>
    </row>
    <row r="41" spans="1:18" x14ac:dyDescent="0.25">
      <c r="A41" s="60"/>
      <c r="B41" s="57"/>
      <c r="C41" s="66"/>
      <c r="D41" s="129"/>
      <c r="E41" s="51"/>
      <c r="F41" s="95"/>
      <c r="G41" s="134" t="s">
        <v>8</v>
      </c>
      <c r="H41" s="54"/>
      <c r="I41" s="99"/>
      <c r="J41" s="52"/>
      <c r="K41" s="103">
        <f>L4</f>
        <v>0</v>
      </c>
      <c r="L41" s="95"/>
      <c r="M41" s="130"/>
      <c r="P41" s="48"/>
      <c r="Q41" s="47"/>
      <c r="R41" s="121"/>
    </row>
  </sheetData>
  <mergeCells count="20">
    <mergeCell ref="E34:F34"/>
    <mergeCell ref="E35:F35"/>
    <mergeCell ref="B20:C20"/>
    <mergeCell ref="D20:E20"/>
    <mergeCell ref="F20:G20"/>
    <mergeCell ref="H20:I20"/>
    <mergeCell ref="B21:C21"/>
    <mergeCell ref="D21:E21"/>
    <mergeCell ref="F21:G21"/>
    <mergeCell ref="H21:I21"/>
    <mergeCell ref="H18:I18"/>
    <mergeCell ref="B19:C19"/>
    <mergeCell ref="D19:E19"/>
    <mergeCell ref="F19:G19"/>
    <mergeCell ref="H19:I19"/>
    <mergeCell ref="A1:F1"/>
    <mergeCell ref="A4:C4"/>
    <mergeCell ref="B18:C18"/>
    <mergeCell ref="D18:E18"/>
    <mergeCell ref="F18:G18"/>
  </mergeCells>
  <conditionalFormatting sqref="E7 E9 E11">
    <cfRule type="cellIs" dxfId="47" priority="2" stopIfTrue="1" operator="equal">
      <formula>"Bye"</formula>
    </cfRule>
  </conditionalFormatting>
  <conditionalFormatting sqref="R41">
    <cfRule type="expression" dxfId="46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Munka14">
    <tabColor indexed="11"/>
  </sheetPr>
  <dimension ref="A1:AK41"/>
  <sheetViews>
    <sheetView workbookViewId="0">
      <selection activeCell="Q15" sqref="Q15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10.5546875" customWidth="1"/>
    <col min="10" max="10" width="7.88671875" customWidth="1"/>
    <col min="11" max="12" width="8.5546875" customWidth="1"/>
    <col min="13" max="13" width="7.88671875" customWidth="1"/>
    <col min="15" max="15" width="5.109375" customWidth="1"/>
    <col min="16" max="16" width="11.5546875" customWidth="1"/>
    <col min="17" max="17" width="9.33203125" customWidth="1"/>
    <col min="25" max="37" width="0" hidden="1" customWidth="1"/>
  </cols>
  <sheetData>
    <row r="1" spans="1:37" ht="24.6" x14ac:dyDescent="0.25">
      <c r="A1" s="414" t="str">
        <f>Altalanos!$A$6</f>
        <v>Tenisz Diákolimpia B-A-Z. Vármegyei Döntő</v>
      </c>
      <c r="B1" s="414"/>
      <c r="C1" s="414"/>
      <c r="D1" s="414"/>
      <c r="E1" s="414"/>
      <c r="F1" s="414"/>
      <c r="G1" s="79"/>
      <c r="H1" s="82" t="s">
        <v>29</v>
      </c>
      <c r="I1" s="80"/>
      <c r="J1" s="81"/>
      <c r="L1" s="83"/>
      <c r="M1" s="84"/>
      <c r="N1" s="41"/>
      <c r="O1" s="41" t="s">
        <v>9</v>
      </c>
      <c r="P1" s="41"/>
      <c r="Q1" s="40"/>
      <c r="R1" s="41"/>
      <c r="AB1" s="169" t="str">
        <f>IF(Y5=1,CONCATENATE(VLOOKUP(Y3,AA16:AH27,2)),CONCATENATE(VLOOKUP(Y3,AA2:AK13,2)))</f>
        <v>150</v>
      </c>
      <c r="AC1" s="169" t="str">
        <f>IF(Y5=1,CONCATENATE(VLOOKUP(Y3,AA16:AK27,3)),CONCATENATE(VLOOKUP(Y3,AA2:AK13,3)))</f>
        <v>120</v>
      </c>
      <c r="AD1" s="169" t="str">
        <f>IF(Y5=1,CONCATENATE(VLOOKUP(Y3,AA16:AK27,4)),CONCATENATE(VLOOKUP(Y3,AA2:AK13,4)))</f>
        <v>100</v>
      </c>
      <c r="AE1" s="169" t="str">
        <f>IF(Y5=1,CONCATENATE(VLOOKUP(Y3,AA16:AK27,5)),CONCATENATE(VLOOKUP(Y3,AA2:AK13,5)))</f>
        <v>80</v>
      </c>
      <c r="AF1" s="169" t="str">
        <f>IF(Y5=1,CONCATENATE(VLOOKUP(Y3,AA16:AK27,6)),CONCATENATE(VLOOKUP(Y3,AA2:AK13,6)))</f>
        <v>70</v>
      </c>
      <c r="AG1" s="169" t="str">
        <f>IF(Y5=1,CONCATENATE(VLOOKUP(Y3,AA16:AK27,7)),CONCATENATE(VLOOKUP(Y3,AA2:AK13,7)))</f>
        <v>60</v>
      </c>
      <c r="AH1" s="169" t="str">
        <f>IF(Y5=1,CONCATENATE(VLOOKUP(Y3,AA16:AK27,8)),CONCATENATE(VLOOKUP(Y3,AA2:AK13,8)))</f>
        <v>55</v>
      </c>
      <c r="AI1" s="169" t="str">
        <f>IF(Y5=1,CONCATENATE(VLOOKUP(Y3,AA16:AK27,9)),CONCATENATE(VLOOKUP(Y3,AA2:AK13,9)))</f>
        <v>50</v>
      </c>
      <c r="AJ1" s="169" t="str">
        <f>IF(Y5=1,CONCATENATE(VLOOKUP(Y3,AA16:AK27,10)),CONCATENATE(VLOOKUP(Y3,AA2:AK13,10)))</f>
        <v>45</v>
      </c>
      <c r="AK1" s="169" t="str">
        <f>IF(Y5=1,CONCATENATE(VLOOKUP(Y3,AA16:AK27,11)),CONCATENATE(VLOOKUP(Y3,AA2:AK13,11)))</f>
        <v>40</v>
      </c>
    </row>
    <row r="2" spans="1:37" x14ac:dyDescent="0.25">
      <c r="A2" s="85" t="s">
        <v>28</v>
      </c>
      <c r="B2" s="86"/>
      <c r="C2" s="86"/>
      <c r="D2" s="86"/>
      <c r="E2" s="185" t="s">
        <v>265</v>
      </c>
      <c r="F2" s="86"/>
      <c r="G2" s="87"/>
      <c r="H2" s="88"/>
      <c r="I2" s="88"/>
      <c r="J2" s="89"/>
      <c r="K2" s="83"/>
      <c r="L2" s="83"/>
      <c r="M2" s="83"/>
      <c r="N2" s="42"/>
      <c r="O2" s="39"/>
      <c r="P2" s="42"/>
      <c r="Q2" s="39"/>
      <c r="R2" s="42"/>
      <c r="Y2" s="164"/>
      <c r="Z2" s="163"/>
      <c r="AA2" s="163" t="s">
        <v>38</v>
      </c>
      <c r="AB2" s="154">
        <v>150</v>
      </c>
      <c r="AC2" s="154">
        <v>120</v>
      </c>
      <c r="AD2" s="154">
        <v>100</v>
      </c>
      <c r="AE2" s="154">
        <v>80</v>
      </c>
      <c r="AF2" s="154">
        <v>70</v>
      </c>
      <c r="AG2" s="154">
        <v>60</v>
      </c>
      <c r="AH2" s="154">
        <v>55</v>
      </c>
      <c r="AI2" s="154">
        <v>50</v>
      </c>
      <c r="AJ2" s="154">
        <v>45</v>
      </c>
      <c r="AK2" s="154">
        <v>40</v>
      </c>
    </row>
    <row r="3" spans="1:37" x14ac:dyDescent="0.25">
      <c r="A3" s="34" t="s">
        <v>16</v>
      </c>
      <c r="B3" s="34"/>
      <c r="C3" s="34"/>
      <c r="D3" s="34"/>
      <c r="E3" s="34" t="s">
        <v>14</v>
      </c>
      <c r="F3" s="34"/>
      <c r="G3" s="34"/>
      <c r="H3" s="34" t="s">
        <v>18</v>
      </c>
      <c r="I3" s="34"/>
      <c r="J3" s="43"/>
      <c r="K3" s="34"/>
      <c r="L3" s="35" t="s">
        <v>19</v>
      </c>
      <c r="M3" s="34"/>
      <c r="N3" s="112"/>
      <c r="O3" s="111"/>
      <c r="P3" s="112"/>
      <c r="Q3" s="111"/>
      <c r="R3" s="113"/>
      <c r="Y3" s="163" t="str">
        <f>IF(H4="OB","A",IF(H4="IX","W",H4))</f>
        <v>B</v>
      </c>
      <c r="Z3" s="163"/>
      <c r="AA3" s="163" t="s">
        <v>68</v>
      </c>
      <c r="AB3" s="154">
        <v>120</v>
      </c>
      <c r="AC3" s="154">
        <v>90</v>
      </c>
      <c r="AD3" s="154">
        <v>65</v>
      </c>
      <c r="AE3" s="154">
        <v>55</v>
      </c>
      <c r="AF3" s="154">
        <v>50</v>
      </c>
      <c r="AG3" s="154">
        <v>45</v>
      </c>
      <c r="AH3" s="154">
        <v>40</v>
      </c>
      <c r="AI3" s="154">
        <v>35</v>
      </c>
      <c r="AJ3" s="154">
        <v>25</v>
      </c>
      <c r="AK3" s="154">
        <v>20</v>
      </c>
    </row>
    <row r="4" spans="1:37" ht="13.8" thickBot="1" x14ac:dyDescent="0.3">
      <c r="A4" s="417" t="str">
        <f>Altalanos!$A$10</f>
        <v>2024.05.02-03.</v>
      </c>
      <c r="B4" s="417"/>
      <c r="C4" s="417"/>
      <c r="D4" s="90"/>
      <c r="E4" s="91" t="str">
        <f>Altalanos!$C$10</f>
        <v>Kazincbarcika</v>
      </c>
      <c r="F4" s="91"/>
      <c r="G4" s="91"/>
      <c r="H4" s="93" t="s">
        <v>39</v>
      </c>
      <c r="I4" s="91"/>
      <c r="J4" s="92"/>
      <c r="K4" s="93"/>
      <c r="L4" s="94">
        <f>Altalanos!$E$10</f>
        <v>0</v>
      </c>
      <c r="M4" s="93"/>
      <c r="N4" s="114"/>
      <c r="O4" s="115"/>
      <c r="P4" s="153" t="s">
        <v>52</v>
      </c>
      <c r="Q4" s="154" t="s">
        <v>61</v>
      </c>
      <c r="R4" s="154" t="s">
        <v>57</v>
      </c>
      <c r="S4" s="33"/>
      <c r="Y4" s="163"/>
      <c r="Z4" s="163"/>
      <c r="AA4" s="163" t="s">
        <v>69</v>
      </c>
      <c r="AB4" s="154">
        <v>90</v>
      </c>
      <c r="AC4" s="154">
        <v>60</v>
      </c>
      <c r="AD4" s="154">
        <v>45</v>
      </c>
      <c r="AE4" s="154">
        <v>34</v>
      </c>
      <c r="AF4" s="154">
        <v>27</v>
      </c>
      <c r="AG4" s="154">
        <v>22</v>
      </c>
      <c r="AH4" s="154">
        <v>18</v>
      </c>
      <c r="AI4" s="154">
        <v>15</v>
      </c>
      <c r="AJ4" s="154">
        <v>12</v>
      </c>
      <c r="AK4" s="154">
        <v>9</v>
      </c>
    </row>
    <row r="5" spans="1:37" x14ac:dyDescent="0.25">
      <c r="A5" s="29"/>
      <c r="B5" s="29" t="s">
        <v>27</v>
      </c>
      <c r="C5" s="107" t="s">
        <v>36</v>
      </c>
      <c r="D5" s="29" t="s">
        <v>22</v>
      </c>
      <c r="E5" s="29" t="s">
        <v>41</v>
      </c>
      <c r="F5" s="29"/>
      <c r="G5" s="29" t="s">
        <v>17</v>
      </c>
      <c r="H5" s="29"/>
      <c r="I5" s="29" t="s">
        <v>20</v>
      </c>
      <c r="J5" s="29"/>
      <c r="K5" s="140" t="s">
        <v>42</v>
      </c>
      <c r="L5" s="140" t="s">
        <v>43</v>
      </c>
      <c r="M5" s="140" t="s">
        <v>44</v>
      </c>
      <c r="P5" s="155" t="s">
        <v>59</v>
      </c>
      <c r="Q5" s="156" t="s">
        <v>55</v>
      </c>
      <c r="R5" s="156" t="s">
        <v>62</v>
      </c>
      <c r="S5" s="33"/>
      <c r="Y5" s="163">
        <f>IF(OR(Altalanos!$A$8="F1",Altalanos!$A$8="F2",Altalanos!$A$8="N1",Altalanos!$A$8="N2"),1,2)</f>
        <v>2</v>
      </c>
      <c r="Z5" s="163"/>
      <c r="AA5" s="163" t="s">
        <v>70</v>
      </c>
      <c r="AB5" s="154">
        <v>60</v>
      </c>
      <c r="AC5" s="154">
        <v>40</v>
      </c>
      <c r="AD5" s="154">
        <v>30</v>
      </c>
      <c r="AE5" s="154">
        <v>20</v>
      </c>
      <c r="AF5" s="154">
        <v>18</v>
      </c>
      <c r="AG5" s="154">
        <v>15</v>
      </c>
      <c r="AH5" s="154">
        <v>12</v>
      </c>
      <c r="AI5" s="154">
        <v>10</v>
      </c>
      <c r="AJ5" s="154">
        <v>8</v>
      </c>
      <c r="AK5" s="154">
        <v>6</v>
      </c>
    </row>
    <row r="6" spans="1:37" x14ac:dyDescent="0.25">
      <c r="A6" s="96"/>
      <c r="B6" s="96"/>
      <c r="C6" s="139"/>
      <c r="D6" s="96"/>
      <c r="E6" s="96"/>
      <c r="F6" s="96"/>
      <c r="G6" s="96"/>
      <c r="H6" s="96"/>
      <c r="I6" s="96"/>
      <c r="J6" s="96"/>
      <c r="K6" s="96"/>
      <c r="L6" s="96"/>
      <c r="M6" s="96"/>
      <c r="P6" s="157" t="s">
        <v>60</v>
      </c>
      <c r="Q6" s="158" t="s">
        <v>63</v>
      </c>
      <c r="R6" s="158" t="s">
        <v>58</v>
      </c>
      <c r="S6" s="33"/>
      <c r="Y6" s="163"/>
      <c r="Z6" s="163"/>
      <c r="AA6" s="163" t="s">
        <v>71</v>
      </c>
      <c r="AB6" s="154">
        <v>40</v>
      </c>
      <c r="AC6" s="154">
        <v>25</v>
      </c>
      <c r="AD6" s="154">
        <v>18</v>
      </c>
      <c r="AE6" s="154">
        <v>13</v>
      </c>
      <c r="AF6" s="154">
        <v>10</v>
      </c>
      <c r="AG6" s="154">
        <v>8</v>
      </c>
      <c r="AH6" s="154">
        <v>6</v>
      </c>
      <c r="AI6" s="154">
        <v>5</v>
      </c>
      <c r="AJ6" s="154">
        <v>4</v>
      </c>
      <c r="AK6" s="154">
        <v>3</v>
      </c>
    </row>
    <row r="7" spans="1:37" x14ac:dyDescent="0.25">
      <c r="A7" s="116" t="s">
        <v>38</v>
      </c>
      <c r="B7" s="141"/>
      <c r="C7" s="143" t="str">
        <f>IF($B7="","",VLOOKUP($B7,#REF!,5))</f>
        <v/>
      </c>
      <c r="D7" s="143" t="str">
        <f>IF($B7="","",VLOOKUP($B7,#REF!,15))</f>
        <v/>
      </c>
      <c r="E7" s="418" t="s">
        <v>350</v>
      </c>
      <c r="F7" s="419"/>
      <c r="G7" s="418" t="s">
        <v>351</v>
      </c>
      <c r="H7" s="419"/>
      <c r="I7" s="144" t="str">
        <f>IF($B7="","",VLOOKUP($B7,#REF!,4))</f>
        <v/>
      </c>
      <c r="J7" s="96"/>
      <c r="K7" s="170"/>
      <c r="L7" s="165" t="str">
        <f>IF(K7="","",CONCATENATE(VLOOKUP($Y$3,$AB$1:$AK$1,K7)," pont"))</f>
        <v/>
      </c>
      <c r="M7" s="171"/>
      <c r="P7" s="153" t="s">
        <v>66</v>
      </c>
      <c r="Q7" s="154" t="s">
        <v>54</v>
      </c>
      <c r="R7" s="154" t="s">
        <v>64</v>
      </c>
      <c r="Y7" s="163"/>
      <c r="Z7" s="163"/>
      <c r="AA7" s="163" t="s">
        <v>72</v>
      </c>
      <c r="AB7" s="154">
        <v>25</v>
      </c>
      <c r="AC7" s="154">
        <v>15</v>
      </c>
      <c r="AD7" s="154">
        <v>13</v>
      </c>
      <c r="AE7" s="154">
        <v>8</v>
      </c>
      <c r="AF7" s="154">
        <v>6</v>
      </c>
      <c r="AG7" s="154">
        <v>4</v>
      </c>
      <c r="AH7" s="154">
        <v>3</v>
      </c>
      <c r="AI7" s="154">
        <v>2</v>
      </c>
      <c r="AJ7" s="154">
        <v>1</v>
      </c>
      <c r="AK7" s="154">
        <v>0</v>
      </c>
    </row>
    <row r="8" spans="1:37" x14ac:dyDescent="0.25">
      <c r="A8" s="116"/>
      <c r="B8" s="142"/>
      <c r="C8" s="145"/>
      <c r="D8" s="145"/>
      <c r="E8" s="145"/>
      <c r="F8" s="145"/>
      <c r="G8" s="145"/>
      <c r="H8" s="145"/>
      <c r="I8" s="145"/>
      <c r="J8" s="96"/>
      <c r="K8" s="116"/>
      <c r="L8" s="116"/>
      <c r="M8" s="172"/>
      <c r="P8" s="155" t="s">
        <v>67</v>
      </c>
      <c r="Q8" s="156" t="s">
        <v>56</v>
      </c>
      <c r="R8" s="156" t="s">
        <v>65</v>
      </c>
      <c r="Y8" s="163"/>
      <c r="Z8" s="163"/>
      <c r="AA8" s="163" t="s">
        <v>73</v>
      </c>
      <c r="AB8" s="154">
        <v>15</v>
      </c>
      <c r="AC8" s="154">
        <v>10</v>
      </c>
      <c r="AD8" s="154">
        <v>7</v>
      </c>
      <c r="AE8" s="154">
        <v>5</v>
      </c>
      <c r="AF8" s="154">
        <v>4</v>
      </c>
      <c r="AG8" s="154">
        <v>3</v>
      </c>
      <c r="AH8" s="154">
        <v>2</v>
      </c>
      <c r="AI8" s="154">
        <v>1</v>
      </c>
      <c r="AJ8" s="154">
        <v>0</v>
      </c>
      <c r="AK8" s="154">
        <v>0</v>
      </c>
    </row>
    <row r="9" spans="1:37" x14ac:dyDescent="0.25">
      <c r="A9" s="116" t="s">
        <v>39</v>
      </c>
      <c r="B9" s="141"/>
      <c r="C9" s="143" t="str">
        <f>IF($B9="","",VLOOKUP($B9,#REF!,5))</f>
        <v/>
      </c>
      <c r="D9" s="143" t="str">
        <f>IF($B9="","",VLOOKUP($B9,#REF!,15))</f>
        <v/>
      </c>
      <c r="E9" s="418" t="s">
        <v>352</v>
      </c>
      <c r="F9" s="419"/>
      <c r="G9" s="418" t="s">
        <v>277</v>
      </c>
      <c r="H9" s="419"/>
      <c r="I9" s="144" t="str">
        <f>IF($B9="","",VLOOKUP($B9,#REF!,4))</f>
        <v/>
      </c>
      <c r="J9" s="96"/>
      <c r="K9" s="170"/>
      <c r="L9" s="165" t="str">
        <f>IF(K9="","",CONCATENATE(VLOOKUP($Y$3,$AB$1:$AK$1,K9)," pont"))</f>
        <v/>
      </c>
      <c r="M9" s="171"/>
      <c r="Y9" s="163"/>
      <c r="Z9" s="163"/>
      <c r="AA9" s="163" t="s">
        <v>74</v>
      </c>
      <c r="AB9" s="154">
        <v>10</v>
      </c>
      <c r="AC9" s="154">
        <v>6</v>
      </c>
      <c r="AD9" s="154">
        <v>4</v>
      </c>
      <c r="AE9" s="154">
        <v>2</v>
      </c>
      <c r="AF9" s="154">
        <v>1</v>
      </c>
      <c r="AG9" s="154">
        <v>0</v>
      </c>
      <c r="AH9" s="154">
        <v>0</v>
      </c>
      <c r="AI9" s="154">
        <v>0</v>
      </c>
      <c r="AJ9" s="154">
        <v>0</v>
      </c>
      <c r="AK9" s="154">
        <v>0</v>
      </c>
    </row>
    <row r="10" spans="1:37" x14ac:dyDescent="0.25">
      <c r="A10" s="116"/>
      <c r="B10" s="142"/>
      <c r="C10" s="145"/>
      <c r="D10" s="145"/>
      <c r="E10" s="145"/>
      <c r="F10" s="145"/>
      <c r="G10" s="145"/>
      <c r="H10" s="145"/>
      <c r="I10" s="145"/>
      <c r="J10" s="96"/>
      <c r="K10" s="116"/>
      <c r="L10" s="116"/>
      <c r="M10" s="172"/>
      <c r="Y10" s="163"/>
      <c r="Z10" s="163"/>
      <c r="AA10" s="163" t="s">
        <v>75</v>
      </c>
      <c r="AB10" s="154">
        <v>6</v>
      </c>
      <c r="AC10" s="154">
        <v>3</v>
      </c>
      <c r="AD10" s="154">
        <v>2</v>
      </c>
      <c r="AE10" s="154">
        <v>1</v>
      </c>
      <c r="AF10" s="154">
        <v>0</v>
      </c>
      <c r="AG10" s="154">
        <v>0</v>
      </c>
      <c r="AH10" s="154">
        <v>0</v>
      </c>
      <c r="AI10" s="154">
        <v>0</v>
      </c>
      <c r="AJ10" s="154">
        <v>0</v>
      </c>
      <c r="AK10" s="154">
        <v>0</v>
      </c>
    </row>
    <row r="11" spans="1:37" x14ac:dyDescent="0.25">
      <c r="A11" s="116" t="s">
        <v>40</v>
      </c>
      <c r="B11" s="141"/>
      <c r="C11" s="143" t="str">
        <f>IF($B11="","",VLOOKUP($B11,#REF!,5))</f>
        <v/>
      </c>
      <c r="D11" s="143" t="str">
        <f>IF($B11="","",VLOOKUP($B11,#REF!,15))</f>
        <v/>
      </c>
      <c r="E11" s="418" t="s">
        <v>353</v>
      </c>
      <c r="F11" s="419"/>
      <c r="G11" s="418" t="s">
        <v>354</v>
      </c>
      <c r="H11" s="419"/>
      <c r="I11" s="144" t="str">
        <f>IF($B11="","",VLOOKUP($B11,#REF!,4))</f>
        <v/>
      </c>
      <c r="J11" s="96"/>
      <c r="K11" s="170"/>
      <c r="L11" s="165" t="str">
        <f>IF(K11="","",CONCATENATE(VLOOKUP($Y$3,$AB$1:$AK$1,K11)," pont"))</f>
        <v/>
      </c>
      <c r="M11" s="171"/>
      <c r="Y11" s="163"/>
      <c r="Z11" s="163"/>
      <c r="AA11" s="163" t="s">
        <v>80</v>
      </c>
      <c r="AB11" s="154">
        <v>3</v>
      </c>
      <c r="AC11" s="154">
        <v>2</v>
      </c>
      <c r="AD11" s="154">
        <v>1</v>
      </c>
      <c r="AE11" s="154">
        <v>0</v>
      </c>
      <c r="AF11" s="154">
        <v>0</v>
      </c>
      <c r="AG11" s="154">
        <v>0</v>
      </c>
      <c r="AH11" s="154">
        <v>0</v>
      </c>
      <c r="AI11" s="154">
        <v>0</v>
      </c>
      <c r="AJ11" s="154">
        <v>0</v>
      </c>
      <c r="AK11" s="154">
        <v>0</v>
      </c>
    </row>
    <row r="12" spans="1:37" x14ac:dyDescent="0.25">
      <c r="A12" s="116"/>
      <c r="B12" s="142"/>
      <c r="C12" s="145"/>
      <c r="D12" s="145"/>
      <c r="E12" s="145"/>
      <c r="F12" s="145"/>
      <c r="G12" s="145"/>
      <c r="H12" s="145"/>
      <c r="I12" s="145"/>
      <c r="J12" s="96"/>
      <c r="K12" s="139"/>
      <c r="L12" s="139"/>
      <c r="M12" s="172"/>
      <c r="Y12" s="163"/>
      <c r="Z12" s="163"/>
      <c r="AA12" s="163" t="s">
        <v>76</v>
      </c>
      <c r="AB12" s="168">
        <v>0</v>
      </c>
      <c r="AC12" s="168">
        <v>0</v>
      </c>
      <c r="AD12" s="168">
        <v>0</v>
      </c>
      <c r="AE12" s="168">
        <v>0</v>
      </c>
      <c r="AF12" s="168">
        <v>0</v>
      </c>
      <c r="AG12" s="168">
        <v>0</v>
      </c>
      <c r="AH12" s="168">
        <v>0</v>
      </c>
      <c r="AI12" s="168">
        <v>0</v>
      </c>
      <c r="AJ12" s="168">
        <v>0</v>
      </c>
      <c r="AK12" s="168">
        <v>0</v>
      </c>
    </row>
    <row r="13" spans="1:37" x14ac:dyDescent="0.25">
      <c r="A13" s="116" t="s">
        <v>45</v>
      </c>
      <c r="B13" s="141"/>
      <c r="C13" s="143" t="str">
        <f>IF($B13="","",VLOOKUP($B13,#REF!,5))</f>
        <v/>
      </c>
      <c r="D13" s="143" t="str">
        <f>IF($B13="","",VLOOKUP($B13,#REF!,15))</f>
        <v/>
      </c>
      <c r="E13" s="418" t="s">
        <v>355</v>
      </c>
      <c r="F13" s="419"/>
      <c r="G13" s="418" t="s">
        <v>356</v>
      </c>
      <c r="H13" s="419"/>
      <c r="I13" s="144" t="str">
        <f>IF($B13="","",VLOOKUP($B13,#REF!,4))</f>
        <v/>
      </c>
      <c r="J13" s="96"/>
      <c r="K13" s="170"/>
      <c r="L13" s="165" t="str">
        <f>IF(K13="","",CONCATENATE(VLOOKUP($Y$3,$AB$1:$AK$1,K13)," pont"))</f>
        <v/>
      </c>
      <c r="M13" s="171"/>
      <c r="Y13" s="163"/>
      <c r="Z13" s="163"/>
      <c r="AA13" s="163" t="s">
        <v>77</v>
      </c>
      <c r="AB13" s="168">
        <v>0</v>
      </c>
      <c r="AC13" s="168">
        <v>0</v>
      </c>
      <c r="AD13" s="168">
        <v>0</v>
      </c>
      <c r="AE13" s="168">
        <v>0</v>
      </c>
      <c r="AF13" s="168">
        <v>0</v>
      </c>
      <c r="AG13" s="168">
        <v>0</v>
      </c>
      <c r="AH13" s="168">
        <v>0</v>
      </c>
      <c r="AI13" s="168">
        <v>0</v>
      </c>
      <c r="AJ13" s="168">
        <v>0</v>
      </c>
      <c r="AK13" s="168">
        <v>0</v>
      </c>
    </row>
    <row r="14" spans="1:37" x14ac:dyDescent="0.25">
      <c r="A14" s="116"/>
      <c r="B14" s="142"/>
      <c r="C14" s="145"/>
      <c r="D14" s="145"/>
      <c r="E14" s="145"/>
      <c r="F14" s="145"/>
      <c r="G14" s="145"/>
      <c r="H14" s="145"/>
      <c r="I14" s="145"/>
      <c r="J14" s="96"/>
      <c r="K14" s="116"/>
      <c r="L14" s="116"/>
      <c r="M14" s="172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</row>
    <row r="15" spans="1:37" x14ac:dyDescent="0.25">
      <c r="A15" s="116" t="s">
        <v>46</v>
      </c>
      <c r="B15" s="141"/>
      <c r="C15" s="143" t="str">
        <f>IF($B15="","",VLOOKUP($B15,#REF!,5))</f>
        <v/>
      </c>
      <c r="D15" s="143" t="str">
        <f>IF($B15="","",VLOOKUP($B15,#REF!,15))</f>
        <v/>
      </c>
      <c r="E15" s="418" t="s">
        <v>357</v>
      </c>
      <c r="F15" s="419"/>
      <c r="G15" s="418" t="s">
        <v>358</v>
      </c>
      <c r="H15" s="419"/>
      <c r="I15" s="144" t="str">
        <f>IF($B15="","",VLOOKUP($B15,#REF!,4))</f>
        <v/>
      </c>
      <c r="J15" s="96"/>
      <c r="K15" s="170"/>
      <c r="L15" s="165" t="str">
        <f>IF(K15="","",CONCATENATE(VLOOKUP($Y$3,$AB$1:$AK$1,K15)," pont"))</f>
        <v/>
      </c>
      <c r="M15" s="171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</row>
    <row r="16" spans="1:37" x14ac:dyDescent="0.25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Y16" s="163"/>
      <c r="Z16" s="163"/>
      <c r="AA16" s="163" t="s">
        <v>38</v>
      </c>
      <c r="AB16" s="163">
        <v>300</v>
      </c>
      <c r="AC16" s="163">
        <v>250</v>
      </c>
      <c r="AD16" s="163">
        <v>220</v>
      </c>
      <c r="AE16" s="163">
        <v>180</v>
      </c>
      <c r="AF16" s="163">
        <v>160</v>
      </c>
      <c r="AG16" s="163">
        <v>150</v>
      </c>
      <c r="AH16" s="163">
        <v>140</v>
      </c>
      <c r="AI16" s="163">
        <v>130</v>
      </c>
      <c r="AJ16" s="163">
        <v>120</v>
      </c>
      <c r="AK16" s="163">
        <v>110</v>
      </c>
    </row>
    <row r="17" spans="1:37" x14ac:dyDescent="0.25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Y17" s="163"/>
      <c r="Z17" s="163"/>
      <c r="AA17" s="163" t="s">
        <v>68</v>
      </c>
      <c r="AB17" s="163">
        <v>250</v>
      </c>
      <c r="AC17" s="163">
        <v>200</v>
      </c>
      <c r="AD17" s="163">
        <v>160</v>
      </c>
      <c r="AE17" s="163">
        <v>140</v>
      </c>
      <c r="AF17" s="163">
        <v>120</v>
      </c>
      <c r="AG17" s="163">
        <v>110</v>
      </c>
      <c r="AH17" s="163">
        <v>100</v>
      </c>
      <c r="AI17" s="163">
        <v>90</v>
      </c>
      <c r="AJ17" s="163">
        <v>80</v>
      </c>
      <c r="AK17" s="163">
        <v>70</v>
      </c>
    </row>
    <row r="18" spans="1:37" ht="18.75" customHeight="1" x14ac:dyDescent="0.25">
      <c r="A18" s="96"/>
      <c r="B18" s="413"/>
      <c r="C18" s="413"/>
      <c r="D18" s="412" t="str">
        <f>E7</f>
        <v>Soltész</v>
      </c>
      <c r="E18" s="412"/>
      <c r="F18" s="412" t="str">
        <f>E9</f>
        <v>Szilágyi</v>
      </c>
      <c r="G18" s="412"/>
      <c r="H18" s="412" t="str">
        <f>E11</f>
        <v>Varsányi</v>
      </c>
      <c r="I18" s="412"/>
      <c r="J18" s="412" t="str">
        <f>E13</f>
        <v>Mészáros</v>
      </c>
      <c r="K18" s="412"/>
      <c r="L18" s="412" t="str">
        <f>E15</f>
        <v>Szaszkó</v>
      </c>
      <c r="M18" s="412"/>
      <c r="Y18" s="163"/>
      <c r="Z18" s="163"/>
      <c r="AA18" s="163" t="s">
        <v>69</v>
      </c>
      <c r="AB18" s="163">
        <v>200</v>
      </c>
      <c r="AC18" s="163">
        <v>150</v>
      </c>
      <c r="AD18" s="163">
        <v>130</v>
      </c>
      <c r="AE18" s="163">
        <v>110</v>
      </c>
      <c r="AF18" s="163">
        <v>95</v>
      </c>
      <c r="AG18" s="163">
        <v>80</v>
      </c>
      <c r="AH18" s="163">
        <v>70</v>
      </c>
      <c r="AI18" s="163">
        <v>60</v>
      </c>
      <c r="AJ18" s="163">
        <v>55</v>
      </c>
      <c r="AK18" s="163">
        <v>50</v>
      </c>
    </row>
    <row r="19" spans="1:37" ht="18.75" customHeight="1" x14ac:dyDescent="0.25">
      <c r="A19" s="146" t="s">
        <v>38</v>
      </c>
      <c r="B19" s="416" t="str">
        <f>E7</f>
        <v>Soltész</v>
      </c>
      <c r="C19" s="416"/>
      <c r="D19" s="411"/>
      <c r="E19" s="411"/>
      <c r="F19" s="409"/>
      <c r="G19" s="409"/>
      <c r="H19" s="409"/>
      <c r="I19" s="409"/>
      <c r="J19" s="412"/>
      <c r="K19" s="412"/>
      <c r="L19" s="412"/>
      <c r="M19" s="412"/>
      <c r="Y19" s="163"/>
      <c r="Z19" s="163"/>
      <c r="AA19" s="163" t="s">
        <v>70</v>
      </c>
      <c r="AB19" s="163">
        <v>150</v>
      </c>
      <c r="AC19" s="163">
        <v>120</v>
      </c>
      <c r="AD19" s="163">
        <v>100</v>
      </c>
      <c r="AE19" s="163">
        <v>80</v>
      </c>
      <c r="AF19" s="163">
        <v>70</v>
      </c>
      <c r="AG19" s="163">
        <v>60</v>
      </c>
      <c r="AH19" s="163">
        <v>55</v>
      </c>
      <c r="AI19" s="163">
        <v>50</v>
      </c>
      <c r="AJ19" s="163">
        <v>45</v>
      </c>
      <c r="AK19" s="163">
        <v>40</v>
      </c>
    </row>
    <row r="20" spans="1:37" ht="18.75" customHeight="1" x14ac:dyDescent="0.25">
      <c r="A20" s="146" t="s">
        <v>39</v>
      </c>
      <c r="B20" s="416" t="str">
        <f>E9</f>
        <v>Szilágyi</v>
      </c>
      <c r="C20" s="416"/>
      <c r="D20" s="409"/>
      <c r="E20" s="409"/>
      <c r="F20" s="411"/>
      <c r="G20" s="411"/>
      <c r="H20" s="409"/>
      <c r="I20" s="409"/>
      <c r="J20" s="409"/>
      <c r="K20" s="409"/>
      <c r="L20" s="412"/>
      <c r="M20" s="412"/>
      <c r="Y20" s="163"/>
      <c r="Z20" s="163"/>
      <c r="AA20" s="163" t="s">
        <v>71</v>
      </c>
      <c r="AB20" s="163">
        <v>120</v>
      </c>
      <c r="AC20" s="163">
        <v>90</v>
      </c>
      <c r="AD20" s="163">
        <v>65</v>
      </c>
      <c r="AE20" s="163">
        <v>55</v>
      </c>
      <c r="AF20" s="163">
        <v>50</v>
      </c>
      <c r="AG20" s="163">
        <v>45</v>
      </c>
      <c r="AH20" s="163">
        <v>40</v>
      </c>
      <c r="AI20" s="163">
        <v>35</v>
      </c>
      <c r="AJ20" s="163">
        <v>25</v>
      </c>
      <c r="AK20" s="163">
        <v>20</v>
      </c>
    </row>
    <row r="21" spans="1:37" ht="18.75" customHeight="1" x14ac:dyDescent="0.25">
      <c r="A21" s="146" t="s">
        <v>40</v>
      </c>
      <c r="B21" s="416" t="str">
        <f>E11</f>
        <v>Varsányi</v>
      </c>
      <c r="C21" s="416"/>
      <c r="D21" s="409"/>
      <c r="E21" s="409"/>
      <c r="F21" s="409"/>
      <c r="G21" s="409"/>
      <c r="H21" s="411"/>
      <c r="I21" s="411"/>
      <c r="J21" s="409"/>
      <c r="K21" s="409"/>
      <c r="L21" s="409"/>
      <c r="M21" s="409"/>
      <c r="Y21" s="163"/>
      <c r="Z21" s="163"/>
      <c r="AA21" s="163" t="s">
        <v>72</v>
      </c>
      <c r="AB21" s="163">
        <v>90</v>
      </c>
      <c r="AC21" s="163">
        <v>60</v>
      </c>
      <c r="AD21" s="163">
        <v>45</v>
      </c>
      <c r="AE21" s="163">
        <v>34</v>
      </c>
      <c r="AF21" s="163">
        <v>27</v>
      </c>
      <c r="AG21" s="163">
        <v>22</v>
      </c>
      <c r="AH21" s="163">
        <v>18</v>
      </c>
      <c r="AI21" s="163">
        <v>15</v>
      </c>
      <c r="AJ21" s="163">
        <v>12</v>
      </c>
      <c r="AK21" s="163">
        <v>9</v>
      </c>
    </row>
    <row r="22" spans="1:37" ht="18.75" customHeight="1" x14ac:dyDescent="0.25">
      <c r="A22" s="146" t="s">
        <v>45</v>
      </c>
      <c r="B22" s="416" t="str">
        <f>E13</f>
        <v>Mészáros</v>
      </c>
      <c r="C22" s="416"/>
      <c r="D22" s="409"/>
      <c r="E22" s="409"/>
      <c r="F22" s="409"/>
      <c r="G22" s="409"/>
      <c r="H22" s="412"/>
      <c r="I22" s="412"/>
      <c r="J22" s="411"/>
      <c r="K22" s="411"/>
      <c r="L22" s="409"/>
      <c r="M22" s="409"/>
      <c r="Y22" s="163"/>
      <c r="Z22" s="163"/>
      <c r="AA22" s="163" t="s">
        <v>73</v>
      </c>
      <c r="AB22" s="163">
        <v>60</v>
      </c>
      <c r="AC22" s="163">
        <v>40</v>
      </c>
      <c r="AD22" s="163">
        <v>30</v>
      </c>
      <c r="AE22" s="163">
        <v>20</v>
      </c>
      <c r="AF22" s="163">
        <v>18</v>
      </c>
      <c r="AG22" s="163">
        <v>15</v>
      </c>
      <c r="AH22" s="163">
        <v>12</v>
      </c>
      <c r="AI22" s="163">
        <v>10</v>
      </c>
      <c r="AJ22" s="163">
        <v>8</v>
      </c>
      <c r="AK22" s="163">
        <v>6</v>
      </c>
    </row>
    <row r="23" spans="1:37" ht="18.75" customHeight="1" x14ac:dyDescent="0.25">
      <c r="A23" s="146" t="s">
        <v>46</v>
      </c>
      <c r="B23" s="416" t="str">
        <f>E15</f>
        <v>Szaszkó</v>
      </c>
      <c r="C23" s="416"/>
      <c r="D23" s="409"/>
      <c r="E23" s="409"/>
      <c r="F23" s="409"/>
      <c r="G23" s="409"/>
      <c r="H23" s="412"/>
      <c r="I23" s="412"/>
      <c r="J23" s="412"/>
      <c r="K23" s="412"/>
      <c r="L23" s="411"/>
      <c r="M23" s="411"/>
      <c r="Y23" s="163"/>
      <c r="Z23" s="163"/>
      <c r="AA23" s="163" t="s">
        <v>74</v>
      </c>
      <c r="AB23" s="163">
        <v>40</v>
      </c>
      <c r="AC23" s="163">
        <v>25</v>
      </c>
      <c r="AD23" s="163">
        <v>18</v>
      </c>
      <c r="AE23" s="163">
        <v>13</v>
      </c>
      <c r="AF23" s="163">
        <v>8</v>
      </c>
      <c r="AG23" s="163">
        <v>7</v>
      </c>
      <c r="AH23" s="163">
        <v>6</v>
      </c>
      <c r="AI23" s="163">
        <v>5</v>
      </c>
      <c r="AJ23" s="163">
        <v>4</v>
      </c>
      <c r="AK23" s="163">
        <v>3</v>
      </c>
    </row>
    <row r="24" spans="1:37" x14ac:dyDescent="0.25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Y24" s="163"/>
      <c r="Z24" s="163"/>
      <c r="AA24" s="163" t="s">
        <v>75</v>
      </c>
      <c r="AB24" s="163">
        <v>25</v>
      </c>
      <c r="AC24" s="163">
        <v>15</v>
      </c>
      <c r="AD24" s="163">
        <v>13</v>
      </c>
      <c r="AE24" s="163">
        <v>7</v>
      </c>
      <c r="AF24" s="163">
        <v>6</v>
      </c>
      <c r="AG24" s="163">
        <v>5</v>
      </c>
      <c r="AH24" s="163">
        <v>4</v>
      </c>
      <c r="AI24" s="163">
        <v>3</v>
      </c>
      <c r="AJ24" s="163">
        <v>2</v>
      </c>
      <c r="AK24" s="163">
        <v>1</v>
      </c>
    </row>
    <row r="25" spans="1:37" x14ac:dyDescent="0.25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Y25" s="163"/>
      <c r="Z25" s="163"/>
      <c r="AA25" s="163" t="s">
        <v>80</v>
      </c>
      <c r="AB25" s="163">
        <v>15</v>
      </c>
      <c r="AC25" s="163">
        <v>10</v>
      </c>
      <c r="AD25" s="163">
        <v>8</v>
      </c>
      <c r="AE25" s="163">
        <v>4</v>
      </c>
      <c r="AF25" s="163">
        <v>3</v>
      </c>
      <c r="AG25" s="163">
        <v>2</v>
      </c>
      <c r="AH25" s="163">
        <v>1</v>
      </c>
      <c r="AI25" s="163">
        <v>0</v>
      </c>
      <c r="AJ25" s="163">
        <v>0</v>
      </c>
      <c r="AK25" s="163">
        <v>0</v>
      </c>
    </row>
    <row r="26" spans="1:37" x14ac:dyDescent="0.25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Y26" s="163"/>
      <c r="Z26" s="163"/>
      <c r="AA26" s="163" t="s">
        <v>76</v>
      </c>
      <c r="AB26" s="163">
        <v>10</v>
      </c>
      <c r="AC26" s="163">
        <v>6</v>
      </c>
      <c r="AD26" s="163">
        <v>4</v>
      </c>
      <c r="AE26" s="163">
        <v>2</v>
      </c>
      <c r="AF26" s="163">
        <v>1</v>
      </c>
      <c r="AG26" s="163">
        <v>0</v>
      </c>
      <c r="AH26" s="163">
        <v>0</v>
      </c>
      <c r="AI26" s="163">
        <v>0</v>
      </c>
      <c r="AJ26" s="163">
        <v>0</v>
      </c>
      <c r="AK26" s="163">
        <v>0</v>
      </c>
    </row>
    <row r="27" spans="1:37" x14ac:dyDescent="0.25">
      <c r="A27" s="96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Y27" s="163"/>
      <c r="Z27" s="163"/>
      <c r="AA27" s="163" t="s">
        <v>77</v>
      </c>
      <c r="AB27" s="163">
        <v>3</v>
      </c>
      <c r="AC27" s="163">
        <v>2</v>
      </c>
      <c r="AD27" s="163">
        <v>1</v>
      </c>
      <c r="AE27" s="163">
        <v>0</v>
      </c>
      <c r="AF27" s="163">
        <v>0</v>
      </c>
      <c r="AG27" s="163">
        <v>0</v>
      </c>
      <c r="AH27" s="163">
        <v>0</v>
      </c>
      <c r="AI27" s="163">
        <v>0</v>
      </c>
      <c r="AJ27" s="163">
        <v>0</v>
      </c>
      <c r="AK27" s="163">
        <v>0</v>
      </c>
    </row>
    <row r="28" spans="1:37" x14ac:dyDescent="0.25">
      <c r="A28" s="96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</row>
    <row r="29" spans="1:37" x14ac:dyDescent="0.25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</row>
    <row r="30" spans="1:37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37" x14ac:dyDescent="0.25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</row>
    <row r="32" spans="1:37" x14ac:dyDescent="0.25">
      <c r="A32" s="96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5"/>
      <c r="M32" s="96"/>
    </row>
    <row r="33" spans="1:18" x14ac:dyDescent="0.25">
      <c r="A33" s="45" t="s">
        <v>22</v>
      </c>
      <c r="B33" s="46"/>
      <c r="C33" s="75"/>
      <c r="D33" s="122" t="s">
        <v>0</v>
      </c>
      <c r="E33" s="123" t="s">
        <v>24</v>
      </c>
      <c r="F33" s="137"/>
      <c r="G33" s="122" t="s">
        <v>0</v>
      </c>
      <c r="H33" s="123" t="s">
        <v>31</v>
      </c>
      <c r="I33" s="56"/>
      <c r="J33" s="123" t="s">
        <v>32</v>
      </c>
      <c r="K33" s="55" t="s">
        <v>33</v>
      </c>
      <c r="L33" s="29"/>
      <c r="M33" s="137"/>
      <c r="P33" s="118"/>
      <c r="Q33" s="118"/>
      <c r="R33" s="119"/>
    </row>
    <row r="34" spans="1:18" x14ac:dyDescent="0.25">
      <c r="A34" s="100" t="s">
        <v>23</v>
      </c>
      <c r="B34" s="101"/>
      <c r="C34" s="102"/>
      <c r="D34" s="124"/>
      <c r="E34" s="415"/>
      <c r="F34" s="415"/>
      <c r="G34" s="131" t="s">
        <v>1</v>
      </c>
      <c r="H34" s="101"/>
      <c r="I34" s="125"/>
      <c r="J34" s="132"/>
      <c r="K34" s="98" t="s">
        <v>25</v>
      </c>
      <c r="L34" s="138"/>
      <c r="M34" s="126"/>
      <c r="P34" s="120"/>
      <c r="Q34" s="120"/>
      <c r="R34" s="48"/>
    </row>
    <row r="35" spans="1:18" x14ac:dyDescent="0.25">
      <c r="A35" s="103" t="s">
        <v>30</v>
      </c>
      <c r="B35" s="54"/>
      <c r="C35" s="104"/>
      <c r="D35" s="127"/>
      <c r="E35" s="410"/>
      <c r="F35" s="410"/>
      <c r="G35" s="133" t="s">
        <v>2</v>
      </c>
      <c r="H35" s="36"/>
      <c r="I35" s="97"/>
      <c r="J35" s="37"/>
      <c r="K35" s="135"/>
      <c r="L35" s="95"/>
      <c r="M35" s="130"/>
      <c r="P35" s="48"/>
      <c r="Q35" s="47"/>
      <c r="R35" s="48"/>
    </row>
    <row r="36" spans="1:18" x14ac:dyDescent="0.25">
      <c r="A36" s="67"/>
      <c r="B36" s="68"/>
      <c r="C36" s="69"/>
      <c r="D36" s="127"/>
      <c r="E36" s="38"/>
      <c r="F36" s="96"/>
      <c r="G36" s="133" t="s">
        <v>3</v>
      </c>
      <c r="H36" s="36"/>
      <c r="I36" s="97"/>
      <c r="J36" s="37"/>
      <c r="K36" s="98" t="s">
        <v>26</v>
      </c>
      <c r="L36" s="138"/>
      <c r="M36" s="126"/>
      <c r="P36" s="120"/>
      <c r="Q36" s="120"/>
      <c r="R36" s="48"/>
    </row>
    <row r="37" spans="1:18" x14ac:dyDescent="0.25">
      <c r="A37" s="49"/>
      <c r="B37" s="44"/>
      <c r="C37" s="50"/>
      <c r="D37" s="127"/>
      <c r="E37" s="38"/>
      <c r="F37" s="96"/>
      <c r="G37" s="133" t="s">
        <v>4</v>
      </c>
      <c r="H37" s="36"/>
      <c r="I37" s="97"/>
      <c r="J37" s="37"/>
      <c r="K37" s="136"/>
      <c r="L37" s="96"/>
      <c r="M37" s="128"/>
      <c r="P37" s="48"/>
      <c r="Q37" s="47"/>
      <c r="R37" s="48"/>
    </row>
    <row r="38" spans="1:18" x14ac:dyDescent="0.25">
      <c r="A38" s="58"/>
      <c r="B38" s="70"/>
      <c r="C38" s="74"/>
      <c r="D38" s="127"/>
      <c r="E38" s="38"/>
      <c r="F38" s="96"/>
      <c r="G38" s="133" t="s">
        <v>5</v>
      </c>
      <c r="H38" s="36"/>
      <c r="I38" s="97"/>
      <c r="J38" s="37"/>
      <c r="K38" s="103"/>
      <c r="L38" s="95"/>
      <c r="M38" s="130"/>
      <c r="P38" s="48"/>
      <c r="Q38" s="47"/>
      <c r="R38" s="48"/>
    </row>
    <row r="39" spans="1:18" x14ac:dyDescent="0.25">
      <c r="A39" s="59"/>
      <c r="B39" s="20"/>
      <c r="C39" s="50"/>
      <c r="D39" s="127"/>
      <c r="E39" s="38"/>
      <c r="F39" s="96"/>
      <c r="G39" s="133" t="s">
        <v>6</v>
      </c>
      <c r="H39" s="36"/>
      <c r="I39" s="97"/>
      <c r="J39" s="37"/>
      <c r="K39" s="98" t="s">
        <v>21</v>
      </c>
      <c r="L39" s="138"/>
      <c r="M39" s="126"/>
      <c r="P39" s="120"/>
      <c r="Q39" s="120"/>
      <c r="R39" s="48"/>
    </row>
    <row r="40" spans="1:18" x14ac:dyDescent="0.25">
      <c r="A40" s="59"/>
      <c r="B40" s="20"/>
      <c r="C40" s="65"/>
      <c r="D40" s="127"/>
      <c r="E40" s="38"/>
      <c r="F40" s="96"/>
      <c r="G40" s="133" t="s">
        <v>7</v>
      </c>
      <c r="H40" s="36"/>
      <c r="I40" s="97"/>
      <c r="J40" s="37"/>
      <c r="K40" s="136"/>
      <c r="L40" s="96"/>
      <c r="M40" s="128"/>
      <c r="P40" s="48"/>
      <c r="Q40" s="47"/>
      <c r="R40" s="48"/>
    </row>
    <row r="41" spans="1:18" x14ac:dyDescent="0.25">
      <c r="A41" s="60"/>
      <c r="B41" s="57"/>
      <c r="C41" s="66"/>
      <c r="D41" s="129"/>
      <c r="E41" s="51"/>
      <c r="F41" s="95"/>
      <c r="G41" s="134" t="s">
        <v>8</v>
      </c>
      <c r="H41" s="54"/>
      <c r="I41" s="99"/>
      <c r="J41" s="52"/>
      <c r="K41" s="103">
        <f>L4</f>
        <v>0</v>
      </c>
      <c r="L41" s="95"/>
      <c r="M41" s="130"/>
      <c r="P41" s="48"/>
      <c r="Q41" s="47"/>
      <c r="R41" s="121"/>
    </row>
  </sheetData>
  <mergeCells count="50">
    <mergeCell ref="E34:F34"/>
    <mergeCell ref="E35:F35"/>
    <mergeCell ref="B23:C23"/>
    <mergeCell ref="D23:E23"/>
    <mergeCell ref="F23:G23"/>
    <mergeCell ref="J23:K23"/>
    <mergeCell ref="L23:M23"/>
    <mergeCell ref="B22:C22"/>
    <mergeCell ref="D22:E22"/>
    <mergeCell ref="F22:G22"/>
    <mergeCell ref="H22:I22"/>
    <mergeCell ref="J22:K22"/>
    <mergeCell ref="L22:M22"/>
    <mergeCell ref="H23:I23"/>
    <mergeCell ref="L20:M20"/>
    <mergeCell ref="B21:C21"/>
    <mergeCell ref="D21:E21"/>
    <mergeCell ref="F21:G21"/>
    <mergeCell ref="H21:I21"/>
    <mergeCell ref="J21:K21"/>
    <mergeCell ref="L21:M21"/>
    <mergeCell ref="B20:C20"/>
    <mergeCell ref="D20:E20"/>
    <mergeCell ref="F20:G20"/>
    <mergeCell ref="H20:I20"/>
    <mergeCell ref="J20:K20"/>
    <mergeCell ref="L18:M18"/>
    <mergeCell ref="B19:C19"/>
    <mergeCell ref="D19:E19"/>
    <mergeCell ref="F19:G19"/>
    <mergeCell ref="H19:I19"/>
    <mergeCell ref="J19:K19"/>
    <mergeCell ref="L19:M19"/>
    <mergeCell ref="B18:C18"/>
    <mergeCell ref="D18:E18"/>
    <mergeCell ref="F18:G18"/>
    <mergeCell ref="H18:I18"/>
    <mergeCell ref="J18:K18"/>
    <mergeCell ref="E11:F11"/>
    <mergeCell ref="G11:H11"/>
    <mergeCell ref="E13:F13"/>
    <mergeCell ref="G13:H13"/>
    <mergeCell ref="E15:F15"/>
    <mergeCell ref="G15:H15"/>
    <mergeCell ref="A1:F1"/>
    <mergeCell ref="A4:C4"/>
    <mergeCell ref="E7:F7"/>
    <mergeCell ref="G7:H7"/>
    <mergeCell ref="E9:F9"/>
    <mergeCell ref="G9:H9"/>
  </mergeCells>
  <conditionalFormatting sqref="E7 E9 E11 E13 E15">
    <cfRule type="cellIs" dxfId="45" priority="2" stopIfTrue="1" operator="equal">
      <formula>"Bye"</formula>
    </cfRule>
  </conditionalFormatting>
  <conditionalFormatting sqref="R41">
    <cfRule type="expression" dxfId="44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Munka23">
    <tabColor indexed="11"/>
  </sheetPr>
  <dimension ref="A1:AK41"/>
  <sheetViews>
    <sheetView workbookViewId="0">
      <selection activeCell="T25" sqref="T25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414" t="str">
        <f>Altalanos!$A$6</f>
        <v>Tenisz Diákolimpia B-A-Z. Vármegyei Döntő</v>
      </c>
      <c r="B1" s="414"/>
      <c r="C1" s="414"/>
      <c r="D1" s="414"/>
      <c r="E1" s="414"/>
      <c r="F1" s="414"/>
      <c r="G1" s="79"/>
      <c r="H1" s="82" t="s">
        <v>29</v>
      </c>
      <c r="I1" s="80"/>
      <c r="J1" s="81"/>
      <c r="L1" s="83"/>
      <c r="M1" s="84"/>
      <c r="N1" s="41"/>
      <c r="O1" s="41" t="s">
        <v>9</v>
      </c>
      <c r="P1" s="41"/>
      <c r="Q1" s="40"/>
      <c r="R1" s="41"/>
      <c r="AB1" s="169" t="str">
        <f>IF(Y5=1,CONCATENATE(VLOOKUP(Y3,AA16:AH27,2)),CONCATENATE(VLOOKUP(Y3,AA2:AK13,2)))</f>
        <v>150</v>
      </c>
      <c r="AC1" s="169" t="str">
        <f>IF(Y5=1,CONCATENATE(VLOOKUP(Y3,AA16:AK27,3)),CONCATENATE(VLOOKUP(Y3,AA2:AK13,3)))</f>
        <v>120</v>
      </c>
      <c r="AD1" s="169" t="str">
        <f>IF(Y5=1,CONCATENATE(VLOOKUP(Y3,AA16:AK27,4)),CONCATENATE(VLOOKUP(Y3,AA2:AK13,4)))</f>
        <v>100</v>
      </c>
      <c r="AE1" s="169" t="str">
        <f>IF(Y5=1,CONCATENATE(VLOOKUP(Y3,AA16:AK27,5)),CONCATENATE(VLOOKUP(Y3,AA2:AK13,5)))</f>
        <v>80</v>
      </c>
      <c r="AF1" s="169" t="str">
        <f>IF(Y5=1,CONCATENATE(VLOOKUP(Y3,AA16:AK27,6)),CONCATENATE(VLOOKUP(Y3,AA2:AK13,6)))</f>
        <v>70</v>
      </c>
      <c r="AG1" s="169" t="str">
        <f>IF(Y5=1,CONCATENATE(VLOOKUP(Y3,AA16:AK27,7)),CONCATENATE(VLOOKUP(Y3,AA2:AK13,7)))</f>
        <v>60</v>
      </c>
      <c r="AH1" s="169" t="str">
        <f>IF(Y5=1,CONCATENATE(VLOOKUP(Y3,AA16:AK27,8)),CONCATENATE(VLOOKUP(Y3,AA2:AK13,8)))</f>
        <v>55</v>
      </c>
      <c r="AI1" s="169" t="str">
        <f>IF(Y5=1,CONCATENATE(VLOOKUP(Y3,AA16:AK27,9)),CONCATENATE(VLOOKUP(Y3,AA2:AK13,9)))</f>
        <v>50</v>
      </c>
      <c r="AJ1" s="169" t="str">
        <f>IF(Y5=1,CONCATENATE(VLOOKUP(Y3,AA16:AK27,10)),CONCATENATE(VLOOKUP(Y3,AA2:AK13,10)))</f>
        <v>45</v>
      </c>
      <c r="AK1" s="169" t="str">
        <f>IF(Y5=1,CONCATENATE(VLOOKUP(Y3,AA16:AK27,11)),CONCATENATE(VLOOKUP(Y3,AA2:AK13,11)))</f>
        <v>40</v>
      </c>
    </row>
    <row r="2" spans="1:37" x14ac:dyDescent="0.25">
      <c r="A2" s="85" t="s">
        <v>28</v>
      </c>
      <c r="B2" s="86"/>
      <c r="C2" s="86"/>
      <c r="D2" s="86"/>
      <c r="E2" s="185" t="str">
        <f>Altalanos!$C$8</f>
        <v>IV.-V.</v>
      </c>
      <c r="F2" s="86"/>
      <c r="G2" s="87"/>
      <c r="H2" s="88"/>
      <c r="I2" s="88"/>
      <c r="J2" s="89"/>
      <c r="K2" s="83"/>
      <c r="L2" s="83"/>
      <c r="M2" s="83"/>
      <c r="N2" s="42"/>
      <c r="O2" s="39"/>
      <c r="P2" s="42"/>
      <c r="Q2" s="39"/>
      <c r="R2" s="42"/>
      <c r="Y2" s="164"/>
      <c r="Z2" s="163"/>
      <c r="AA2" s="163" t="s">
        <v>38</v>
      </c>
      <c r="AB2" s="154">
        <v>150</v>
      </c>
      <c r="AC2" s="154">
        <v>120</v>
      </c>
      <c r="AD2" s="154">
        <v>100</v>
      </c>
      <c r="AE2" s="154">
        <v>80</v>
      </c>
      <c r="AF2" s="154">
        <v>70</v>
      </c>
      <c r="AG2" s="154">
        <v>60</v>
      </c>
      <c r="AH2" s="154">
        <v>55</v>
      </c>
      <c r="AI2" s="154">
        <v>50</v>
      </c>
      <c r="AJ2" s="154">
        <v>45</v>
      </c>
      <c r="AK2" s="154">
        <v>40</v>
      </c>
    </row>
    <row r="3" spans="1:37" x14ac:dyDescent="0.25">
      <c r="A3" s="34" t="s">
        <v>16</v>
      </c>
      <c r="B3" s="34"/>
      <c r="C3" s="34"/>
      <c r="D3" s="34"/>
      <c r="E3" s="34" t="s">
        <v>14</v>
      </c>
      <c r="F3" s="34"/>
      <c r="G3" s="34"/>
      <c r="H3" s="34" t="s">
        <v>18</v>
      </c>
      <c r="I3" s="34"/>
      <c r="J3" s="43"/>
      <c r="K3" s="34"/>
      <c r="L3" s="35" t="s">
        <v>19</v>
      </c>
      <c r="M3" s="34"/>
      <c r="N3" s="112"/>
      <c r="O3" s="111"/>
      <c r="P3" s="112"/>
      <c r="Q3" s="153" t="s">
        <v>52</v>
      </c>
      <c r="R3" s="154" t="s">
        <v>58</v>
      </c>
      <c r="Y3" s="163" t="str">
        <f>IF(H4="OB","A",IF(H4="IX","W",H4))</f>
        <v>A</v>
      </c>
      <c r="Z3" s="163"/>
      <c r="AA3" s="163" t="s">
        <v>68</v>
      </c>
      <c r="AB3" s="154">
        <v>120</v>
      </c>
      <c r="AC3" s="154">
        <v>90</v>
      </c>
      <c r="AD3" s="154">
        <v>65</v>
      </c>
      <c r="AE3" s="154">
        <v>55</v>
      </c>
      <c r="AF3" s="154">
        <v>50</v>
      </c>
      <c r="AG3" s="154">
        <v>45</v>
      </c>
      <c r="AH3" s="154">
        <v>40</v>
      </c>
      <c r="AI3" s="154">
        <v>35</v>
      </c>
      <c r="AJ3" s="154">
        <v>25</v>
      </c>
      <c r="AK3" s="154">
        <v>20</v>
      </c>
    </row>
    <row r="4" spans="1:37" ht="13.8" thickBot="1" x14ac:dyDescent="0.3">
      <c r="A4" s="417" t="str">
        <f>Altalanos!$A$10</f>
        <v>2024.05.02-03.</v>
      </c>
      <c r="B4" s="417"/>
      <c r="C4" s="417"/>
      <c r="D4" s="90"/>
      <c r="E4" s="91" t="str">
        <f>Altalanos!$C$10</f>
        <v>Kazincbarcika</v>
      </c>
      <c r="F4" s="91"/>
      <c r="G4" s="91"/>
      <c r="H4" s="93" t="s">
        <v>38</v>
      </c>
      <c r="I4" s="91"/>
      <c r="J4" s="92"/>
      <c r="K4" s="93"/>
      <c r="L4" s="94">
        <f>Altalanos!$E$10</f>
        <v>0</v>
      </c>
      <c r="M4" s="93"/>
      <c r="N4" s="114"/>
      <c r="O4" s="115"/>
      <c r="P4" s="114"/>
      <c r="Q4" s="155" t="s">
        <v>59</v>
      </c>
      <c r="R4" s="156" t="s">
        <v>54</v>
      </c>
      <c r="Y4" s="163"/>
      <c r="Z4" s="163"/>
      <c r="AA4" s="163" t="s">
        <v>69</v>
      </c>
      <c r="AB4" s="154">
        <v>90</v>
      </c>
      <c r="AC4" s="154">
        <v>60</v>
      </c>
      <c r="AD4" s="154">
        <v>45</v>
      </c>
      <c r="AE4" s="154">
        <v>34</v>
      </c>
      <c r="AF4" s="154">
        <v>27</v>
      </c>
      <c r="AG4" s="154">
        <v>22</v>
      </c>
      <c r="AH4" s="154">
        <v>18</v>
      </c>
      <c r="AI4" s="154">
        <v>15</v>
      </c>
      <c r="AJ4" s="154">
        <v>12</v>
      </c>
      <c r="AK4" s="154">
        <v>9</v>
      </c>
    </row>
    <row r="5" spans="1:37" x14ac:dyDescent="0.25">
      <c r="A5" s="29"/>
      <c r="B5" s="29" t="s">
        <v>27</v>
      </c>
      <c r="C5" s="107" t="s">
        <v>36</v>
      </c>
      <c r="D5" s="29" t="s">
        <v>22</v>
      </c>
      <c r="E5" s="29" t="s">
        <v>41</v>
      </c>
      <c r="F5" s="29"/>
      <c r="G5" s="29" t="s">
        <v>17</v>
      </c>
      <c r="H5" s="29"/>
      <c r="I5" s="29" t="s">
        <v>20</v>
      </c>
      <c r="J5" s="29"/>
      <c r="K5" s="140" t="s">
        <v>42</v>
      </c>
      <c r="L5" s="140" t="s">
        <v>43</v>
      </c>
      <c r="M5" s="140" t="s">
        <v>44</v>
      </c>
      <c r="Q5" s="157" t="s">
        <v>60</v>
      </c>
      <c r="R5" s="158" t="s">
        <v>56</v>
      </c>
      <c r="Y5" s="163">
        <f>IF(OR(Altalanos!$A$8="F1",Altalanos!$A$8="F2",Altalanos!$A$8="N1",Altalanos!$A$8="N2"),1,2)</f>
        <v>2</v>
      </c>
      <c r="Z5" s="163"/>
      <c r="AA5" s="163" t="s">
        <v>70</v>
      </c>
      <c r="AB5" s="154">
        <v>60</v>
      </c>
      <c r="AC5" s="154">
        <v>40</v>
      </c>
      <c r="AD5" s="154">
        <v>30</v>
      </c>
      <c r="AE5" s="154">
        <v>20</v>
      </c>
      <c r="AF5" s="154">
        <v>18</v>
      </c>
      <c r="AG5" s="154">
        <v>15</v>
      </c>
      <c r="AH5" s="154">
        <v>12</v>
      </c>
      <c r="AI5" s="154">
        <v>10</v>
      </c>
      <c r="AJ5" s="154">
        <v>8</v>
      </c>
      <c r="AK5" s="154">
        <v>6</v>
      </c>
    </row>
    <row r="6" spans="1:37" x14ac:dyDescent="0.25">
      <c r="A6" s="96"/>
      <c r="B6" s="96"/>
      <c r="C6" s="139"/>
      <c r="D6" s="96"/>
      <c r="E6" s="96"/>
      <c r="F6" s="96"/>
      <c r="G6" s="96"/>
      <c r="H6" s="96"/>
      <c r="I6" s="96"/>
      <c r="J6" s="96"/>
      <c r="K6" s="96"/>
      <c r="L6" s="96"/>
      <c r="M6" s="96"/>
      <c r="Y6" s="163"/>
      <c r="Z6" s="163"/>
      <c r="AA6" s="163" t="s">
        <v>71</v>
      </c>
      <c r="AB6" s="154">
        <v>40</v>
      </c>
      <c r="AC6" s="154">
        <v>25</v>
      </c>
      <c r="AD6" s="154">
        <v>18</v>
      </c>
      <c r="AE6" s="154">
        <v>13</v>
      </c>
      <c r="AF6" s="154">
        <v>10</v>
      </c>
      <c r="AG6" s="154">
        <v>8</v>
      </c>
      <c r="AH6" s="154">
        <v>6</v>
      </c>
      <c r="AI6" s="154">
        <v>5</v>
      </c>
      <c r="AJ6" s="154">
        <v>4</v>
      </c>
      <c r="AK6" s="154">
        <v>3</v>
      </c>
    </row>
    <row r="7" spans="1:37" x14ac:dyDescent="0.25">
      <c r="A7" s="116" t="s">
        <v>38</v>
      </c>
      <c r="B7" s="141"/>
      <c r="C7" s="109" t="str">
        <f>IF($B7="","",VLOOKUP($B7,#REF!,5))</f>
        <v/>
      </c>
      <c r="D7" s="109" t="str">
        <f>IF($B7="","",VLOOKUP($B7,#REF!,15))</f>
        <v/>
      </c>
      <c r="E7" s="105" t="s">
        <v>359</v>
      </c>
      <c r="F7" s="110"/>
      <c r="G7" s="105" t="s">
        <v>360</v>
      </c>
      <c r="H7" s="110"/>
      <c r="I7" s="105" t="str">
        <f>IF($B7="","",VLOOKUP($B7,#REF!,4))</f>
        <v/>
      </c>
      <c r="J7" s="96"/>
      <c r="K7" s="170"/>
      <c r="L7" s="165" t="str">
        <f>IF(K7="","",CONCATENATE(VLOOKUP($Y$3,$AB$1:$AK$1,K7)," pont"))</f>
        <v/>
      </c>
      <c r="M7" s="171"/>
      <c r="Y7" s="163"/>
      <c r="Z7" s="163"/>
      <c r="AA7" s="163" t="s">
        <v>72</v>
      </c>
      <c r="AB7" s="154">
        <v>25</v>
      </c>
      <c r="AC7" s="154">
        <v>15</v>
      </c>
      <c r="AD7" s="154">
        <v>13</v>
      </c>
      <c r="AE7" s="154">
        <v>8</v>
      </c>
      <c r="AF7" s="154">
        <v>6</v>
      </c>
      <c r="AG7" s="154">
        <v>4</v>
      </c>
      <c r="AH7" s="154">
        <v>3</v>
      </c>
      <c r="AI7" s="154">
        <v>2</v>
      </c>
      <c r="AJ7" s="154">
        <v>1</v>
      </c>
      <c r="AK7" s="154">
        <v>0</v>
      </c>
    </row>
    <row r="8" spans="1:37" x14ac:dyDescent="0.25">
      <c r="A8" s="116"/>
      <c r="B8" s="142"/>
      <c r="C8" s="117"/>
      <c r="D8" s="117"/>
      <c r="E8" s="117"/>
      <c r="F8" s="117"/>
      <c r="G8" s="117"/>
      <c r="H8" s="117"/>
      <c r="I8" s="117"/>
      <c r="J8" s="96"/>
      <c r="K8" s="116"/>
      <c r="L8" s="116"/>
      <c r="M8" s="172"/>
      <c r="Y8" s="163"/>
      <c r="Z8" s="163"/>
      <c r="AA8" s="163" t="s">
        <v>73</v>
      </c>
      <c r="AB8" s="154">
        <v>15</v>
      </c>
      <c r="AC8" s="154">
        <v>10</v>
      </c>
      <c r="AD8" s="154">
        <v>7</v>
      </c>
      <c r="AE8" s="154">
        <v>5</v>
      </c>
      <c r="AF8" s="154">
        <v>4</v>
      </c>
      <c r="AG8" s="154">
        <v>3</v>
      </c>
      <c r="AH8" s="154">
        <v>2</v>
      </c>
      <c r="AI8" s="154">
        <v>1</v>
      </c>
      <c r="AJ8" s="154">
        <v>0</v>
      </c>
      <c r="AK8" s="154">
        <v>0</v>
      </c>
    </row>
    <row r="9" spans="1:37" x14ac:dyDescent="0.25">
      <c r="A9" s="116" t="s">
        <v>39</v>
      </c>
      <c r="B9" s="141"/>
      <c r="C9" s="109" t="str">
        <f>IF($B9="","",VLOOKUP($B9,#REF!,5))</f>
        <v/>
      </c>
      <c r="D9" s="109" t="str">
        <f>IF($B9="","",VLOOKUP($B9,#REF!,15))</f>
        <v/>
      </c>
      <c r="E9" s="105" t="s">
        <v>361</v>
      </c>
      <c r="F9" s="110"/>
      <c r="G9" s="105" t="s">
        <v>362</v>
      </c>
      <c r="H9" s="110"/>
      <c r="I9" s="105" t="str">
        <f>IF($B9="","",VLOOKUP($B9,#REF!,4))</f>
        <v/>
      </c>
      <c r="J9" s="96"/>
      <c r="K9" s="170"/>
      <c r="L9" s="165" t="str">
        <f>IF(K9="","",CONCATENATE(VLOOKUP($Y$3,$AB$1:$AK$1,K9)," pont"))</f>
        <v/>
      </c>
      <c r="M9" s="171"/>
      <c r="Y9" s="163"/>
      <c r="Z9" s="163"/>
      <c r="AA9" s="163" t="s">
        <v>74</v>
      </c>
      <c r="AB9" s="154">
        <v>10</v>
      </c>
      <c r="AC9" s="154">
        <v>6</v>
      </c>
      <c r="AD9" s="154">
        <v>4</v>
      </c>
      <c r="AE9" s="154">
        <v>2</v>
      </c>
      <c r="AF9" s="154">
        <v>1</v>
      </c>
      <c r="AG9" s="154">
        <v>0</v>
      </c>
      <c r="AH9" s="154">
        <v>0</v>
      </c>
      <c r="AI9" s="154">
        <v>0</v>
      </c>
      <c r="AJ9" s="154">
        <v>0</v>
      </c>
      <c r="AK9" s="154">
        <v>0</v>
      </c>
    </row>
    <row r="10" spans="1:37" x14ac:dyDescent="0.25">
      <c r="A10" s="116"/>
      <c r="B10" s="142"/>
      <c r="C10" s="117"/>
      <c r="D10" s="117"/>
      <c r="E10" s="117"/>
      <c r="F10" s="117"/>
      <c r="G10" s="117"/>
      <c r="H10" s="117"/>
      <c r="I10" s="117"/>
      <c r="J10" s="96"/>
      <c r="K10" s="116"/>
      <c r="L10" s="116"/>
      <c r="M10" s="172"/>
      <c r="Y10" s="163"/>
      <c r="Z10" s="163"/>
      <c r="AA10" s="163" t="s">
        <v>75</v>
      </c>
      <c r="AB10" s="154">
        <v>6</v>
      </c>
      <c r="AC10" s="154">
        <v>3</v>
      </c>
      <c r="AD10" s="154">
        <v>2</v>
      </c>
      <c r="AE10" s="154">
        <v>1</v>
      </c>
      <c r="AF10" s="154">
        <v>0</v>
      </c>
      <c r="AG10" s="154">
        <v>0</v>
      </c>
      <c r="AH10" s="154">
        <v>0</v>
      </c>
      <c r="AI10" s="154">
        <v>0</v>
      </c>
      <c r="AJ10" s="154">
        <v>0</v>
      </c>
      <c r="AK10" s="154">
        <v>0</v>
      </c>
    </row>
    <row r="11" spans="1:37" x14ac:dyDescent="0.25">
      <c r="A11" s="116" t="s">
        <v>40</v>
      </c>
      <c r="B11" s="141"/>
      <c r="C11" s="109" t="str">
        <f>IF($B11="","",VLOOKUP($B11,#REF!,5))</f>
        <v/>
      </c>
      <c r="D11" s="109" t="str">
        <f>IF($B11="","",VLOOKUP($B11,#REF!,15))</f>
        <v/>
      </c>
      <c r="E11" s="105" t="str">
        <f>UPPER(IF($B11="","",VLOOKUP($B11,#REF!,2)))</f>
        <v/>
      </c>
      <c r="F11" s="110"/>
      <c r="G11" s="105" t="str">
        <f>IF($B11="","",VLOOKUP($B11,#REF!,3))</f>
        <v/>
      </c>
      <c r="H11" s="110"/>
      <c r="I11" s="105" t="str">
        <f>IF($B11="","",VLOOKUP($B11,#REF!,4))</f>
        <v/>
      </c>
      <c r="J11" s="96"/>
      <c r="K11" s="170"/>
      <c r="L11" s="165" t="str">
        <f>IF(K11="","",CONCATENATE(VLOOKUP($Y$3,$AB$1:$AK$1,K11)," pont"))</f>
        <v/>
      </c>
      <c r="M11" s="171"/>
      <c r="Y11" s="163"/>
      <c r="Z11" s="163"/>
      <c r="AA11" s="163" t="s">
        <v>80</v>
      </c>
      <c r="AB11" s="154">
        <v>3</v>
      </c>
      <c r="AC11" s="154">
        <v>2</v>
      </c>
      <c r="AD11" s="154">
        <v>1</v>
      </c>
      <c r="AE11" s="154">
        <v>0</v>
      </c>
      <c r="AF11" s="154">
        <v>0</v>
      </c>
      <c r="AG11" s="154">
        <v>0</v>
      </c>
      <c r="AH11" s="154">
        <v>0</v>
      </c>
      <c r="AI11" s="154">
        <v>0</v>
      </c>
      <c r="AJ11" s="154">
        <v>0</v>
      </c>
      <c r="AK11" s="154">
        <v>0</v>
      </c>
    </row>
    <row r="12" spans="1:37" x14ac:dyDescent="0.25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Y12" s="163"/>
      <c r="Z12" s="163"/>
      <c r="AA12" s="163" t="s">
        <v>76</v>
      </c>
      <c r="AB12" s="168">
        <v>0</v>
      </c>
      <c r="AC12" s="168">
        <v>0</v>
      </c>
      <c r="AD12" s="168">
        <v>0</v>
      </c>
      <c r="AE12" s="168">
        <v>0</v>
      </c>
      <c r="AF12" s="168">
        <v>0</v>
      </c>
      <c r="AG12" s="168">
        <v>0</v>
      </c>
      <c r="AH12" s="168">
        <v>0</v>
      </c>
      <c r="AI12" s="168">
        <v>0</v>
      </c>
      <c r="AJ12" s="168">
        <v>0</v>
      </c>
      <c r="AK12" s="168">
        <v>0</v>
      </c>
    </row>
    <row r="13" spans="1:37" x14ac:dyDescent="0.25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Y13" s="163"/>
      <c r="Z13" s="163"/>
      <c r="AA13" s="163" t="s">
        <v>77</v>
      </c>
      <c r="AB13" s="168">
        <v>0</v>
      </c>
      <c r="AC13" s="168">
        <v>0</v>
      </c>
      <c r="AD13" s="168">
        <v>0</v>
      </c>
      <c r="AE13" s="168">
        <v>0</v>
      </c>
      <c r="AF13" s="168">
        <v>0</v>
      </c>
      <c r="AG13" s="168">
        <v>0</v>
      </c>
      <c r="AH13" s="168">
        <v>0</v>
      </c>
      <c r="AI13" s="168">
        <v>0</v>
      </c>
      <c r="AJ13" s="168">
        <v>0</v>
      </c>
      <c r="AK13" s="168">
        <v>0</v>
      </c>
    </row>
    <row r="14" spans="1:37" x14ac:dyDescent="0.25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</row>
    <row r="15" spans="1:37" x14ac:dyDescent="0.25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</row>
    <row r="16" spans="1:37" x14ac:dyDescent="0.25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Y16" s="163"/>
      <c r="Z16" s="163"/>
      <c r="AA16" s="163" t="s">
        <v>38</v>
      </c>
      <c r="AB16" s="163">
        <v>300</v>
      </c>
      <c r="AC16" s="163">
        <v>250</v>
      </c>
      <c r="AD16" s="163">
        <v>220</v>
      </c>
      <c r="AE16" s="163">
        <v>180</v>
      </c>
      <c r="AF16" s="163">
        <v>160</v>
      </c>
      <c r="AG16" s="163">
        <v>150</v>
      </c>
      <c r="AH16" s="163">
        <v>140</v>
      </c>
      <c r="AI16" s="163">
        <v>130</v>
      </c>
      <c r="AJ16" s="163">
        <v>120</v>
      </c>
      <c r="AK16" s="163">
        <v>110</v>
      </c>
    </row>
    <row r="17" spans="1:37" x14ac:dyDescent="0.25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Y17" s="163"/>
      <c r="Z17" s="163"/>
      <c r="AA17" s="163" t="s">
        <v>68</v>
      </c>
      <c r="AB17" s="163">
        <v>250</v>
      </c>
      <c r="AC17" s="163">
        <v>200</v>
      </c>
      <c r="AD17" s="163">
        <v>160</v>
      </c>
      <c r="AE17" s="163">
        <v>140</v>
      </c>
      <c r="AF17" s="163">
        <v>120</v>
      </c>
      <c r="AG17" s="163">
        <v>110</v>
      </c>
      <c r="AH17" s="163">
        <v>100</v>
      </c>
      <c r="AI17" s="163">
        <v>90</v>
      </c>
      <c r="AJ17" s="163">
        <v>80</v>
      </c>
      <c r="AK17" s="163">
        <v>70</v>
      </c>
    </row>
    <row r="18" spans="1:37" ht="18.75" customHeight="1" x14ac:dyDescent="0.25">
      <c r="A18" s="96"/>
      <c r="B18" s="413"/>
      <c r="C18" s="413"/>
      <c r="D18" s="412" t="str">
        <f>E7</f>
        <v>Dobák</v>
      </c>
      <c r="E18" s="412"/>
      <c r="F18" s="412" t="str">
        <f>E9</f>
        <v>Jánosik</v>
      </c>
      <c r="G18" s="412"/>
      <c r="H18" s="412" t="str">
        <f>E11</f>
        <v/>
      </c>
      <c r="I18" s="412"/>
      <c r="J18" s="96"/>
      <c r="K18" s="96"/>
      <c r="L18" s="96"/>
      <c r="M18" s="96"/>
      <c r="Y18" s="163"/>
      <c r="Z18" s="163"/>
      <c r="AA18" s="163" t="s">
        <v>69</v>
      </c>
      <c r="AB18" s="163">
        <v>200</v>
      </c>
      <c r="AC18" s="163">
        <v>150</v>
      </c>
      <c r="AD18" s="163">
        <v>130</v>
      </c>
      <c r="AE18" s="163">
        <v>110</v>
      </c>
      <c r="AF18" s="163">
        <v>95</v>
      </c>
      <c r="AG18" s="163">
        <v>80</v>
      </c>
      <c r="AH18" s="163">
        <v>70</v>
      </c>
      <c r="AI18" s="163">
        <v>60</v>
      </c>
      <c r="AJ18" s="163">
        <v>55</v>
      </c>
      <c r="AK18" s="163">
        <v>50</v>
      </c>
    </row>
    <row r="19" spans="1:37" ht="18.75" customHeight="1" x14ac:dyDescent="0.25">
      <c r="A19" s="146" t="s">
        <v>38</v>
      </c>
      <c r="B19" s="416" t="str">
        <f>E7</f>
        <v>Dobák</v>
      </c>
      <c r="C19" s="416"/>
      <c r="D19" s="411"/>
      <c r="E19" s="411"/>
      <c r="F19" s="409"/>
      <c r="G19" s="409"/>
      <c r="H19" s="409"/>
      <c r="I19" s="409"/>
      <c r="J19" s="96"/>
      <c r="K19" s="96"/>
      <c r="L19" s="96"/>
      <c r="M19" s="96"/>
      <c r="Y19" s="163"/>
      <c r="Z19" s="163"/>
      <c r="AA19" s="163" t="s">
        <v>70</v>
      </c>
      <c r="AB19" s="163">
        <v>150</v>
      </c>
      <c r="AC19" s="163">
        <v>120</v>
      </c>
      <c r="AD19" s="163">
        <v>100</v>
      </c>
      <c r="AE19" s="163">
        <v>80</v>
      </c>
      <c r="AF19" s="163">
        <v>70</v>
      </c>
      <c r="AG19" s="163">
        <v>60</v>
      </c>
      <c r="AH19" s="163">
        <v>55</v>
      </c>
      <c r="AI19" s="163">
        <v>50</v>
      </c>
      <c r="AJ19" s="163">
        <v>45</v>
      </c>
      <c r="AK19" s="163">
        <v>40</v>
      </c>
    </row>
    <row r="20" spans="1:37" ht="18.75" customHeight="1" x14ac:dyDescent="0.25">
      <c r="A20" s="146" t="s">
        <v>39</v>
      </c>
      <c r="B20" s="416" t="str">
        <f>E9</f>
        <v>Jánosik</v>
      </c>
      <c r="C20" s="416"/>
      <c r="D20" s="409"/>
      <c r="E20" s="409"/>
      <c r="F20" s="411"/>
      <c r="G20" s="411"/>
      <c r="H20" s="409"/>
      <c r="I20" s="409"/>
      <c r="J20" s="96"/>
      <c r="K20" s="96"/>
      <c r="L20" s="96"/>
      <c r="M20" s="96"/>
      <c r="Y20" s="163"/>
      <c r="Z20" s="163"/>
      <c r="AA20" s="163" t="s">
        <v>71</v>
      </c>
      <c r="AB20" s="163">
        <v>120</v>
      </c>
      <c r="AC20" s="163">
        <v>90</v>
      </c>
      <c r="AD20" s="163">
        <v>65</v>
      </c>
      <c r="AE20" s="163">
        <v>55</v>
      </c>
      <c r="AF20" s="163">
        <v>50</v>
      </c>
      <c r="AG20" s="163">
        <v>45</v>
      </c>
      <c r="AH20" s="163">
        <v>40</v>
      </c>
      <c r="AI20" s="163">
        <v>35</v>
      </c>
      <c r="AJ20" s="163">
        <v>25</v>
      </c>
      <c r="AK20" s="163">
        <v>20</v>
      </c>
    </row>
    <row r="21" spans="1:37" ht="18.75" customHeight="1" x14ac:dyDescent="0.25">
      <c r="A21" s="146" t="s">
        <v>40</v>
      </c>
      <c r="B21" s="416" t="str">
        <f>E11</f>
        <v/>
      </c>
      <c r="C21" s="416"/>
      <c r="D21" s="409"/>
      <c r="E21" s="409"/>
      <c r="F21" s="409"/>
      <c r="G21" s="409"/>
      <c r="H21" s="411"/>
      <c r="I21" s="411"/>
      <c r="J21" s="96"/>
      <c r="K21" s="96"/>
      <c r="L21" s="96"/>
      <c r="M21" s="96"/>
      <c r="Y21" s="163"/>
      <c r="Z21" s="163"/>
      <c r="AA21" s="163" t="s">
        <v>72</v>
      </c>
      <c r="AB21" s="163">
        <v>90</v>
      </c>
      <c r="AC21" s="163">
        <v>60</v>
      </c>
      <c r="AD21" s="163">
        <v>45</v>
      </c>
      <c r="AE21" s="163">
        <v>34</v>
      </c>
      <c r="AF21" s="163">
        <v>27</v>
      </c>
      <c r="AG21" s="163">
        <v>22</v>
      </c>
      <c r="AH21" s="163">
        <v>18</v>
      </c>
      <c r="AI21" s="163">
        <v>15</v>
      </c>
      <c r="AJ21" s="163">
        <v>12</v>
      </c>
      <c r="AK21" s="163">
        <v>9</v>
      </c>
    </row>
    <row r="22" spans="1:37" x14ac:dyDescent="0.25">
      <c r="A22" s="96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Y22" s="163"/>
      <c r="Z22" s="163"/>
      <c r="AA22" s="163" t="s">
        <v>73</v>
      </c>
      <c r="AB22" s="163">
        <v>60</v>
      </c>
      <c r="AC22" s="163">
        <v>40</v>
      </c>
      <c r="AD22" s="163">
        <v>30</v>
      </c>
      <c r="AE22" s="163">
        <v>20</v>
      </c>
      <c r="AF22" s="163">
        <v>18</v>
      </c>
      <c r="AG22" s="163">
        <v>15</v>
      </c>
      <c r="AH22" s="163">
        <v>12</v>
      </c>
      <c r="AI22" s="163">
        <v>10</v>
      </c>
      <c r="AJ22" s="163">
        <v>8</v>
      </c>
      <c r="AK22" s="163">
        <v>6</v>
      </c>
    </row>
    <row r="23" spans="1:37" x14ac:dyDescent="0.25">
      <c r="A23" s="96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Y23" s="163"/>
      <c r="Z23" s="163"/>
      <c r="AA23" s="163" t="s">
        <v>74</v>
      </c>
      <c r="AB23" s="163">
        <v>40</v>
      </c>
      <c r="AC23" s="163">
        <v>25</v>
      </c>
      <c r="AD23" s="163">
        <v>18</v>
      </c>
      <c r="AE23" s="163">
        <v>13</v>
      </c>
      <c r="AF23" s="163">
        <v>8</v>
      </c>
      <c r="AG23" s="163">
        <v>7</v>
      </c>
      <c r="AH23" s="163">
        <v>6</v>
      </c>
      <c r="AI23" s="163">
        <v>5</v>
      </c>
      <c r="AJ23" s="163">
        <v>4</v>
      </c>
      <c r="AK23" s="163">
        <v>3</v>
      </c>
    </row>
    <row r="24" spans="1:37" x14ac:dyDescent="0.25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Y24" s="163"/>
      <c r="Z24" s="163"/>
      <c r="AA24" s="163" t="s">
        <v>75</v>
      </c>
      <c r="AB24" s="163">
        <v>25</v>
      </c>
      <c r="AC24" s="163">
        <v>15</v>
      </c>
      <c r="AD24" s="163">
        <v>13</v>
      </c>
      <c r="AE24" s="163">
        <v>7</v>
      </c>
      <c r="AF24" s="163">
        <v>6</v>
      </c>
      <c r="AG24" s="163">
        <v>5</v>
      </c>
      <c r="AH24" s="163">
        <v>4</v>
      </c>
      <c r="AI24" s="163">
        <v>3</v>
      </c>
      <c r="AJ24" s="163">
        <v>2</v>
      </c>
      <c r="AK24" s="163">
        <v>1</v>
      </c>
    </row>
    <row r="25" spans="1:37" x14ac:dyDescent="0.25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Y25" s="163"/>
      <c r="Z25" s="163"/>
      <c r="AA25" s="163" t="s">
        <v>80</v>
      </c>
      <c r="AB25" s="163">
        <v>15</v>
      </c>
      <c r="AC25" s="163">
        <v>10</v>
      </c>
      <c r="AD25" s="163">
        <v>8</v>
      </c>
      <c r="AE25" s="163">
        <v>4</v>
      </c>
      <c r="AF25" s="163">
        <v>3</v>
      </c>
      <c r="AG25" s="163">
        <v>2</v>
      </c>
      <c r="AH25" s="163">
        <v>1</v>
      </c>
      <c r="AI25" s="163">
        <v>0</v>
      </c>
      <c r="AJ25" s="163">
        <v>0</v>
      </c>
      <c r="AK25" s="163">
        <v>0</v>
      </c>
    </row>
    <row r="26" spans="1:37" x14ac:dyDescent="0.25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Y26" s="163"/>
      <c r="Z26" s="163"/>
      <c r="AA26" s="163" t="s">
        <v>76</v>
      </c>
      <c r="AB26" s="163">
        <v>10</v>
      </c>
      <c r="AC26" s="163">
        <v>6</v>
      </c>
      <c r="AD26" s="163">
        <v>4</v>
      </c>
      <c r="AE26" s="163">
        <v>2</v>
      </c>
      <c r="AF26" s="163">
        <v>1</v>
      </c>
      <c r="AG26" s="163">
        <v>0</v>
      </c>
      <c r="AH26" s="163">
        <v>0</v>
      </c>
      <c r="AI26" s="163">
        <v>0</v>
      </c>
      <c r="AJ26" s="163">
        <v>0</v>
      </c>
      <c r="AK26" s="163">
        <v>0</v>
      </c>
    </row>
    <row r="27" spans="1:37" x14ac:dyDescent="0.25">
      <c r="A27" s="96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Y27" s="163"/>
      <c r="Z27" s="163"/>
      <c r="AA27" s="163" t="s">
        <v>77</v>
      </c>
      <c r="AB27" s="163">
        <v>3</v>
      </c>
      <c r="AC27" s="163">
        <v>2</v>
      </c>
      <c r="AD27" s="163">
        <v>1</v>
      </c>
      <c r="AE27" s="163">
        <v>0</v>
      </c>
      <c r="AF27" s="163">
        <v>0</v>
      </c>
      <c r="AG27" s="163">
        <v>0</v>
      </c>
      <c r="AH27" s="163">
        <v>0</v>
      </c>
      <c r="AI27" s="163">
        <v>0</v>
      </c>
      <c r="AJ27" s="163">
        <v>0</v>
      </c>
      <c r="AK27" s="163">
        <v>0</v>
      </c>
    </row>
    <row r="28" spans="1:37" x14ac:dyDescent="0.25">
      <c r="A28" s="96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</row>
    <row r="29" spans="1:37" x14ac:dyDescent="0.25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</row>
    <row r="30" spans="1:37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37" x14ac:dyDescent="0.25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</row>
    <row r="32" spans="1:37" x14ac:dyDescent="0.25">
      <c r="A32" s="96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5"/>
      <c r="M32" s="95"/>
    </row>
    <row r="33" spans="1:18" x14ac:dyDescent="0.25">
      <c r="A33" s="45" t="s">
        <v>22</v>
      </c>
      <c r="B33" s="46"/>
      <c r="C33" s="75"/>
      <c r="D33" s="122" t="s">
        <v>0</v>
      </c>
      <c r="E33" s="123" t="s">
        <v>24</v>
      </c>
      <c r="F33" s="137"/>
      <c r="G33" s="122" t="s">
        <v>0</v>
      </c>
      <c r="H33" s="123" t="s">
        <v>31</v>
      </c>
      <c r="I33" s="56"/>
      <c r="J33" s="123" t="s">
        <v>32</v>
      </c>
      <c r="K33" s="55" t="s">
        <v>33</v>
      </c>
      <c r="L33" s="29"/>
      <c r="M33" s="181"/>
      <c r="N33" s="180"/>
      <c r="P33" s="118"/>
      <c r="Q33" s="118"/>
      <c r="R33" s="119"/>
    </row>
    <row r="34" spans="1:18" x14ac:dyDescent="0.25">
      <c r="A34" s="100" t="s">
        <v>23</v>
      </c>
      <c r="B34" s="101"/>
      <c r="C34" s="102"/>
      <c r="D34" s="124"/>
      <c r="E34" s="415"/>
      <c r="F34" s="415"/>
      <c r="G34" s="131" t="s">
        <v>1</v>
      </c>
      <c r="H34" s="101"/>
      <c r="I34" s="125"/>
      <c r="J34" s="132"/>
      <c r="K34" s="98" t="s">
        <v>25</v>
      </c>
      <c r="L34" s="138"/>
      <c r="M34" s="128"/>
      <c r="P34" s="120"/>
      <c r="Q34" s="120"/>
      <c r="R34" s="48"/>
    </row>
    <row r="35" spans="1:18" x14ac:dyDescent="0.25">
      <c r="A35" s="103" t="s">
        <v>30</v>
      </c>
      <c r="B35" s="54"/>
      <c r="C35" s="104"/>
      <c r="D35" s="127"/>
      <c r="E35" s="410"/>
      <c r="F35" s="410"/>
      <c r="G35" s="133" t="s">
        <v>2</v>
      </c>
      <c r="H35" s="36"/>
      <c r="I35" s="97"/>
      <c r="J35" s="37"/>
      <c r="K35" s="135"/>
      <c r="L35" s="95"/>
      <c r="M35" s="130"/>
      <c r="P35" s="48"/>
      <c r="Q35" s="47"/>
      <c r="R35" s="48"/>
    </row>
    <row r="36" spans="1:18" x14ac:dyDescent="0.25">
      <c r="A36" s="67"/>
      <c r="B36" s="68"/>
      <c r="C36" s="69"/>
      <c r="D36" s="127"/>
      <c r="E36" s="38"/>
      <c r="F36" s="96"/>
      <c r="G36" s="133" t="s">
        <v>3</v>
      </c>
      <c r="H36" s="36"/>
      <c r="I36" s="97"/>
      <c r="J36" s="37"/>
      <c r="K36" s="98" t="s">
        <v>26</v>
      </c>
      <c r="L36" s="138"/>
      <c r="M36" s="126"/>
      <c r="P36" s="120"/>
      <c r="Q36" s="120"/>
      <c r="R36" s="48"/>
    </row>
    <row r="37" spans="1:18" x14ac:dyDescent="0.25">
      <c r="A37" s="49"/>
      <c r="B37" s="44"/>
      <c r="C37" s="50"/>
      <c r="D37" s="127"/>
      <c r="E37" s="38"/>
      <c r="F37" s="96"/>
      <c r="G37" s="133" t="s">
        <v>4</v>
      </c>
      <c r="H37" s="36"/>
      <c r="I37" s="97"/>
      <c r="J37" s="37"/>
      <c r="K37" s="136"/>
      <c r="L37" s="96"/>
      <c r="M37" s="128"/>
      <c r="P37" s="48"/>
      <c r="Q37" s="47"/>
      <c r="R37" s="48"/>
    </row>
    <row r="38" spans="1:18" x14ac:dyDescent="0.25">
      <c r="A38" s="58"/>
      <c r="B38" s="70"/>
      <c r="C38" s="74"/>
      <c r="D38" s="127"/>
      <c r="E38" s="38"/>
      <c r="F38" s="96"/>
      <c r="G38" s="133" t="s">
        <v>5</v>
      </c>
      <c r="H38" s="36"/>
      <c r="I38" s="97"/>
      <c r="J38" s="37"/>
      <c r="K38" s="103"/>
      <c r="L38" s="95"/>
      <c r="M38" s="130"/>
      <c r="P38" s="48"/>
      <c r="Q38" s="47"/>
      <c r="R38" s="48"/>
    </row>
    <row r="39" spans="1:18" x14ac:dyDescent="0.25">
      <c r="A39" s="59"/>
      <c r="B39" s="20"/>
      <c r="C39" s="50"/>
      <c r="D39" s="127"/>
      <c r="E39" s="38"/>
      <c r="F39" s="96"/>
      <c r="G39" s="133" t="s">
        <v>6</v>
      </c>
      <c r="H39" s="36"/>
      <c r="I39" s="97"/>
      <c r="J39" s="37"/>
      <c r="K39" s="98" t="s">
        <v>21</v>
      </c>
      <c r="L39" s="138"/>
      <c r="M39" s="126"/>
      <c r="P39" s="120"/>
      <c r="Q39" s="120"/>
      <c r="R39" s="48"/>
    </row>
    <row r="40" spans="1:18" x14ac:dyDescent="0.25">
      <c r="A40" s="59"/>
      <c r="B40" s="20"/>
      <c r="C40" s="65"/>
      <c r="D40" s="127"/>
      <c r="E40" s="38"/>
      <c r="F40" s="96"/>
      <c r="G40" s="133" t="s">
        <v>7</v>
      </c>
      <c r="H40" s="36"/>
      <c r="I40" s="97"/>
      <c r="J40" s="37"/>
      <c r="K40" s="136"/>
      <c r="L40" s="96"/>
      <c r="M40" s="128"/>
      <c r="P40" s="48"/>
      <c r="Q40" s="47"/>
      <c r="R40" s="48"/>
    </row>
    <row r="41" spans="1:18" x14ac:dyDescent="0.25">
      <c r="A41" s="60"/>
      <c r="B41" s="57"/>
      <c r="C41" s="66"/>
      <c r="D41" s="129"/>
      <c r="E41" s="51"/>
      <c r="F41" s="95"/>
      <c r="G41" s="134" t="s">
        <v>8</v>
      </c>
      <c r="H41" s="54"/>
      <c r="I41" s="99"/>
      <c r="J41" s="52"/>
      <c r="K41" s="103">
        <f>L4</f>
        <v>0</v>
      </c>
      <c r="L41" s="95"/>
      <c r="M41" s="130"/>
      <c r="P41" s="48"/>
      <c r="Q41" s="47"/>
      <c r="R41" s="121"/>
    </row>
  </sheetData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43" priority="2" stopIfTrue="1" operator="equal">
      <formula>"Bye"</formula>
    </cfRule>
  </conditionalFormatting>
  <conditionalFormatting sqref="R41">
    <cfRule type="expression" dxfId="42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Munka26">
    <tabColor indexed="11"/>
  </sheetPr>
  <dimension ref="A1:AK47"/>
  <sheetViews>
    <sheetView workbookViewId="0">
      <selection activeCell="R22" sqref="R22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 x14ac:dyDescent="0.25">
      <c r="A1" s="414" t="str">
        <f>Altalanos!$A$6</f>
        <v>Tenisz Diákolimpia B-A-Z. Vármegyei Döntő</v>
      </c>
      <c r="B1" s="414"/>
      <c r="C1" s="414"/>
      <c r="D1" s="414"/>
      <c r="E1" s="414"/>
      <c r="F1" s="414"/>
      <c r="G1" s="79"/>
      <c r="H1" s="82" t="s">
        <v>29</v>
      </c>
      <c r="I1" s="80"/>
      <c r="J1" s="81"/>
      <c r="L1" s="83"/>
      <c r="M1" s="84"/>
      <c r="N1" s="41"/>
      <c r="O1" s="41" t="s">
        <v>9</v>
      </c>
      <c r="P1" s="41"/>
      <c r="Q1" s="40"/>
      <c r="R1" s="41"/>
      <c r="AB1" s="169" t="str">
        <f>IF(Y5=1,CONCATENATE(VLOOKUP(Y3,AA16:AH27,2)),CONCATENATE(VLOOKUP(Y3,AA2:AK13,2)))</f>
        <v>150</v>
      </c>
      <c r="AC1" s="169" t="str">
        <f>IF(Y5=1,CONCATENATE(VLOOKUP(Y3,AA16:AK27,3)),CONCATENATE(VLOOKUP(Y3,AA2:AK13,3)))</f>
        <v>120</v>
      </c>
      <c r="AD1" s="169" t="str">
        <f>IF(Y5=1,CONCATENATE(VLOOKUP(Y3,AA16:AK27,4)),CONCATENATE(VLOOKUP(Y3,AA2:AK13,4)))</f>
        <v>100</v>
      </c>
      <c r="AE1" s="169" t="str">
        <f>IF(Y5=1,CONCATENATE(VLOOKUP(Y3,AA16:AK27,5)),CONCATENATE(VLOOKUP(Y3,AA2:AK13,5)))</f>
        <v>80</v>
      </c>
      <c r="AF1" s="169" t="str">
        <f>IF(Y5=1,CONCATENATE(VLOOKUP(Y3,AA16:AK27,6)),CONCATENATE(VLOOKUP(Y3,AA2:AK13,6)))</f>
        <v>70</v>
      </c>
      <c r="AG1" s="169" t="str">
        <f>IF(Y5=1,CONCATENATE(VLOOKUP(Y3,AA16:AK27,7)),CONCATENATE(VLOOKUP(Y3,AA2:AK13,7)))</f>
        <v>60</v>
      </c>
      <c r="AH1" s="169" t="str">
        <f>IF(Y5=1,CONCATENATE(VLOOKUP(Y3,AA16:AK27,8)),CONCATENATE(VLOOKUP(Y3,AA2:AK13,8)))</f>
        <v>55</v>
      </c>
      <c r="AI1" s="169" t="str">
        <f>IF(Y5=1,CONCATENATE(VLOOKUP(Y3,AA16:AK27,9)),CONCATENATE(VLOOKUP(Y3,AA2:AK13,9)))</f>
        <v>50</v>
      </c>
      <c r="AJ1" s="169" t="str">
        <f>IF(Y5=1,CONCATENATE(VLOOKUP(Y3,AA16:AK27,10)),CONCATENATE(VLOOKUP(Y3,AA2:AK13,10)))</f>
        <v>45</v>
      </c>
      <c r="AK1" s="169" t="str">
        <f>IF(Y5=1,CONCATENATE(VLOOKUP(Y3,AA16:AK27,11)),CONCATENATE(VLOOKUP(Y3,AA2:AK13,11)))</f>
        <v>40</v>
      </c>
    </row>
    <row r="2" spans="1:37" x14ac:dyDescent="0.25">
      <c r="A2" s="85" t="s">
        <v>28</v>
      </c>
      <c r="B2" s="86"/>
      <c r="C2" s="86"/>
      <c r="D2" s="86"/>
      <c r="E2" s="185" t="str">
        <f>Altalanos!$C$8</f>
        <v>IV.-V.</v>
      </c>
      <c r="F2" s="86"/>
      <c r="G2" s="87"/>
      <c r="H2" s="88"/>
      <c r="I2" s="88"/>
      <c r="J2" s="89"/>
      <c r="K2" s="83"/>
      <c r="L2" s="83"/>
      <c r="M2" s="83"/>
      <c r="N2" s="42"/>
      <c r="O2" s="39"/>
      <c r="P2" s="42"/>
      <c r="Q2" s="39"/>
      <c r="R2" s="42"/>
      <c r="Y2" s="164"/>
      <c r="Z2" s="163"/>
      <c r="AA2" s="163" t="s">
        <v>38</v>
      </c>
      <c r="AB2" s="154">
        <v>150</v>
      </c>
      <c r="AC2" s="154">
        <v>120</v>
      </c>
      <c r="AD2" s="154">
        <v>100</v>
      </c>
      <c r="AE2" s="154">
        <v>80</v>
      </c>
      <c r="AF2" s="154">
        <v>70</v>
      </c>
      <c r="AG2" s="154">
        <v>60</v>
      </c>
      <c r="AH2" s="154">
        <v>55</v>
      </c>
      <c r="AI2" s="154">
        <v>50</v>
      </c>
      <c r="AJ2" s="154">
        <v>45</v>
      </c>
      <c r="AK2" s="154">
        <v>40</v>
      </c>
    </row>
    <row r="3" spans="1:37" x14ac:dyDescent="0.25">
      <c r="A3" s="34" t="s">
        <v>16</v>
      </c>
      <c r="B3" s="34"/>
      <c r="C3" s="34"/>
      <c r="D3" s="34"/>
      <c r="E3" s="34" t="s">
        <v>14</v>
      </c>
      <c r="F3" s="34"/>
      <c r="G3" s="34"/>
      <c r="H3" s="34" t="s">
        <v>18</v>
      </c>
      <c r="I3" s="34"/>
      <c r="J3" s="43"/>
      <c r="K3" s="34"/>
      <c r="L3" s="35" t="s">
        <v>19</v>
      </c>
      <c r="M3" s="34"/>
      <c r="N3" s="112"/>
      <c r="O3" s="111"/>
      <c r="P3" s="112"/>
      <c r="Y3" s="163" t="str">
        <f>IF(H4="OB","A",IF(H4="IX","W",H4))</f>
        <v>B</v>
      </c>
      <c r="Z3" s="163"/>
      <c r="AA3" s="163" t="s">
        <v>68</v>
      </c>
      <c r="AB3" s="154">
        <v>120</v>
      </c>
      <c r="AC3" s="154">
        <v>90</v>
      </c>
      <c r="AD3" s="154">
        <v>65</v>
      </c>
      <c r="AE3" s="154">
        <v>55</v>
      </c>
      <c r="AF3" s="154">
        <v>50</v>
      </c>
      <c r="AG3" s="154">
        <v>45</v>
      </c>
      <c r="AH3" s="154">
        <v>40</v>
      </c>
      <c r="AI3" s="154">
        <v>35</v>
      </c>
      <c r="AJ3" s="154">
        <v>25</v>
      </c>
      <c r="AK3" s="154">
        <v>20</v>
      </c>
    </row>
    <row r="4" spans="1:37" ht="13.8" thickBot="1" x14ac:dyDescent="0.3">
      <c r="A4" s="417" t="str">
        <f>Altalanos!$A$10</f>
        <v>2024.05.02-03.</v>
      </c>
      <c r="B4" s="417"/>
      <c r="C4" s="417"/>
      <c r="D4" s="90"/>
      <c r="E4" s="91" t="str">
        <f>Altalanos!$C$10</f>
        <v>Kazincbarcika</v>
      </c>
      <c r="F4" s="91"/>
      <c r="G4" s="91"/>
      <c r="H4" s="93" t="s">
        <v>39</v>
      </c>
      <c r="I4" s="91"/>
      <c r="J4" s="92"/>
      <c r="K4" s="93"/>
      <c r="L4" s="94">
        <f>Altalanos!$E$10</f>
        <v>0</v>
      </c>
      <c r="M4" s="93"/>
      <c r="N4" s="114"/>
      <c r="O4" s="115"/>
      <c r="P4" s="114"/>
      <c r="Y4" s="163"/>
      <c r="Z4" s="163"/>
      <c r="AA4" s="163" t="s">
        <v>69</v>
      </c>
      <c r="AB4" s="154">
        <v>90</v>
      </c>
      <c r="AC4" s="154">
        <v>60</v>
      </c>
      <c r="AD4" s="154">
        <v>45</v>
      </c>
      <c r="AE4" s="154">
        <v>34</v>
      </c>
      <c r="AF4" s="154">
        <v>27</v>
      </c>
      <c r="AG4" s="154">
        <v>22</v>
      </c>
      <c r="AH4" s="154">
        <v>18</v>
      </c>
      <c r="AI4" s="154">
        <v>15</v>
      </c>
      <c r="AJ4" s="154">
        <v>12</v>
      </c>
      <c r="AK4" s="154">
        <v>9</v>
      </c>
    </row>
    <row r="5" spans="1:37" x14ac:dyDescent="0.25">
      <c r="A5" s="29"/>
      <c r="B5" s="29" t="s">
        <v>27</v>
      </c>
      <c r="C5" s="107" t="s">
        <v>36</v>
      </c>
      <c r="D5" s="29" t="s">
        <v>22</v>
      </c>
      <c r="E5" s="29" t="s">
        <v>41</v>
      </c>
      <c r="F5" s="29"/>
      <c r="G5" s="29" t="s">
        <v>17</v>
      </c>
      <c r="H5" s="29"/>
      <c r="I5" s="29" t="s">
        <v>20</v>
      </c>
      <c r="J5" s="29"/>
      <c r="K5" s="140" t="s">
        <v>42</v>
      </c>
      <c r="L5" s="140" t="s">
        <v>43</v>
      </c>
      <c r="M5" s="140" t="s">
        <v>44</v>
      </c>
      <c r="O5" s="153" t="s">
        <v>52</v>
      </c>
      <c r="P5" s="154" t="s">
        <v>58</v>
      </c>
      <c r="R5" s="153" t="s">
        <v>52</v>
      </c>
      <c r="S5" s="182" t="s">
        <v>89</v>
      </c>
      <c r="Y5" s="163">
        <f>IF(OR(Altalanos!$A$8="F1",Altalanos!$A$8="F2",Altalanos!$A$8="N1",Altalanos!$A$8="N2"),1,2)</f>
        <v>2</v>
      </c>
      <c r="Z5" s="163"/>
      <c r="AA5" s="163" t="s">
        <v>70</v>
      </c>
      <c r="AB5" s="154">
        <v>60</v>
      </c>
      <c r="AC5" s="154">
        <v>40</v>
      </c>
      <c r="AD5" s="154">
        <v>30</v>
      </c>
      <c r="AE5" s="154">
        <v>20</v>
      </c>
      <c r="AF5" s="154">
        <v>18</v>
      </c>
      <c r="AG5" s="154">
        <v>15</v>
      </c>
      <c r="AH5" s="154">
        <v>12</v>
      </c>
      <c r="AI5" s="154">
        <v>10</v>
      </c>
      <c r="AJ5" s="154">
        <v>8</v>
      </c>
      <c r="AK5" s="154">
        <v>6</v>
      </c>
    </row>
    <row r="6" spans="1:37" x14ac:dyDescent="0.25">
      <c r="A6" s="96"/>
      <c r="B6" s="96"/>
      <c r="C6" s="139"/>
      <c r="D6" s="96"/>
      <c r="E6" s="96"/>
      <c r="F6" s="96"/>
      <c r="G6" s="96"/>
      <c r="H6" s="96"/>
      <c r="I6" s="96"/>
      <c r="J6" s="96"/>
      <c r="K6" s="96"/>
      <c r="L6" s="96"/>
      <c r="M6" s="96"/>
      <c r="O6" s="155" t="s">
        <v>59</v>
      </c>
      <c r="P6" s="156" t="s">
        <v>54</v>
      </c>
      <c r="R6" s="155" t="s">
        <v>59</v>
      </c>
      <c r="S6" s="183" t="s">
        <v>90</v>
      </c>
      <c r="Y6" s="163"/>
      <c r="Z6" s="163"/>
      <c r="AA6" s="163" t="s">
        <v>71</v>
      </c>
      <c r="AB6" s="154">
        <v>40</v>
      </c>
      <c r="AC6" s="154">
        <v>25</v>
      </c>
      <c r="AD6" s="154">
        <v>18</v>
      </c>
      <c r="AE6" s="154">
        <v>13</v>
      </c>
      <c r="AF6" s="154">
        <v>10</v>
      </c>
      <c r="AG6" s="154">
        <v>8</v>
      </c>
      <c r="AH6" s="154">
        <v>6</v>
      </c>
      <c r="AI6" s="154">
        <v>5</v>
      </c>
      <c r="AJ6" s="154">
        <v>4</v>
      </c>
      <c r="AK6" s="154">
        <v>3</v>
      </c>
    </row>
    <row r="7" spans="1:37" x14ac:dyDescent="0.25">
      <c r="A7" s="147" t="s">
        <v>38</v>
      </c>
      <c r="B7" s="159"/>
      <c r="C7" s="109" t="str">
        <f>IF($B7="","",VLOOKUP($B7,#REF!,5))</f>
        <v/>
      </c>
      <c r="D7" s="109" t="str">
        <f>IF($B7="","",VLOOKUP($B7,#REF!,15))</f>
        <v/>
      </c>
      <c r="E7" s="106" t="s">
        <v>363</v>
      </c>
      <c r="F7" s="108"/>
      <c r="G7" s="106" t="s">
        <v>364</v>
      </c>
      <c r="H7" s="108"/>
      <c r="I7" s="106" t="str">
        <f>IF($B7="","",VLOOKUP($B7,#REF!,4))</f>
        <v/>
      </c>
      <c r="J7" s="96"/>
      <c r="K7" s="170"/>
      <c r="L7" s="165" t="str">
        <f>IF(K7="","",CONCATENATE(VLOOKUP($Y$3,$AB$1:$AK$1,K7)," pont"))</f>
        <v/>
      </c>
      <c r="M7" s="171"/>
      <c r="O7" s="157" t="s">
        <v>60</v>
      </c>
      <c r="P7" s="158" t="s">
        <v>56</v>
      </c>
      <c r="R7" s="157" t="s">
        <v>60</v>
      </c>
      <c r="S7" s="184" t="s">
        <v>64</v>
      </c>
      <c r="Y7" s="163"/>
      <c r="Z7" s="163"/>
      <c r="AA7" s="163" t="s">
        <v>72</v>
      </c>
      <c r="AB7" s="154">
        <v>25</v>
      </c>
      <c r="AC7" s="154">
        <v>15</v>
      </c>
      <c r="AD7" s="154">
        <v>13</v>
      </c>
      <c r="AE7" s="154">
        <v>8</v>
      </c>
      <c r="AF7" s="154">
        <v>6</v>
      </c>
      <c r="AG7" s="154">
        <v>4</v>
      </c>
      <c r="AH7" s="154">
        <v>3</v>
      </c>
      <c r="AI7" s="154">
        <v>2</v>
      </c>
      <c r="AJ7" s="154">
        <v>1</v>
      </c>
      <c r="AK7" s="154">
        <v>0</v>
      </c>
    </row>
    <row r="8" spans="1:37" x14ac:dyDescent="0.25">
      <c r="A8" s="116"/>
      <c r="B8" s="160"/>
      <c r="C8" s="117"/>
      <c r="D8" s="117"/>
      <c r="E8" s="117"/>
      <c r="F8" s="117"/>
      <c r="G8" s="117"/>
      <c r="H8" s="117"/>
      <c r="I8" s="117"/>
      <c r="J8" s="96"/>
      <c r="K8" s="116"/>
      <c r="L8" s="116"/>
      <c r="M8" s="172"/>
      <c r="Y8" s="163"/>
      <c r="Z8" s="163"/>
      <c r="AA8" s="163" t="s">
        <v>73</v>
      </c>
      <c r="AB8" s="154">
        <v>15</v>
      </c>
      <c r="AC8" s="154">
        <v>10</v>
      </c>
      <c r="AD8" s="154">
        <v>7</v>
      </c>
      <c r="AE8" s="154">
        <v>5</v>
      </c>
      <c r="AF8" s="154">
        <v>4</v>
      </c>
      <c r="AG8" s="154">
        <v>3</v>
      </c>
      <c r="AH8" s="154">
        <v>2</v>
      </c>
      <c r="AI8" s="154">
        <v>1</v>
      </c>
      <c r="AJ8" s="154">
        <v>0</v>
      </c>
      <c r="AK8" s="154">
        <v>0</v>
      </c>
    </row>
    <row r="9" spans="1:37" x14ac:dyDescent="0.25">
      <c r="A9" s="116" t="s">
        <v>39</v>
      </c>
      <c r="B9" s="161"/>
      <c r="C9" s="109" t="str">
        <f>IF($B9="","",VLOOKUP($B9,#REF!,5))</f>
        <v/>
      </c>
      <c r="D9" s="109" t="str">
        <f>IF($B9="","",VLOOKUP($B9,#REF!,15))</f>
        <v/>
      </c>
      <c r="E9" s="105" t="s">
        <v>365</v>
      </c>
      <c r="F9" s="110"/>
      <c r="G9" s="105" t="s">
        <v>366</v>
      </c>
      <c r="H9" s="110"/>
      <c r="I9" s="105" t="str">
        <f>IF($B9="","",VLOOKUP($B9,#REF!,4))</f>
        <v/>
      </c>
      <c r="J9" s="96"/>
      <c r="K9" s="170"/>
      <c r="L9" s="165" t="str">
        <f>IF(K9="","",CONCATENATE(VLOOKUP($Y$3,$AB$1:$AK$1,K9)," pont"))</f>
        <v/>
      </c>
      <c r="M9" s="171"/>
      <c r="Y9" s="163"/>
      <c r="Z9" s="163"/>
      <c r="AA9" s="163" t="s">
        <v>74</v>
      </c>
      <c r="AB9" s="154">
        <v>10</v>
      </c>
      <c r="AC9" s="154">
        <v>6</v>
      </c>
      <c r="AD9" s="154">
        <v>4</v>
      </c>
      <c r="AE9" s="154">
        <v>2</v>
      </c>
      <c r="AF9" s="154">
        <v>1</v>
      </c>
      <c r="AG9" s="154">
        <v>0</v>
      </c>
      <c r="AH9" s="154">
        <v>0</v>
      </c>
      <c r="AI9" s="154">
        <v>0</v>
      </c>
      <c r="AJ9" s="154">
        <v>0</v>
      </c>
      <c r="AK9" s="154">
        <v>0</v>
      </c>
    </row>
    <row r="10" spans="1:37" x14ac:dyDescent="0.25">
      <c r="A10" s="116"/>
      <c r="B10" s="160"/>
      <c r="C10" s="117"/>
      <c r="D10" s="117"/>
      <c r="E10" s="117"/>
      <c r="F10" s="117"/>
      <c r="G10" s="117"/>
      <c r="H10" s="117"/>
      <c r="I10" s="117"/>
      <c r="J10" s="96"/>
      <c r="K10" s="116"/>
      <c r="L10" s="116"/>
      <c r="M10" s="172"/>
      <c r="Y10" s="163"/>
      <c r="Z10" s="163"/>
      <c r="AA10" s="163" t="s">
        <v>75</v>
      </c>
      <c r="AB10" s="154">
        <v>6</v>
      </c>
      <c r="AC10" s="154">
        <v>3</v>
      </c>
      <c r="AD10" s="154">
        <v>2</v>
      </c>
      <c r="AE10" s="154">
        <v>1</v>
      </c>
      <c r="AF10" s="154">
        <v>0</v>
      </c>
      <c r="AG10" s="154">
        <v>0</v>
      </c>
      <c r="AH10" s="154">
        <v>0</v>
      </c>
      <c r="AI10" s="154">
        <v>0</v>
      </c>
      <c r="AJ10" s="154">
        <v>0</v>
      </c>
      <c r="AK10" s="154">
        <v>0</v>
      </c>
    </row>
    <row r="11" spans="1:37" x14ac:dyDescent="0.25">
      <c r="A11" s="116" t="s">
        <v>40</v>
      </c>
      <c r="B11" s="161"/>
      <c r="C11" s="109" t="str">
        <f>IF($B11="","",VLOOKUP($B11,#REF!,5))</f>
        <v/>
      </c>
      <c r="D11" s="109" t="str">
        <f>IF($B11="","",VLOOKUP($B11,#REF!,15))</f>
        <v/>
      </c>
      <c r="E11" s="105" t="s">
        <v>367</v>
      </c>
      <c r="F11" s="110"/>
      <c r="G11" s="105" t="s">
        <v>273</v>
      </c>
      <c r="H11" s="110"/>
      <c r="I11" s="105" t="str">
        <f>IF($B11="","",VLOOKUP($B11,#REF!,4))</f>
        <v/>
      </c>
      <c r="J11" s="96"/>
      <c r="K11" s="170"/>
      <c r="L11" s="165" t="str">
        <f>IF(K11="","",CONCATENATE(VLOOKUP($Y$3,$AB$1:$AK$1,K11)," pont"))</f>
        <v/>
      </c>
      <c r="M11" s="171"/>
      <c r="Y11" s="163"/>
      <c r="Z11" s="163"/>
      <c r="AA11" s="163" t="s">
        <v>80</v>
      </c>
      <c r="AB11" s="154">
        <v>3</v>
      </c>
      <c r="AC11" s="154">
        <v>2</v>
      </c>
      <c r="AD11" s="154">
        <v>1</v>
      </c>
      <c r="AE11" s="154">
        <v>0</v>
      </c>
      <c r="AF11" s="154">
        <v>0</v>
      </c>
      <c r="AG11" s="154">
        <v>0</v>
      </c>
      <c r="AH11" s="154">
        <v>0</v>
      </c>
      <c r="AI11" s="154">
        <v>0</v>
      </c>
      <c r="AJ11" s="154">
        <v>0</v>
      </c>
      <c r="AK11" s="154">
        <v>0</v>
      </c>
    </row>
    <row r="12" spans="1:37" x14ac:dyDescent="0.25">
      <c r="A12" s="96"/>
      <c r="B12" s="147"/>
      <c r="C12" s="139"/>
      <c r="D12" s="96"/>
      <c r="E12" s="96"/>
      <c r="F12" s="96"/>
      <c r="G12" s="96"/>
      <c r="H12" s="96"/>
      <c r="I12" s="96"/>
      <c r="J12" s="96"/>
      <c r="K12" s="139"/>
      <c r="L12" s="139"/>
      <c r="M12" s="172"/>
      <c r="Y12" s="163"/>
      <c r="Z12" s="163"/>
      <c r="AA12" s="163" t="s">
        <v>76</v>
      </c>
      <c r="AB12" s="168">
        <v>0</v>
      </c>
      <c r="AC12" s="168">
        <v>0</v>
      </c>
      <c r="AD12" s="168">
        <v>0</v>
      </c>
      <c r="AE12" s="168">
        <v>0</v>
      </c>
      <c r="AF12" s="168">
        <v>0</v>
      </c>
      <c r="AG12" s="168">
        <v>0</v>
      </c>
      <c r="AH12" s="168">
        <v>0</v>
      </c>
      <c r="AI12" s="168">
        <v>0</v>
      </c>
      <c r="AJ12" s="168">
        <v>0</v>
      </c>
      <c r="AK12" s="168">
        <v>0</v>
      </c>
    </row>
    <row r="13" spans="1:37" x14ac:dyDescent="0.25">
      <c r="A13" s="147" t="s">
        <v>45</v>
      </c>
      <c r="B13" s="159"/>
      <c r="C13" s="109" t="str">
        <f>IF($B13="","",VLOOKUP($B13,#REF!,5))</f>
        <v/>
      </c>
      <c r="D13" s="109" t="str">
        <f>IF($B13="","",VLOOKUP($B13,#REF!,15))</f>
        <v/>
      </c>
      <c r="E13" s="106" t="s">
        <v>368</v>
      </c>
      <c r="F13" s="108"/>
      <c r="G13" s="106" t="s">
        <v>369</v>
      </c>
      <c r="H13" s="108"/>
      <c r="I13" s="106" t="str">
        <f>IF($B13="","",VLOOKUP($B13,#REF!,4))</f>
        <v/>
      </c>
      <c r="J13" s="96"/>
      <c r="K13" s="170"/>
      <c r="L13" s="165" t="str">
        <f>IF(K13="","",CONCATENATE(VLOOKUP($Y$3,$AB$1:$AK$1,K13)," pont"))</f>
        <v/>
      </c>
      <c r="M13" s="171"/>
      <c r="Y13" s="163"/>
      <c r="Z13" s="163"/>
      <c r="AA13" s="163" t="s">
        <v>77</v>
      </c>
      <c r="AB13" s="168">
        <v>0</v>
      </c>
      <c r="AC13" s="168">
        <v>0</v>
      </c>
      <c r="AD13" s="168">
        <v>0</v>
      </c>
      <c r="AE13" s="168">
        <v>0</v>
      </c>
      <c r="AF13" s="168">
        <v>0</v>
      </c>
      <c r="AG13" s="168">
        <v>0</v>
      </c>
      <c r="AH13" s="168">
        <v>0</v>
      </c>
      <c r="AI13" s="168">
        <v>0</v>
      </c>
      <c r="AJ13" s="168">
        <v>0</v>
      </c>
      <c r="AK13" s="168">
        <v>0</v>
      </c>
    </row>
    <row r="14" spans="1:37" x14ac:dyDescent="0.25">
      <c r="A14" s="116"/>
      <c r="B14" s="160"/>
      <c r="C14" s="117"/>
      <c r="D14" s="117"/>
      <c r="E14" s="117"/>
      <c r="F14" s="117"/>
      <c r="G14" s="117"/>
      <c r="H14" s="117"/>
      <c r="I14" s="117"/>
      <c r="J14" s="96"/>
      <c r="K14" s="116"/>
      <c r="L14" s="116"/>
      <c r="M14" s="172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</row>
    <row r="15" spans="1:37" x14ac:dyDescent="0.25">
      <c r="A15" s="116" t="s">
        <v>46</v>
      </c>
      <c r="B15" s="161"/>
      <c r="C15" s="109" t="str">
        <f>IF($B15="","",VLOOKUP($B15,#REF!,5))</f>
        <v/>
      </c>
      <c r="D15" s="109" t="str">
        <f>IF($B15="","",VLOOKUP($B15,#REF!,15))</f>
        <v/>
      </c>
      <c r="E15" s="105" t="s">
        <v>370</v>
      </c>
      <c r="F15" s="110"/>
      <c r="G15" s="105" t="s">
        <v>371</v>
      </c>
      <c r="H15" s="110"/>
      <c r="I15" s="105" t="str">
        <f>IF($B15="","",VLOOKUP($B15,#REF!,4))</f>
        <v/>
      </c>
      <c r="J15" s="96"/>
      <c r="K15" s="170"/>
      <c r="L15" s="165" t="str">
        <f>IF(K15="","",CONCATENATE(VLOOKUP($Y$3,$AB$1:$AK$1,K15)," pont"))</f>
        <v/>
      </c>
      <c r="M15" s="171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</row>
    <row r="16" spans="1:37" x14ac:dyDescent="0.25">
      <c r="A16" s="116"/>
      <c r="B16" s="160"/>
      <c r="C16" s="117"/>
      <c r="D16" s="117"/>
      <c r="E16" s="117"/>
      <c r="F16" s="117"/>
      <c r="G16" s="117"/>
      <c r="H16" s="117"/>
      <c r="I16" s="117"/>
      <c r="J16" s="96"/>
      <c r="K16" s="116"/>
      <c r="L16" s="116"/>
      <c r="M16" s="172"/>
      <c r="Y16" s="163"/>
      <c r="Z16" s="163"/>
      <c r="AA16" s="163" t="s">
        <v>38</v>
      </c>
      <c r="AB16" s="163">
        <v>300</v>
      </c>
      <c r="AC16" s="163">
        <v>250</v>
      </c>
      <c r="AD16" s="163">
        <v>220</v>
      </c>
      <c r="AE16" s="163">
        <v>180</v>
      </c>
      <c r="AF16" s="163">
        <v>160</v>
      </c>
      <c r="AG16" s="163">
        <v>150</v>
      </c>
      <c r="AH16" s="163">
        <v>140</v>
      </c>
      <c r="AI16" s="163">
        <v>130</v>
      </c>
      <c r="AJ16" s="163">
        <v>120</v>
      </c>
      <c r="AK16" s="163">
        <v>110</v>
      </c>
    </row>
    <row r="17" spans="1:37" x14ac:dyDescent="0.25">
      <c r="A17" s="116" t="s">
        <v>47</v>
      </c>
      <c r="B17" s="161"/>
      <c r="C17" s="109" t="str">
        <f>IF($B17="","",VLOOKUP($B17,#REF!,5))</f>
        <v/>
      </c>
      <c r="D17" s="109" t="str">
        <f>IF($B17="","",VLOOKUP($B17,#REF!,15))</f>
        <v/>
      </c>
      <c r="E17" s="105" t="s">
        <v>372</v>
      </c>
      <c r="F17" s="110"/>
      <c r="G17" s="105" t="s">
        <v>373</v>
      </c>
      <c r="H17" s="110"/>
      <c r="I17" s="105" t="str">
        <f>IF($B17="","",VLOOKUP($B17,#REF!,4))</f>
        <v/>
      </c>
      <c r="J17" s="96"/>
      <c r="K17" s="170"/>
      <c r="L17" s="165" t="str">
        <f>IF(K17="","",CONCATENATE(VLOOKUP($Y$3,$AB$1:$AK$1,K17)," pont"))</f>
        <v/>
      </c>
      <c r="M17" s="171"/>
      <c r="Y17" s="163"/>
      <c r="Z17" s="163"/>
      <c r="AA17" s="163" t="s">
        <v>68</v>
      </c>
      <c r="AB17" s="163">
        <v>250</v>
      </c>
      <c r="AC17" s="163">
        <v>200</v>
      </c>
      <c r="AD17" s="163">
        <v>160</v>
      </c>
      <c r="AE17" s="163">
        <v>140</v>
      </c>
      <c r="AF17" s="163">
        <v>120</v>
      </c>
      <c r="AG17" s="163">
        <v>110</v>
      </c>
      <c r="AH17" s="163">
        <v>100</v>
      </c>
      <c r="AI17" s="163">
        <v>90</v>
      </c>
      <c r="AJ17" s="163">
        <v>80</v>
      </c>
      <c r="AK17" s="163">
        <v>70</v>
      </c>
    </row>
    <row r="18" spans="1:37" x14ac:dyDescent="0.25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Y18" s="163"/>
      <c r="Z18" s="163"/>
      <c r="AA18" s="163" t="s">
        <v>69</v>
      </c>
      <c r="AB18" s="163">
        <v>200</v>
      </c>
      <c r="AC18" s="163">
        <v>150</v>
      </c>
      <c r="AD18" s="163">
        <v>130</v>
      </c>
      <c r="AE18" s="163">
        <v>110</v>
      </c>
      <c r="AF18" s="163">
        <v>95</v>
      </c>
      <c r="AG18" s="163">
        <v>80</v>
      </c>
      <c r="AH18" s="163">
        <v>70</v>
      </c>
      <c r="AI18" s="163">
        <v>60</v>
      </c>
      <c r="AJ18" s="163">
        <v>55</v>
      </c>
      <c r="AK18" s="163">
        <v>50</v>
      </c>
    </row>
    <row r="19" spans="1:37" x14ac:dyDescent="0.25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Y19" s="163"/>
      <c r="Z19" s="163"/>
      <c r="AA19" s="163" t="s">
        <v>70</v>
      </c>
      <c r="AB19" s="163">
        <v>150</v>
      </c>
      <c r="AC19" s="163">
        <v>120</v>
      </c>
      <c r="AD19" s="163">
        <v>100</v>
      </c>
      <c r="AE19" s="163">
        <v>80</v>
      </c>
      <c r="AF19" s="163">
        <v>70</v>
      </c>
      <c r="AG19" s="163">
        <v>60</v>
      </c>
      <c r="AH19" s="163">
        <v>55</v>
      </c>
      <c r="AI19" s="163">
        <v>50</v>
      </c>
      <c r="AJ19" s="163">
        <v>45</v>
      </c>
      <c r="AK19" s="163">
        <v>40</v>
      </c>
    </row>
    <row r="20" spans="1:37" x14ac:dyDescent="0.25">
      <c r="A20" s="96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Y20" s="163"/>
      <c r="Z20" s="163"/>
      <c r="AA20" s="163" t="s">
        <v>71</v>
      </c>
      <c r="AB20" s="163">
        <v>120</v>
      </c>
      <c r="AC20" s="163">
        <v>90</v>
      </c>
      <c r="AD20" s="163">
        <v>65</v>
      </c>
      <c r="AE20" s="163">
        <v>55</v>
      </c>
      <c r="AF20" s="163">
        <v>50</v>
      </c>
      <c r="AG20" s="163">
        <v>45</v>
      </c>
      <c r="AH20" s="163">
        <v>40</v>
      </c>
      <c r="AI20" s="163">
        <v>35</v>
      </c>
      <c r="AJ20" s="163">
        <v>25</v>
      </c>
      <c r="AK20" s="163">
        <v>20</v>
      </c>
    </row>
    <row r="21" spans="1:37" x14ac:dyDescent="0.25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Y21" s="163"/>
      <c r="Z21" s="163"/>
      <c r="AA21" s="163" t="s">
        <v>72</v>
      </c>
      <c r="AB21" s="163">
        <v>90</v>
      </c>
      <c r="AC21" s="163">
        <v>60</v>
      </c>
      <c r="AD21" s="163">
        <v>45</v>
      </c>
      <c r="AE21" s="163">
        <v>34</v>
      </c>
      <c r="AF21" s="163">
        <v>27</v>
      </c>
      <c r="AG21" s="163">
        <v>22</v>
      </c>
      <c r="AH21" s="163">
        <v>18</v>
      </c>
      <c r="AI21" s="163">
        <v>15</v>
      </c>
      <c r="AJ21" s="163">
        <v>12</v>
      </c>
      <c r="AK21" s="163">
        <v>9</v>
      </c>
    </row>
    <row r="22" spans="1:37" ht="18.75" customHeight="1" x14ac:dyDescent="0.25">
      <c r="A22" s="96"/>
      <c r="B22" s="413"/>
      <c r="C22" s="413"/>
      <c r="D22" s="412" t="str">
        <f>E7</f>
        <v>Kovács-Varga</v>
      </c>
      <c r="E22" s="412"/>
      <c r="F22" s="412" t="str">
        <f>E9</f>
        <v>Porcsalmi</v>
      </c>
      <c r="G22" s="412"/>
      <c r="H22" s="412" t="str">
        <f>E11</f>
        <v>Fekete</v>
      </c>
      <c r="I22" s="412"/>
      <c r="J22" s="96"/>
      <c r="K22" s="96"/>
      <c r="L22" s="96"/>
      <c r="M22" s="148" t="s">
        <v>42</v>
      </c>
      <c r="Y22" s="163"/>
      <c r="Z22" s="163"/>
      <c r="AA22" s="163" t="s">
        <v>73</v>
      </c>
      <c r="AB22" s="163">
        <v>60</v>
      </c>
      <c r="AC22" s="163">
        <v>40</v>
      </c>
      <c r="AD22" s="163">
        <v>30</v>
      </c>
      <c r="AE22" s="163">
        <v>20</v>
      </c>
      <c r="AF22" s="163">
        <v>18</v>
      </c>
      <c r="AG22" s="163">
        <v>15</v>
      </c>
      <c r="AH22" s="163">
        <v>12</v>
      </c>
      <c r="AI22" s="163">
        <v>10</v>
      </c>
      <c r="AJ22" s="163">
        <v>8</v>
      </c>
      <c r="AK22" s="163">
        <v>6</v>
      </c>
    </row>
    <row r="23" spans="1:37" ht="18.75" customHeight="1" x14ac:dyDescent="0.25">
      <c r="A23" s="146" t="s">
        <v>38</v>
      </c>
      <c r="B23" s="416" t="str">
        <f>E7</f>
        <v>Kovács-Varga</v>
      </c>
      <c r="C23" s="416"/>
      <c r="D23" s="411"/>
      <c r="E23" s="411"/>
      <c r="F23" s="409"/>
      <c r="G23" s="409"/>
      <c r="H23" s="409"/>
      <c r="I23" s="409"/>
      <c r="J23" s="96"/>
      <c r="K23" s="96"/>
      <c r="L23" s="96"/>
      <c r="M23" s="149"/>
      <c r="Y23" s="163"/>
      <c r="Z23" s="163"/>
      <c r="AA23" s="163" t="s">
        <v>74</v>
      </c>
      <c r="AB23" s="163">
        <v>40</v>
      </c>
      <c r="AC23" s="163">
        <v>25</v>
      </c>
      <c r="AD23" s="163">
        <v>18</v>
      </c>
      <c r="AE23" s="163">
        <v>13</v>
      </c>
      <c r="AF23" s="163">
        <v>8</v>
      </c>
      <c r="AG23" s="163">
        <v>7</v>
      </c>
      <c r="AH23" s="163">
        <v>6</v>
      </c>
      <c r="AI23" s="163">
        <v>5</v>
      </c>
      <c r="AJ23" s="163">
        <v>4</v>
      </c>
      <c r="AK23" s="163">
        <v>3</v>
      </c>
    </row>
    <row r="24" spans="1:37" ht="18.75" customHeight="1" x14ac:dyDescent="0.25">
      <c r="A24" s="146" t="s">
        <v>39</v>
      </c>
      <c r="B24" s="416" t="str">
        <f>E9</f>
        <v>Porcsalmi</v>
      </c>
      <c r="C24" s="416"/>
      <c r="D24" s="409"/>
      <c r="E24" s="409"/>
      <c r="F24" s="411"/>
      <c r="G24" s="411"/>
      <c r="H24" s="409"/>
      <c r="I24" s="409"/>
      <c r="J24" s="96"/>
      <c r="K24" s="96"/>
      <c r="L24" s="96"/>
      <c r="M24" s="149"/>
      <c r="Y24" s="163"/>
      <c r="Z24" s="163"/>
      <c r="AA24" s="163" t="s">
        <v>75</v>
      </c>
      <c r="AB24" s="163">
        <v>25</v>
      </c>
      <c r="AC24" s="163">
        <v>15</v>
      </c>
      <c r="AD24" s="163">
        <v>13</v>
      </c>
      <c r="AE24" s="163">
        <v>7</v>
      </c>
      <c r="AF24" s="163">
        <v>6</v>
      </c>
      <c r="AG24" s="163">
        <v>5</v>
      </c>
      <c r="AH24" s="163">
        <v>4</v>
      </c>
      <c r="AI24" s="163">
        <v>3</v>
      </c>
      <c r="AJ24" s="163">
        <v>2</v>
      </c>
      <c r="AK24" s="163">
        <v>1</v>
      </c>
    </row>
    <row r="25" spans="1:37" ht="18.75" customHeight="1" x14ac:dyDescent="0.25">
      <c r="A25" s="146" t="s">
        <v>40</v>
      </c>
      <c r="B25" s="416" t="str">
        <f>E11</f>
        <v>Fekete</v>
      </c>
      <c r="C25" s="416"/>
      <c r="D25" s="409"/>
      <c r="E25" s="409"/>
      <c r="F25" s="409"/>
      <c r="G25" s="409"/>
      <c r="H25" s="411"/>
      <c r="I25" s="411"/>
      <c r="J25" s="96"/>
      <c r="K25" s="96"/>
      <c r="L25" s="96"/>
      <c r="M25" s="149"/>
      <c r="Y25" s="163"/>
      <c r="Z25" s="163"/>
      <c r="AA25" s="163" t="s">
        <v>80</v>
      </c>
      <c r="AB25" s="163">
        <v>15</v>
      </c>
      <c r="AC25" s="163">
        <v>10</v>
      </c>
      <c r="AD25" s="163">
        <v>8</v>
      </c>
      <c r="AE25" s="163">
        <v>4</v>
      </c>
      <c r="AF25" s="163">
        <v>3</v>
      </c>
      <c r="AG25" s="163">
        <v>2</v>
      </c>
      <c r="AH25" s="163">
        <v>1</v>
      </c>
      <c r="AI25" s="163">
        <v>0</v>
      </c>
      <c r="AJ25" s="163">
        <v>0</v>
      </c>
      <c r="AK25" s="163">
        <v>0</v>
      </c>
    </row>
    <row r="26" spans="1:37" x14ac:dyDescent="0.25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150"/>
      <c r="Y26" s="163"/>
      <c r="Z26" s="163"/>
      <c r="AA26" s="163" t="s">
        <v>76</v>
      </c>
      <c r="AB26" s="163">
        <v>10</v>
      </c>
      <c r="AC26" s="163">
        <v>6</v>
      </c>
      <c r="AD26" s="163">
        <v>4</v>
      </c>
      <c r="AE26" s="163">
        <v>2</v>
      </c>
      <c r="AF26" s="163">
        <v>1</v>
      </c>
      <c r="AG26" s="163">
        <v>0</v>
      </c>
      <c r="AH26" s="163">
        <v>0</v>
      </c>
      <c r="AI26" s="163">
        <v>0</v>
      </c>
      <c r="AJ26" s="163">
        <v>0</v>
      </c>
      <c r="AK26" s="163">
        <v>0</v>
      </c>
    </row>
    <row r="27" spans="1:37" ht="18.75" customHeight="1" x14ac:dyDescent="0.25">
      <c r="A27" s="96"/>
      <c r="B27" s="413"/>
      <c r="C27" s="413"/>
      <c r="D27" s="412" t="str">
        <f>E13</f>
        <v>Turai</v>
      </c>
      <c r="E27" s="412"/>
      <c r="F27" s="412" t="str">
        <f>E15</f>
        <v>Viszóczky</v>
      </c>
      <c r="G27" s="412"/>
      <c r="H27" s="412" t="str">
        <f>E17</f>
        <v>Orosz</v>
      </c>
      <c r="I27" s="412"/>
      <c r="J27" s="96"/>
      <c r="K27" s="96"/>
      <c r="L27" s="96"/>
      <c r="M27" s="150"/>
      <c r="Y27" s="163"/>
      <c r="Z27" s="163"/>
      <c r="AA27" s="163" t="s">
        <v>77</v>
      </c>
      <c r="AB27" s="163">
        <v>3</v>
      </c>
      <c r="AC27" s="163">
        <v>2</v>
      </c>
      <c r="AD27" s="163">
        <v>1</v>
      </c>
      <c r="AE27" s="163">
        <v>0</v>
      </c>
      <c r="AF27" s="163">
        <v>0</v>
      </c>
      <c r="AG27" s="163">
        <v>0</v>
      </c>
      <c r="AH27" s="163">
        <v>0</v>
      </c>
      <c r="AI27" s="163">
        <v>0</v>
      </c>
      <c r="AJ27" s="163">
        <v>0</v>
      </c>
      <c r="AK27" s="163">
        <v>0</v>
      </c>
    </row>
    <row r="28" spans="1:37" ht="18.75" customHeight="1" x14ac:dyDescent="0.25">
      <c r="A28" s="146" t="s">
        <v>45</v>
      </c>
      <c r="B28" s="416" t="str">
        <f>E13</f>
        <v>Turai</v>
      </c>
      <c r="C28" s="416"/>
      <c r="D28" s="411"/>
      <c r="E28" s="411"/>
      <c r="F28" s="409"/>
      <c r="G28" s="409"/>
      <c r="H28" s="409"/>
      <c r="I28" s="409"/>
      <c r="J28" s="96"/>
      <c r="K28" s="96"/>
      <c r="L28" s="96"/>
      <c r="M28" s="149"/>
    </row>
    <row r="29" spans="1:37" ht="18.75" customHeight="1" x14ac:dyDescent="0.25">
      <c r="A29" s="146" t="s">
        <v>46</v>
      </c>
      <c r="B29" s="416" t="str">
        <f>E15</f>
        <v>Viszóczky</v>
      </c>
      <c r="C29" s="416"/>
      <c r="D29" s="409"/>
      <c r="E29" s="409"/>
      <c r="F29" s="411"/>
      <c r="G29" s="411"/>
      <c r="H29" s="409"/>
      <c r="I29" s="409"/>
      <c r="J29" s="96"/>
      <c r="K29" s="96"/>
      <c r="L29" s="96"/>
      <c r="M29" s="149"/>
    </row>
    <row r="30" spans="1:37" ht="18.75" customHeight="1" x14ac:dyDescent="0.25">
      <c r="A30" s="146" t="s">
        <v>47</v>
      </c>
      <c r="B30" s="416" t="str">
        <f>E17</f>
        <v>Orosz</v>
      </c>
      <c r="C30" s="416"/>
      <c r="D30" s="409"/>
      <c r="E30" s="409"/>
      <c r="F30" s="409"/>
      <c r="G30" s="409"/>
      <c r="H30" s="411"/>
      <c r="I30" s="411"/>
      <c r="J30" s="96"/>
      <c r="K30" s="96"/>
      <c r="L30" s="96"/>
      <c r="M30" s="149"/>
    </row>
    <row r="31" spans="1:37" x14ac:dyDescent="0.25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</row>
    <row r="32" spans="1:37" x14ac:dyDescent="0.25">
      <c r="A32" s="96" t="s">
        <v>34</v>
      </c>
      <c r="B32" s="96"/>
      <c r="C32" s="420" t="str">
        <f>IF(M23=1,B23,IF(M24=1,B24,IF(M25=1,B25,"")))</f>
        <v/>
      </c>
      <c r="D32" s="420"/>
      <c r="E32" s="116" t="s">
        <v>49</v>
      </c>
      <c r="F32" s="420" t="str">
        <f>IF(M28=1,B28,IF(M29=1,B29,IF(M30=1,B30,"")))</f>
        <v/>
      </c>
      <c r="G32" s="420"/>
      <c r="H32" s="96"/>
      <c r="I32" s="95"/>
      <c r="J32" s="96"/>
      <c r="K32" s="96"/>
      <c r="L32" s="96"/>
      <c r="M32" s="96"/>
    </row>
    <row r="33" spans="1:18" x14ac:dyDescent="0.25">
      <c r="A33" s="96"/>
      <c r="B33" s="96"/>
      <c r="C33" s="96"/>
      <c r="D33" s="96"/>
      <c r="E33" s="96"/>
      <c r="F33" s="116"/>
      <c r="G33" s="116"/>
      <c r="H33" s="96"/>
      <c r="I33" s="96"/>
      <c r="J33" s="96"/>
      <c r="K33" s="96"/>
      <c r="L33" s="96"/>
      <c r="M33" s="96"/>
    </row>
    <row r="34" spans="1:18" x14ac:dyDescent="0.25">
      <c r="A34" s="96" t="s">
        <v>48</v>
      </c>
      <c r="B34" s="96"/>
      <c r="C34" s="420" t="str">
        <f>IF(M23=2,B23,IF(M24=2,B24,IF(M25=2,B25,"")))</f>
        <v/>
      </c>
      <c r="D34" s="420"/>
      <c r="E34" s="116" t="s">
        <v>49</v>
      </c>
      <c r="F34" s="420" t="str">
        <f>IF(M28=2,B28,IF(M29=2,B29,IF(M30=2,B30,"")))</f>
        <v/>
      </c>
      <c r="G34" s="420"/>
      <c r="H34" s="96"/>
      <c r="I34" s="95"/>
      <c r="J34" s="96"/>
      <c r="K34" s="96"/>
      <c r="L34" s="96"/>
      <c r="M34" s="96"/>
    </row>
    <row r="35" spans="1:18" x14ac:dyDescent="0.25">
      <c r="A35" s="96"/>
      <c r="B35" s="96"/>
      <c r="C35" s="116"/>
      <c r="D35" s="116"/>
      <c r="E35" s="116"/>
      <c r="F35" s="116"/>
      <c r="G35" s="116"/>
      <c r="H35" s="96"/>
      <c r="I35" s="96"/>
      <c r="J35" s="96"/>
      <c r="K35" s="96"/>
      <c r="L35" s="96"/>
      <c r="M35" s="96"/>
    </row>
    <row r="36" spans="1:18" x14ac:dyDescent="0.25">
      <c r="A36" s="96" t="s">
        <v>50</v>
      </c>
      <c r="B36" s="96"/>
      <c r="C36" s="420" t="str">
        <f>IF(M23=3,B23,IF(M24=3,B24,IF(M25=3,B25,"")))</f>
        <v/>
      </c>
      <c r="D36" s="420"/>
      <c r="E36" s="116" t="s">
        <v>49</v>
      </c>
      <c r="F36" s="420" t="str">
        <f>IF(M28=3,B28,IF(M29=3,B29,IF(M30=3,B30,"")))</f>
        <v/>
      </c>
      <c r="G36" s="420"/>
      <c r="H36" s="96"/>
      <c r="I36" s="95"/>
      <c r="J36" s="96"/>
      <c r="K36" s="96"/>
      <c r="L36" s="96"/>
      <c r="M36" s="96"/>
    </row>
    <row r="37" spans="1:18" x14ac:dyDescent="0.25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</row>
    <row r="38" spans="1:18" x14ac:dyDescent="0.25">
      <c r="A38" s="96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5"/>
      <c r="M38" s="96"/>
    </row>
    <row r="39" spans="1:18" x14ac:dyDescent="0.25">
      <c r="A39" s="45" t="s">
        <v>22</v>
      </c>
      <c r="B39" s="46"/>
      <c r="C39" s="75"/>
      <c r="D39" s="122" t="s">
        <v>0</v>
      </c>
      <c r="E39" s="123" t="s">
        <v>24</v>
      </c>
      <c r="F39" s="137"/>
      <c r="G39" s="122" t="s">
        <v>0</v>
      </c>
      <c r="H39" s="123" t="s">
        <v>31</v>
      </c>
      <c r="I39" s="56"/>
      <c r="J39" s="123" t="s">
        <v>32</v>
      </c>
      <c r="K39" s="55" t="s">
        <v>33</v>
      </c>
      <c r="L39" s="29"/>
      <c r="M39" s="137"/>
      <c r="P39" s="118"/>
      <c r="Q39" s="118"/>
      <c r="R39" s="119"/>
    </row>
    <row r="40" spans="1:18" x14ac:dyDescent="0.25">
      <c r="A40" s="100" t="s">
        <v>23</v>
      </c>
      <c r="B40" s="101"/>
      <c r="C40" s="102"/>
      <c r="D40" s="124">
        <v>1</v>
      </c>
      <c r="E40" s="415" t="e">
        <f>IF(D40&gt;$R$47,,UPPER(VLOOKUP(D40,#REF!,2)))</f>
        <v>#REF!</v>
      </c>
      <c r="F40" s="415"/>
      <c r="G40" s="131" t="s">
        <v>1</v>
      </c>
      <c r="H40" s="101"/>
      <c r="I40" s="125"/>
      <c r="J40" s="132"/>
      <c r="K40" s="98" t="s">
        <v>25</v>
      </c>
      <c r="L40" s="138"/>
      <c r="M40" s="126"/>
      <c r="P40" s="120"/>
      <c r="Q40" s="120"/>
      <c r="R40" s="48"/>
    </row>
    <row r="41" spans="1:18" x14ac:dyDescent="0.25">
      <c r="A41" s="103" t="s">
        <v>30</v>
      </c>
      <c r="B41" s="54"/>
      <c r="C41" s="104"/>
      <c r="D41" s="127">
        <v>2</v>
      </c>
      <c r="E41" s="410" t="e">
        <f>IF(D41&gt;$R$47,,UPPER(VLOOKUP(D41,#REF!,2)))</f>
        <v>#REF!</v>
      </c>
      <c r="F41" s="410"/>
      <c r="G41" s="133" t="s">
        <v>2</v>
      </c>
      <c r="H41" s="36"/>
      <c r="I41" s="97"/>
      <c r="J41" s="37"/>
      <c r="K41" s="135"/>
      <c r="L41" s="95"/>
      <c r="M41" s="130"/>
      <c r="P41" s="48"/>
      <c r="Q41" s="47"/>
      <c r="R41" s="48"/>
    </row>
    <row r="42" spans="1:18" x14ac:dyDescent="0.25">
      <c r="A42" s="67"/>
      <c r="B42" s="68"/>
      <c r="C42" s="69"/>
      <c r="D42" s="127"/>
      <c r="E42" s="38"/>
      <c r="F42" s="96"/>
      <c r="G42" s="133" t="s">
        <v>3</v>
      </c>
      <c r="H42" s="36"/>
      <c r="I42" s="97"/>
      <c r="J42" s="37"/>
      <c r="K42" s="98" t="s">
        <v>26</v>
      </c>
      <c r="L42" s="138"/>
      <c r="M42" s="126"/>
      <c r="P42" s="120"/>
      <c r="Q42" s="120"/>
      <c r="R42" s="48"/>
    </row>
    <row r="43" spans="1:18" x14ac:dyDescent="0.25">
      <c r="A43" s="49"/>
      <c r="B43" s="44"/>
      <c r="C43" s="50"/>
      <c r="D43" s="127"/>
      <c r="E43" s="38"/>
      <c r="F43" s="96"/>
      <c r="G43" s="133" t="s">
        <v>4</v>
      </c>
      <c r="H43" s="36"/>
      <c r="I43" s="97"/>
      <c r="J43" s="37"/>
      <c r="K43" s="136"/>
      <c r="L43" s="96"/>
      <c r="M43" s="128"/>
      <c r="P43" s="48"/>
      <c r="Q43" s="47"/>
      <c r="R43" s="48"/>
    </row>
    <row r="44" spans="1:18" x14ac:dyDescent="0.25">
      <c r="A44" s="58"/>
      <c r="B44" s="70"/>
      <c r="C44" s="74"/>
      <c r="D44" s="127"/>
      <c r="E44" s="38"/>
      <c r="F44" s="96"/>
      <c r="G44" s="133" t="s">
        <v>5</v>
      </c>
      <c r="H44" s="36"/>
      <c r="I44" s="97"/>
      <c r="J44" s="37"/>
      <c r="K44" s="103"/>
      <c r="L44" s="95"/>
      <c r="M44" s="130"/>
      <c r="P44" s="48"/>
      <c r="Q44" s="47"/>
      <c r="R44" s="48"/>
    </row>
    <row r="45" spans="1:18" x14ac:dyDescent="0.25">
      <c r="A45" s="59"/>
      <c r="B45" s="20"/>
      <c r="C45" s="50"/>
      <c r="D45" s="127"/>
      <c r="E45" s="38"/>
      <c r="F45" s="96"/>
      <c r="G45" s="133" t="s">
        <v>6</v>
      </c>
      <c r="H45" s="36"/>
      <c r="I45" s="97"/>
      <c r="J45" s="37"/>
      <c r="K45" s="98" t="s">
        <v>21</v>
      </c>
      <c r="L45" s="138"/>
      <c r="M45" s="126"/>
      <c r="P45" s="120"/>
      <c r="Q45" s="120"/>
      <c r="R45" s="48"/>
    </row>
    <row r="46" spans="1:18" x14ac:dyDescent="0.25">
      <c r="A46" s="59"/>
      <c r="B46" s="20"/>
      <c r="C46" s="65"/>
      <c r="D46" s="127"/>
      <c r="E46" s="38"/>
      <c r="F46" s="96"/>
      <c r="G46" s="133" t="s">
        <v>7</v>
      </c>
      <c r="H46" s="36"/>
      <c r="I46" s="97"/>
      <c r="J46" s="37"/>
      <c r="K46" s="136"/>
      <c r="L46" s="96"/>
      <c r="M46" s="128"/>
      <c r="P46" s="48"/>
      <c r="Q46" s="47"/>
      <c r="R46" s="48"/>
    </row>
    <row r="47" spans="1:18" x14ac:dyDescent="0.25">
      <c r="A47" s="60"/>
      <c r="B47" s="57"/>
      <c r="C47" s="66"/>
      <c r="D47" s="129"/>
      <c r="E47" s="51"/>
      <c r="F47" s="95"/>
      <c r="G47" s="134" t="s">
        <v>8</v>
      </c>
      <c r="H47" s="54"/>
      <c r="I47" s="99"/>
      <c r="J47" s="52"/>
      <c r="K47" s="103">
        <f>L4</f>
        <v>0</v>
      </c>
      <c r="L47" s="95"/>
      <c r="M47" s="130"/>
      <c r="P47" s="48"/>
      <c r="Q47" s="47"/>
      <c r="R47" s="121" t="e">
        <f>MIN(4,#REF!)</f>
        <v>#REF!</v>
      </c>
    </row>
  </sheetData>
  <mergeCells count="42">
    <mergeCell ref="H22:I22"/>
    <mergeCell ref="A1:F1"/>
    <mergeCell ref="A4:C4"/>
    <mergeCell ref="B22:C22"/>
    <mergeCell ref="D22:E22"/>
    <mergeCell ref="F22:G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E41:F41"/>
    <mergeCell ref="B30:C30"/>
    <mergeCell ref="D30:E30"/>
    <mergeCell ref="F30:G30"/>
    <mergeCell ref="H30:I30"/>
    <mergeCell ref="C32:D32"/>
    <mergeCell ref="F32:G32"/>
    <mergeCell ref="C34:D34"/>
    <mergeCell ref="F34:G34"/>
    <mergeCell ref="C36:D36"/>
    <mergeCell ref="F36:G36"/>
    <mergeCell ref="E40:F40"/>
  </mergeCells>
  <conditionalFormatting sqref="E7 E9 E11 E13 E15 E17">
    <cfRule type="cellIs" dxfId="41" priority="1" stopIfTrue="1" operator="equal">
      <formula>"Bye"</formula>
    </cfRule>
  </conditionalFormatting>
  <conditionalFormatting sqref="R47">
    <cfRule type="expression" dxfId="40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D3648-1262-4F03-88B4-12DBC03D0972}">
  <sheetPr>
    <tabColor indexed="11"/>
  </sheetPr>
  <dimension ref="A1:V62"/>
  <sheetViews>
    <sheetView workbookViewId="0">
      <selection activeCell="S15" sqref="S15"/>
    </sheetView>
  </sheetViews>
  <sheetFormatPr defaultRowHeight="13.2" x14ac:dyDescent="0.25"/>
  <sheetData>
    <row r="1" spans="1:22" ht="24.6" x14ac:dyDescent="0.25">
      <c r="A1" s="285" t="str">
        <f>[1]Altalanos!$A$6</f>
        <v>Tenisz Diákolimpia B-A-Z. Vármegyei Döntő</v>
      </c>
      <c r="B1" s="285"/>
      <c r="C1" s="224"/>
      <c r="D1" s="224"/>
      <c r="E1" s="224"/>
      <c r="F1" s="224"/>
      <c r="G1" s="224"/>
      <c r="H1" s="285"/>
      <c r="I1" s="226"/>
      <c r="J1" s="227"/>
      <c r="K1" s="225" t="s">
        <v>29</v>
      </c>
      <c r="L1" s="229"/>
      <c r="M1" s="230"/>
      <c r="N1" s="227"/>
      <c r="O1" s="227" t="s">
        <v>374</v>
      </c>
      <c r="P1" s="227"/>
      <c r="Q1" s="224"/>
      <c r="R1" s="227"/>
      <c r="S1" s="286"/>
      <c r="T1" s="286"/>
      <c r="U1" s="286"/>
      <c r="V1" s="286"/>
    </row>
    <row r="2" spans="1:22" x14ac:dyDescent="0.25">
      <c r="A2" s="287" t="s">
        <v>28</v>
      </c>
      <c r="B2" s="231"/>
      <c r="C2" s="231"/>
      <c r="D2" s="231"/>
      <c r="E2" s="231" t="s">
        <v>265</v>
      </c>
      <c r="F2" s="231"/>
      <c r="G2" s="232"/>
      <c r="H2" s="233"/>
      <c r="I2" s="233"/>
      <c r="J2" s="234"/>
      <c r="K2" s="229"/>
      <c r="L2" s="229"/>
      <c r="M2" s="229"/>
      <c r="N2" s="234"/>
      <c r="O2" s="233"/>
      <c r="P2" s="234"/>
      <c r="Q2" s="233"/>
      <c r="R2" s="234"/>
      <c r="S2" s="288"/>
      <c r="T2" s="288"/>
      <c r="U2" s="288"/>
      <c r="V2" s="288"/>
    </row>
    <row r="3" spans="1:22" x14ac:dyDescent="0.25">
      <c r="A3" s="235" t="s">
        <v>16</v>
      </c>
      <c r="B3" s="235"/>
      <c r="C3" s="235"/>
      <c r="D3" s="235"/>
      <c r="E3" s="235"/>
      <c r="F3" s="235"/>
      <c r="G3" s="235" t="s">
        <v>14</v>
      </c>
      <c r="H3" s="235"/>
      <c r="I3" s="235"/>
      <c r="J3" s="236"/>
      <c r="K3" s="235" t="s">
        <v>18</v>
      </c>
      <c r="L3" s="236"/>
      <c r="M3" s="235"/>
      <c r="N3" s="236"/>
      <c r="O3" s="235"/>
      <c r="P3" s="236"/>
      <c r="Q3" s="235"/>
      <c r="R3" s="237" t="s">
        <v>19</v>
      </c>
      <c r="S3" s="289"/>
      <c r="T3" s="289"/>
      <c r="U3" s="289"/>
      <c r="V3" s="289"/>
    </row>
    <row r="4" spans="1:22" ht="13.8" thickBot="1" x14ac:dyDescent="0.3">
      <c r="A4" s="440" t="str">
        <f>[1]Altalanos!$A$10</f>
        <v>2024.05.02-03.</v>
      </c>
      <c r="B4" s="440"/>
      <c r="C4" s="440"/>
      <c r="D4" s="238"/>
      <c r="E4" s="239"/>
      <c r="F4" s="239"/>
      <c r="G4" s="239" t="str">
        <f>[1]Altalanos!$C$10</f>
        <v>Kazincbarcika</v>
      </c>
      <c r="H4" s="290"/>
      <c r="I4" s="239"/>
      <c r="J4" s="240"/>
      <c r="K4" s="291" t="s">
        <v>39</v>
      </c>
      <c r="L4" s="240"/>
      <c r="M4" s="292"/>
      <c r="N4" s="240"/>
      <c r="O4" s="239"/>
      <c r="P4" s="240"/>
      <c r="Q4" s="239"/>
      <c r="R4" s="241" t="str">
        <f>[1]Altalanos!$E$10</f>
        <v>Gyenes Imre</v>
      </c>
      <c r="S4" s="293"/>
      <c r="T4" s="293"/>
      <c r="U4" s="293"/>
      <c r="V4" s="293"/>
    </row>
    <row r="5" spans="1:22" x14ac:dyDescent="0.25">
      <c r="A5" s="267"/>
      <c r="B5" s="294" t="s">
        <v>375</v>
      </c>
      <c r="C5" s="295" t="s">
        <v>22</v>
      </c>
      <c r="D5" s="294" t="s">
        <v>376</v>
      </c>
      <c r="E5" s="294" t="s">
        <v>377</v>
      </c>
      <c r="F5" s="296" t="s">
        <v>378</v>
      </c>
      <c r="G5" s="296" t="s">
        <v>17</v>
      </c>
      <c r="H5" s="296"/>
      <c r="I5" s="296" t="s">
        <v>20</v>
      </c>
      <c r="J5" s="296"/>
      <c r="K5" s="294" t="s">
        <v>379</v>
      </c>
      <c r="L5" s="297"/>
      <c r="M5" s="294" t="s">
        <v>380</v>
      </c>
      <c r="N5" s="297"/>
      <c r="O5" s="294" t="s">
        <v>34</v>
      </c>
      <c r="P5" s="297"/>
      <c r="Q5" s="294" t="s">
        <v>381</v>
      </c>
      <c r="R5" s="259"/>
      <c r="S5" s="289"/>
      <c r="T5" s="289"/>
      <c r="U5" s="289"/>
      <c r="V5" s="289"/>
    </row>
    <row r="6" spans="1:22" x14ac:dyDescent="0.25">
      <c r="A6" s="298"/>
      <c r="B6" s="299"/>
      <c r="C6" s="299"/>
      <c r="D6" s="299"/>
      <c r="E6" s="299"/>
      <c r="F6" s="300" t="str">
        <f>IF(Y3="","",CONCATENATE(AH1," / ",VLOOKUP(Y3,AB1:AH1,5)," pont"))</f>
        <v/>
      </c>
      <c r="G6" s="301"/>
      <c r="H6" s="302"/>
      <c r="I6" s="301"/>
      <c r="J6" s="303"/>
      <c r="K6" s="299" t="str">
        <f>IF(Y3="","",CONCATENATE(VLOOKUP(Y3,AB1:AH1,4)," pont"))</f>
        <v/>
      </c>
      <c r="L6" s="303"/>
      <c r="M6" s="299" t="str">
        <f>IF(Y3="","",CONCATENATE(VLOOKUP(Y3,AB1:AH1,3)," pont"))</f>
        <v/>
      </c>
      <c r="N6" s="303"/>
      <c r="O6" s="299" t="str">
        <f>IF(Y3="","",CONCATENATE(VLOOKUP(Y3,AB1:AH1,2)," pont"))</f>
        <v/>
      </c>
      <c r="P6" s="303"/>
      <c r="Q6" s="299" t="str">
        <f>IF(Y3="","",CONCATENATE(VLOOKUP(Y3,AB1:AH1,1)," pont"))</f>
        <v/>
      </c>
      <c r="R6" s="304"/>
      <c r="S6" s="302"/>
      <c r="T6" s="302"/>
      <c r="U6" s="302"/>
      <c r="V6" s="302"/>
    </row>
    <row r="7" spans="1:22" x14ac:dyDescent="0.25">
      <c r="A7" s="305">
        <v>1</v>
      </c>
      <c r="B7" s="306" t="str">
        <f>IF($E7="","",VLOOKUP($E7,'[1]1MD ELO'!$A$7:$O$22,14))</f>
        <v/>
      </c>
      <c r="C7" s="245" t="str">
        <f>IF($E7="","",VLOOKUP($E7,'[1]1MD ELO'!$A$7:$O$22,15))</f>
        <v/>
      </c>
      <c r="D7" s="245" t="str">
        <f>IF($E7="","",VLOOKUP($E7,'[1]1MD ELO'!$A$7:$O$22,5))</f>
        <v/>
      </c>
      <c r="E7" s="307"/>
      <c r="F7" s="308"/>
      <c r="G7" s="308"/>
      <c r="H7" s="308"/>
      <c r="I7" s="308" t="str">
        <f>IF($E7="","",VLOOKUP($E7,'[1]1MD ELO'!$A$7:$O$22,4))</f>
        <v/>
      </c>
      <c r="J7" s="309"/>
      <c r="K7" s="310"/>
      <c r="L7" s="310"/>
      <c r="M7" s="310"/>
      <c r="N7" s="310"/>
      <c r="O7" s="311"/>
      <c r="P7" s="312"/>
      <c r="Q7" s="313"/>
      <c r="R7" s="314"/>
      <c r="S7" s="315"/>
      <c r="T7" s="315"/>
      <c r="U7" s="315"/>
      <c r="V7" s="315"/>
    </row>
    <row r="8" spans="1:22" x14ac:dyDescent="0.25">
      <c r="A8" s="316"/>
      <c r="B8" s="317"/>
      <c r="C8" s="318"/>
      <c r="D8" s="318"/>
      <c r="E8" s="319"/>
      <c r="F8" s="320"/>
      <c r="G8" s="320"/>
      <c r="H8" s="321"/>
      <c r="I8" s="322" t="s">
        <v>382</v>
      </c>
      <c r="J8" s="323"/>
      <c r="K8" s="324" t="s">
        <v>154</v>
      </c>
      <c r="L8" s="324"/>
      <c r="M8" s="310"/>
      <c r="N8" s="310"/>
      <c r="O8" s="311"/>
      <c r="P8" s="312"/>
      <c r="Q8" s="313"/>
      <c r="R8" s="314"/>
      <c r="S8" s="315"/>
      <c r="T8" s="315"/>
      <c r="U8" s="315" t="str">
        <f>[1]Birók!P22</f>
        <v xml:space="preserve"> </v>
      </c>
      <c r="V8" s="315"/>
    </row>
    <row r="9" spans="1:22" x14ac:dyDescent="0.25">
      <c r="A9" s="316">
        <v>2</v>
      </c>
      <c r="B9" s="306" t="str">
        <f>IF($E9="","",VLOOKUP($E9,'[1]1MD ELO'!$A$7:$O$22,14))</f>
        <v/>
      </c>
      <c r="C9" s="245" t="str">
        <f>IF($E9="","",VLOOKUP($E9,'[1]1MD ELO'!$A$7:$O$22,15))</f>
        <v/>
      </c>
      <c r="D9" s="245" t="str">
        <f>IF($E9="","",VLOOKUP($E9,'[1]1MD ELO'!$A$7:$O$22,5))</f>
        <v/>
      </c>
      <c r="E9" s="307"/>
      <c r="F9" s="325" t="str">
        <f>UPPER(IF($E9="","",VLOOKUP($E9,'[1]1MD ELO'!$A$7:$O$22,2)))</f>
        <v/>
      </c>
      <c r="G9" s="325" t="str">
        <f>IF($E9="","",VLOOKUP($E9,'[1]1MD ELO'!$A$7:$O$22,3))</f>
        <v/>
      </c>
      <c r="H9" s="325"/>
      <c r="I9" s="308" t="str">
        <f>IF($E9="","",VLOOKUP($E9,'[1]1MD ELO'!$A$7:$O$22,4))</f>
        <v/>
      </c>
      <c r="J9" s="326"/>
      <c r="K9" s="310"/>
      <c r="L9" s="327"/>
      <c r="M9" s="310"/>
      <c r="N9" s="310"/>
      <c r="O9" s="311"/>
      <c r="P9" s="312"/>
      <c r="Q9" s="313"/>
      <c r="R9" s="314"/>
      <c r="S9" s="315"/>
      <c r="T9" s="315"/>
      <c r="U9" s="315" t="str">
        <f>[1]Birók!P23</f>
        <v xml:space="preserve"> </v>
      </c>
      <c r="V9" s="315"/>
    </row>
    <row r="10" spans="1:22" x14ac:dyDescent="0.25">
      <c r="A10" s="316"/>
      <c r="B10" s="317"/>
      <c r="C10" s="318"/>
      <c r="D10" s="318"/>
      <c r="E10" s="328"/>
      <c r="F10" s="320"/>
      <c r="G10" s="320"/>
      <c r="H10" s="321"/>
      <c r="I10" s="310"/>
      <c r="J10" s="329"/>
      <c r="K10" s="330" t="s">
        <v>382</v>
      </c>
      <c r="L10" s="331"/>
      <c r="M10" s="324" t="str">
        <f>UPPER(IF(OR(L10="a",L10="as"),K8,IF(OR(L10="b",L10="bs"),K12,)))</f>
        <v/>
      </c>
      <c r="N10" s="332"/>
      <c r="O10" s="333"/>
      <c r="P10" s="333"/>
      <c r="Q10" s="313"/>
      <c r="R10" s="314"/>
      <c r="S10" s="315"/>
      <c r="T10" s="315"/>
      <c r="U10" s="315" t="str">
        <f>[1]Birók!P24</f>
        <v xml:space="preserve"> </v>
      </c>
      <c r="V10" s="315"/>
    </row>
    <row r="11" spans="1:22" x14ac:dyDescent="0.25">
      <c r="A11" s="316">
        <v>3</v>
      </c>
      <c r="B11" s="306" t="str">
        <f>IF($E11="","",VLOOKUP($E11,'[1]1MD ELO'!$A$7:$O$22,14))</f>
        <v/>
      </c>
      <c r="C11" s="245" t="str">
        <f>IF($E11="","",VLOOKUP($E11,'[1]1MD ELO'!$A$7:$O$22,15))</f>
        <v/>
      </c>
      <c r="D11" s="245" t="str">
        <f>IF($E11="","",VLOOKUP($E11,'[1]1MD ELO'!$A$7:$O$22,5))</f>
        <v/>
      </c>
      <c r="E11" s="307"/>
      <c r="F11" s="325"/>
      <c r="G11" s="325"/>
      <c r="H11" s="325"/>
      <c r="I11" s="325" t="str">
        <f>IF($E11="","",VLOOKUP($E11,'[1]1MD ELO'!$A$7:$O$22,4))</f>
        <v/>
      </c>
      <c r="J11" s="309"/>
      <c r="K11" s="310"/>
      <c r="L11" s="334"/>
      <c r="M11" s="310"/>
      <c r="N11" s="335"/>
      <c r="O11" s="333"/>
      <c r="P11" s="333"/>
      <c r="Q11" s="313"/>
      <c r="R11" s="314"/>
      <c r="S11" s="315"/>
      <c r="T11" s="315"/>
      <c r="U11" s="315" t="str">
        <f>[1]Birók!P25</f>
        <v xml:space="preserve"> </v>
      </c>
      <c r="V11" s="315"/>
    </row>
    <row r="12" spans="1:22" x14ac:dyDescent="0.25">
      <c r="A12" s="316"/>
      <c r="B12" s="317"/>
      <c r="C12" s="318"/>
      <c r="D12" s="318"/>
      <c r="E12" s="328"/>
      <c r="F12" s="320"/>
      <c r="G12" s="320"/>
      <c r="H12" s="321"/>
      <c r="I12" s="322" t="s">
        <v>382</v>
      </c>
      <c r="J12" s="323"/>
      <c r="K12" s="324" t="s">
        <v>167</v>
      </c>
      <c r="L12" s="336"/>
      <c r="M12" s="310"/>
      <c r="N12" s="335"/>
      <c r="O12" s="333"/>
      <c r="P12" s="333"/>
      <c r="Q12" s="313"/>
      <c r="R12" s="314"/>
      <c r="S12" s="315"/>
      <c r="T12" s="315"/>
      <c r="U12" s="315" t="str">
        <f>[1]Birók!P26</f>
        <v xml:space="preserve"> </v>
      </c>
      <c r="V12" s="315"/>
    </row>
    <row r="13" spans="1:22" x14ac:dyDescent="0.25">
      <c r="A13" s="316">
        <v>4</v>
      </c>
      <c r="B13" s="306" t="str">
        <f>IF($E13="","",VLOOKUP($E13,'[1]1MD ELO'!$A$7:$O$22,14))</f>
        <v/>
      </c>
      <c r="C13" s="245" t="str">
        <f>IF($E13="","",VLOOKUP($E13,'[1]1MD ELO'!$A$7:$O$22,15))</f>
        <v/>
      </c>
      <c r="D13" s="245" t="str">
        <f>IF($E13="","",VLOOKUP($E13,'[1]1MD ELO'!$A$7:$O$22,5))</f>
        <v/>
      </c>
      <c r="E13" s="307"/>
      <c r="F13" s="325" t="str">
        <f>UPPER(IF($E13="","",VLOOKUP($E13,'[1]1MD ELO'!$A$7:$O$22,2)))</f>
        <v/>
      </c>
      <c r="G13" s="325" t="str">
        <f>IF($E13="","",VLOOKUP($E13,'[1]1MD ELO'!$A$7:$O$22,3))</f>
        <v/>
      </c>
      <c r="H13" s="325"/>
      <c r="I13" s="325" t="str">
        <f>IF($E13="","",VLOOKUP($E13,'[1]1MD ELO'!$A$7:$O$22,4))</f>
        <v/>
      </c>
      <c r="J13" s="337"/>
      <c r="K13" s="310"/>
      <c r="L13" s="310"/>
      <c r="M13" s="310"/>
      <c r="N13" s="335"/>
      <c r="O13" s="333"/>
      <c r="P13" s="333"/>
      <c r="Q13" s="313"/>
      <c r="R13" s="314"/>
      <c r="S13" s="315"/>
      <c r="T13" s="315"/>
      <c r="U13" s="315" t="str">
        <f>[1]Birók!P27</f>
        <v xml:space="preserve"> </v>
      </c>
      <c r="V13" s="315"/>
    </row>
    <row r="14" spans="1:22" x14ac:dyDescent="0.25">
      <c r="A14" s="316"/>
      <c r="B14" s="317"/>
      <c r="C14" s="318"/>
      <c r="D14" s="318"/>
      <c r="E14" s="328"/>
      <c r="F14" s="310"/>
      <c r="G14" s="310"/>
      <c r="H14" s="338"/>
      <c r="I14" s="339"/>
      <c r="J14" s="329"/>
      <c r="K14" s="310"/>
      <c r="L14" s="310"/>
      <c r="M14" s="330" t="s">
        <v>382</v>
      </c>
      <c r="N14" s="331"/>
      <c r="O14" s="324" t="str">
        <f>UPPER(IF(OR(N14="a",N14="as"),M10,IF(OR(N14="b",N14="bs"),M18,)))</f>
        <v/>
      </c>
      <c r="P14" s="332"/>
      <c r="Q14" s="313"/>
      <c r="R14" s="314"/>
      <c r="S14" s="315"/>
      <c r="T14" s="315"/>
      <c r="U14" s="315" t="str">
        <f>[1]Birók!P28</f>
        <v xml:space="preserve"> </v>
      </c>
      <c r="V14" s="315"/>
    </row>
    <row r="15" spans="1:22" x14ac:dyDescent="0.25">
      <c r="A15" s="305">
        <v>5</v>
      </c>
      <c r="B15" s="306" t="str">
        <f>IF($E15="","",VLOOKUP($E15,'[1]1MD ELO'!$A$7:$O$22,14))</f>
        <v/>
      </c>
      <c r="C15" s="245" t="str">
        <f>IF($E15="","",VLOOKUP($E15,'[1]1MD ELO'!$A$7:$O$22,15))</f>
        <v/>
      </c>
      <c r="D15" s="245" t="str">
        <f>IF($E15="","",VLOOKUP($E15,'[1]1MD ELO'!$A$7:$O$22,5))</f>
        <v/>
      </c>
      <c r="E15" s="307"/>
      <c r="F15" s="308" t="str">
        <f>UPPER(IF($E15="","",VLOOKUP($E15,'[1]1MD ELO'!$A$7:$O$22,2)))</f>
        <v/>
      </c>
      <c r="G15" s="308" t="str">
        <f>IF($E15="","",VLOOKUP($E15,'[1]1MD ELO'!$A$7:$O$22,3))</f>
        <v/>
      </c>
      <c r="H15" s="308"/>
      <c r="I15" s="308" t="str">
        <f>IF($E15="","",VLOOKUP($E15,'[1]1MD ELO'!$A$7:$O$22,4))</f>
        <v/>
      </c>
      <c r="J15" s="340"/>
      <c r="K15" s="310"/>
      <c r="L15" s="310"/>
      <c r="M15" s="310"/>
      <c r="N15" s="335"/>
      <c r="O15" s="310"/>
      <c r="P15" s="335"/>
      <c r="Q15" s="313"/>
      <c r="R15" s="314"/>
      <c r="S15" s="315"/>
      <c r="T15" s="315"/>
      <c r="U15" s="315" t="str">
        <f>[1]Birók!P29</f>
        <v xml:space="preserve"> </v>
      </c>
      <c r="V15" s="315"/>
    </row>
    <row r="16" spans="1:22" x14ac:dyDescent="0.25">
      <c r="A16" s="316"/>
      <c r="B16" s="317"/>
      <c r="C16" s="318"/>
      <c r="D16" s="318"/>
      <c r="E16" s="328"/>
      <c r="F16" s="320"/>
      <c r="G16" s="320"/>
      <c r="H16" s="321"/>
      <c r="I16" s="322" t="s">
        <v>382</v>
      </c>
      <c r="J16" s="323"/>
      <c r="K16" s="324" t="s">
        <v>155</v>
      </c>
      <c r="L16" s="324"/>
      <c r="M16" s="310"/>
      <c r="N16" s="335"/>
      <c r="O16" s="333"/>
      <c r="P16" s="335"/>
      <c r="Q16" s="313"/>
      <c r="R16" s="314"/>
      <c r="S16" s="315"/>
      <c r="T16" s="315"/>
      <c r="U16" s="315"/>
      <c r="V16" s="315"/>
    </row>
    <row r="17" spans="1:22" x14ac:dyDescent="0.25">
      <c r="A17" s="316">
        <v>6</v>
      </c>
      <c r="B17" s="306" t="str">
        <f>IF($E17="","",VLOOKUP($E17,'[1]1MD ELO'!$A$7:$O$22,14))</f>
        <v/>
      </c>
      <c r="C17" s="245" t="str">
        <f>IF($E17="","",VLOOKUP($E17,'[1]1MD ELO'!$A$7:$O$22,15))</f>
        <v/>
      </c>
      <c r="D17" s="245" t="str">
        <f>IF($E17="","",VLOOKUP($E17,'[1]1MD ELO'!$A$7:$O$22,5))</f>
        <v/>
      </c>
      <c r="E17" s="307"/>
      <c r="F17" s="325" t="str">
        <f>UPPER(IF($E17="","",VLOOKUP($E17,'[1]1MD ELO'!$A$7:$O$22,2)))</f>
        <v/>
      </c>
      <c r="G17" s="325" t="str">
        <f>IF($E17="","",VLOOKUP($E17,'[1]1MD ELO'!$A$7:$O$22,3))</f>
        <v/>
      </c>
      <c r="H17" s="325"/>
      <c r="I17" s="325" t="str">
        <f>IF($E17="","",VLOOKUP($E17,'[1]1MD ELO'!$A$7:$O$22,4))</f>
        <v/>
      </c>
      <c r="J17" s="326"/>
      <c r="K17" s="310"/>
      <c r="L17" s="327"/>
      <c r="M17" s="310"/>
      <c r="N17" s="335"/>
      <c r="O17" s="333"/>
      <c r="P17" s="335"/>
      <c r="Q17" s="313"/>
      <c r="R17" s="314"/>
      <c r="S17" s="315"/>
      <c r="T17" s="315"/>
      <c r="U17" s="315"/>
      <c r="V17" s="315"/>
    </row>
    <row r="18" spans="1:22" x14ac:dyDescent="0.25">
      <c r="A18" s="316"/>
      <c r="B18" s="317"/>
      <c r="C18" s="318"/>
      <c r="D18" s="318"/>
      <c r="E18" s="328"/>
      <c r="F18" s="320"/>
      <c r="G18" s="320"/>
      <c r="H18" s="321"/>
      <c r="I18" s="310"/>
      <c r="J18" s="329"/>
      <c r="K18" s="330" t="s">
        <v>382</v>
      </c>
      <c r="L18" s="331"/>
      <c r="M18" s="324" t="str">
        <f>UPPER(IF(OR(L18="a",L18="as"),K16,IF(OR(L18="b",L18="bs"),K20,)))</f>
        <v/>
      </c>
      <c r="N18" s="341"/>
      <c r="O18" s="333"/>
      <c r="P18" s="335"/>
      <c r="Q18" s="313"/>
      <c r="R18" s="314"/>
      <c r="S18" s="315"/>
      <c r="T18" s="315"/>
      <c r="U18" s="315"/>
      <c r="V18" s="315"/>
    </row>
    <row r="19" spans="1:22" x14ac:dyDescent="0.25">
      <c r="A19" s="316">
        <v>7</v>
      </c>
      <c r="B19" s="306" t="str">
        <f>IF($E19="","",VLOOKUP($E19,'[1]1MD ELO'!$A$7:$O$22,14))</f>
        <v/>
      </c>
      <c r="C19" s="245" t="str">
        <f>IF($E19="","",VLOOKUP($E19,'[1]1MD ELO'!$A$7:$O$22,15))</f>
        <v/>
      </c>
      <c r="D19" s="245" t="str">
        <f>IF($E19="","",VLOOKUP($E19,'[1]1MD ELO'!$A$7:$O$22,5))</f>
        <v/>
      </c>
      <c r="E19" s="307"/>
      <c r="F19" s="325" t="str">
        <f>UPPER(IF($E19="","",VLOOKUP($E19,'[1]1MD ELO'!$A$7:$O$22,2)))</f>
        <v/>
      </c>
      <c r="G19" s="325" t="str">
        <f>IF($E19="","",VLOOKUP($E19,'[1]1MD ELO'!$A$7:$O$22,3))</f>
        <v/>
      </c>
      <c r="H19" s="325"/>
      <c r="I19" s="325" t="str">
        <f>IF($E19="","",VLOOKUP($E19,'[1]1MD ELO'!$A$7:$O$22,4))</f>
        <v/>
      </c>
      <c r="J19" s="309"/>
      <c r="K19" s="310"/>
      <c r="L19" s="334"/>
      <c r="M19" s="310"/>
      <c r="N19" s="333"/>
      <c r="O19" s="333"/>
      <c r="P19" s="335"/>
      <c r="Q19" s="313"/>
      <c r="R19" s="314"/>
      <c r="S19" s="315"/>
      <c r="T19" s="315"/>
      <c r="U19" s="315"/>
      <c r="V19" s="315"/>
    </row>
    <row r="20" spans="1:22" x14ac:dyDescent="0.25">
      <c r="A20" s="316"/>
      <c r="B20" s="317"/>
      <c r="C20" s="318"/>
      <c r="D20" s="318"/>
      <c r="E20" s="319"/>
      <c r="F20" s="320"/>
      <c r="G20" s="320"/>
      <c r="H20" s="321"/>
      <c r="I20" s="322" t="s">
        <v>382</v>
      </c>
      <c r="J20" s="323"/>
      <c r="K20" s="324" t="s">
        <v>159</v>
      </c>
      <c r="L20" s="336"/>
      <c r="M20" s="310"/>
      <c r="N20" s="333"/>
      <c r="O20" s="333"/>
      <c r="P20" s="335"/>
      <c r="Q20" s="313"/>
      <c r="R20" s="314"/>
      <c r="S20" s="315"/>
      <c r="T20" s="315"/>
      <c r="U20" s="315"/>
      <c r="V20" s="315"/>
    </row>
    <row r="21" spans="1:22" x14ac:dyDescent="0.25">
      <c r="A21" s="316">
        <v>8</v>
      </c>
      <c r="B21" s="306" t="str">
        <f>IF($E21="","",VLOOKUP($E21,'[1]1MD ELO'!$A$7:$O$22,14))</f>
        <v/>
      </c>
      <c r="C21" s="245" t="str">
        <f>IF($E21="","",VLOOKUP($E21,'[1]1MD ELO'!$A$7:$O$22,15))</f>
        <v/>
      </c>
      <c r="D21" s="245" t="str">
        <f>IF($E21="","",VLOOKUP($E21,'[1]1MD ELO'!$A$7:$O$22,5))</f>
        <v/>
      </c>
      <c r="E21" s="307"/>
      <c r="F21" s="325" t="str">
        <f>UPPER(IF($E21="","",VLOOKUP($E21,'[1]1MD ELO'!$A$7:$O$22,2)))</f>
        <v/>
      </c>
      <c r="G21" s="325" t="str">
        <f>IF($E21="","",VLOOKUP($E21,'[1]1MD ELO'!$A$7:$O$22,3))</f>
        <v/>
      </c>
      <c r="H21" s="325"/>
      <c r="I21" s="325" t="str">
        <f>IF($E21="","",VLOOKUP($E21,'[1]1MD ELO'!$A$7:$O$22,4))</f>
        <v/>
      </c>
      <c r="J21" s="337"/>
      <c r="K21" s="310"/>
      <c r="L21" s="310"/>
      <c r="M21" s="310"/>
      <c r="N21" s="333"/>
      <c r="O21" s="333"/>
      <c r="P21" s="335"/>
      <c r="Q21" s="313"/>
      <c r="R21" s="314"/>
      <c r="S21" s="315"/>
      <c r="T21" s="315"/>
      <c r="U21" s="315"/>
      <c r="V21" s="315"/>
    </row>
    <row r="22" spans="1:22" x14ac:dyDescent="0.25">
      <c r="A22" s="316"/>
      <c r="B22" s="317"/>
      <c r="C22" s="318"/>
      <c r="D22" s="318"/>
      <c r="E22" s="319"/>
      <c r="F22" s="339"/>
      <c r="G22" s="339"/>
      <c r="H22" s="342"/>
      <c r="I22" s="339"/>
      <c r="J22" s="329"/>
      <c r="K22" s="310"/>
      <c r="L22" s="310"/>
      <c r="M22" s="310"/>
      <c r="N22" s="333"/>
      <c r="O22" s="330" t="s">
        <v>382</v>
      </c>
      <c r="P22" s="331"/>
      <c r="Q22" s="324" t="str">
        <f>UPPER(IF(OR(P22="a",P22="as"),O14,IF(OR(P22="b",P22="bs"),O30,)))</f>
        <v/>
      </c>
      <c r="R22" s="332"/>
      <c r="S22" s="315"/>
      <c r="T22" s="315"/>
      <c r="U22" s="315"/>
      <c r="V22" s="315"/>
    </row>
    <row r="23" spans="1:22" x14ac:dyDescent="0.25">
      <c r="A23" s="316">
        <v>9</v>
      </c>
      <c r="B23" s="306" t="str">
        <f>IF($E23="","",VLOOKUP($E23,'[1]1MD ELO'!$A$7:$O$22,14))</f>
        <v/>
      </c>
      <c r="C23" s="245" t="str">
        <f>IF($E23="","",VLOOKUP($E23,'[1]1MD ELO'!$A$7:$O$22,15))</f>
        <v/>
      </c>
      <c r="D23" s="245" t="str">
        <f>IF($E23="","",VLOOKUP($E23,'[1]1MD ELO'!$A$7:$O$22,5))</f>
        <v/>
      </c>
      <c r="E23" s="307"/>
      <c r="F23" s="325" t="str">
        <f>UPPER(IF($E23="","",VLOOKUP($E23,'[1]1MD ELO'!$A$7:$O$22,2)))</f>
        <v/>
      </c>
      <c r="G23" s="325" t="str">
        <f>IF($E23="","",VLOOKUP($E23,'[1]1MD ELO'!$A$7:$O$22,3))</f>
        <v/>
      </c>
      <c r="H23" s="325"/>
      <c r="I23" s="325" t="s">
        <v>158</v>
      </c>
      <c r="J23" s="309"/>
      <c r="K23" s="310"/>
      <c r="L23" s="310"/>
      <c r="M23" s="310"/>
      <c r="N23" s="333"/>
      <c r="O23" s="310"/>
      <c r="P23" s="335"/>
      <c r="Q23" s="310"/>
      <c r="R23" s="333"/>
      <c r="S23" s="315"/>
      <c r="T23" s="315"/>
      <c r="U23" s="315"/>
      <c r="V23" s="315"/>
    </row>
    <row r="24" spans="1:22" x14ac:dyDescent="0.25">
      <c r="A24" s="316"/>
      <c r="B24" s="317"/>
      <c r="C24" s="318"/>
      <c r="D24" s="318"/>
      <c r="E24" s="319"/>
      <c r="F24" s="320"/>
      <c r="G24" s="320"/>
      <c r="H24" s="321"/>
      <c r="I24" s="322" t="s">
        <v>386</v>
      </c>
      <c r="J24" s="323"/>
      <c r="K24" s="324" t="str">
        <f>UPPER(IF(OR(J24="a",J24="as"),F23,IF(OR(J24="b",J24="bs"),F25,)))</f>
        <v/>
      </c>
      <c r="L24" s="324"/>
      <c r="M24" s="310"/>
      <c r="N24" s="333"/>
      <c r="O24" s="333"/>
      <c r="P24" s="335"/>
      <c r="Q24" s="313"/>
      <c r="R24" s="314"/>
      <c r="S24" s="315"/>
      <c r="T24" s="315"/>
      <c r="U24" s="315"/>
      <c r="V24" s="315"/>
    </row>
    <row r="25" spans="1:22" x14ac:dyDescent="0.25">
      <c r="A25" s="316">
        <v>10</v>
      </c>
      <c r="B25" s="306" t="str">
        <f>IF($E25="","",VLOOKUP($E25,'[1]1MD ELO'!$A$7:$O$22,14))</f>
        <v/>
      </c>
      <c r="C25" s="245" t="str">
        <f>IF($E25="","",VLOOKUP($E25,'[1]1MD ELO'!$A$7:$O$22,15))</f>
        <v/>
      </c>
      <c r="D25" s="245" t="str">
        <f>IF($E25="","",VLOOKUP($E25,'[1]1MD ELO'!$A$7:$O$22,5))</f>
        <v/>
      </c>
      <c r="E25" s="307"/>
      <c r="F25" s="325" t="str">
        <f>UPPER(IF($E25="","",VLOOKUP($E25,'[1]1MD ELO'!$A$7:$O$22,2)))</f>
        <v/>
      </c>
      <c r="G25" s="325" t="str">
        <f>IF($E25="","",VLOOKUP($E25,'[1]1MD ELO'!$A$7:$O$22,3))</f>
        <v/>
      </c>
      <c r="H25" s="325"/>
      <c r="I25" s="325" t="s">
        <v>151</v>
      </c>
      <c r="J25" s="326"/>
      <c r="K25" s="310"/>
      <c r="L25" s="327"/>
      <c r="M25" s="310"/>
      <c r="N25" s="333"/>
      <c r="O25" s="333"/>
      <c r="P25" s="335"/>
      <c r="Q25" s="313"/>
      <c r="R25" s="314"/>
      <c r="S25" s="315"/>
      <c r="T25" s="315"/>
      <c r="U25" s="315"/>
      <c r="V25" s="315"/>
    </row>
    <row r="26" spans="1:22" x14ac:dyDescent="0.25">
      <c r="A26" s="316"/>
      <c r="B26" s="317"/>
      <c r="C26" s="318"/>
      <c r="D26" s="318"/>
      <c r="E26" s="328"/>
      <c r="F26" s="320"/>
      <c r="G26" s="320"/>
      <c r="H26" s="321"/>
      <c r="I26" s="310"/>
      <c r="J26" s="329"/>
      <c r="K26" s="330" t="s">
        <v>382</v>
      </c>
      <c r="L26" s="331"/>
      <c r="M26" s="324" t="str">
        <f>UPPER(IF(OR(L26="a",L26="as"),K24,IF(OR(L26="b",L26="bs"),K28,)))</f>
        <v/>
      </c>
      <c r="N26" s="332"/>
      <c r="O26" s="333"/>
      <c r="P26" s="335"/>
      <c r="Q26" s="313"/>
      <c r="R26" s="314"/>
      <c r="S26" s="315"/>
      <c r="T26" s="315"/>
      <c r="U26" s="315"/>
      <c r="V26" s="315"/>
    </row>
    <row r="27" spans="1:22" x14ac:dyDescent="0.25">
      <c r="A27" s="316">
        <v>11</v>
      </c>
      <c r="B27" s="306" t="str">
        <f>IF($E27="","",VLOOKUP($E27,'[1]1MD ELO'!$A$7:$O$22,14))</f>
        <v/>
      </c>
      <c r="C27" s="245" t="str">
        <f>IF($E27="","",VLOOKUP($E27,'[1]1MD ELO'!$A$7:$O$22,15))</f>
        <v/>
      </c>
      <c r="D27" s="245" t="str">
        <f>IF($E27="","",VLOOKUP($E27,'[1]1MD ELO'!$A$7:$O$22,5))</f>
        <v/>
      </c>
      <c r="E27" s="307"/>
      <c r="F27" s="325" t="str">
        <f>UPPER(IF($E27="","",VLOOKUP($E27,'[1]1MD ELO'!$A$7:$O$22,2)))</f>
        <v/>
      </c>
      <c r="G27" s="325" t="str">
        <f>IF($E27="","",VLOOKUP($E27,'[1]1MD ELO'!$A$7:$O$22,3))</f>
        <v/>
      </c>
      <c r="H27" s="325"/>
      <c r="I27" s="325" t="str">
        <f>IF($E27="","",VLOOKUP($E27,'[1]1MD ELO'!$A$7:$O$22,4))</f>
        <v/>
      </c>
      <c r="J27" s="309"/>
      <c r="K27" s="310"/>
      <c r="L27" s="334"/>
      <c r="M27" s="310"/>
      <c r="N27" s="335"/>
      <c r="O27" s="333"/>
      <c r="P27" s="335"/>
      <c r="Q27" s="313"/>
      <c r="R27" s="314"/>
      <c r="S27" s="315"/>
      <c r="T27" s="315"/>
      <c r="U27" s="315"/>
      <c r="V27" s="315"/>
    </row>
    <row r="28" spans="1:22" x14ac:dyDescent="0.25">
      <c r="A28" s="343"/>
      <c r="B28" s="317"/>
      <c r="C28" s="318"/>
      <c r="D28" s="318"/>
      <c r="E28" s="328"/>
      <c r="F28" s="320"/>
      <c r="G28" s="320"/>
      <c r="H28" s="321"/>
      <c r="I28" s="322" t="s">
        <v>382</v>
      </c>
      <c r="J28" s="323"/>
      <c r="K28" s="324" t="s">
        <v>160</v>
      </c>
      <c r="L28" s="336"/>
      <c r="M28" s="310"/>
      <c r="N28" s="335"/>
      <c r="O28" s="333"/>
      <c r="P28" s="335"/>
      <c r="Q28" s="313"/>
      <c r="R28" s="314"/>
      <c r="S28" s="315"/>
      <c r="T28" s="315"/>
      <c r="U28" s="315"/>
      <c r="V28" s="315"/>
    </row>
    <row r="29" spans="1:22" x14ac:dyDescent="0.25">
      <c r="A29" s="305">
        <v>12</v>
      </c>
      <c r="B29" s="306" t="str">
        <f>IF($E29="","",VLOOKUP($E29,'[1]1MD ELO'!$A$7:$O$22,14))</f>
        <v/>
      </c>
      <c r="C29" s="245" t="str">
        <f>IF($E29="","",VLOOKUP($E29,'[1]1MD ELO'!$A$7:$O$22,15))</f>
        <v/>
      </c>
      <c r="D29" s="245" t="str">
        <f>IF($E29="","",VLOOKUP($E29,'[1]1MD ELO'!$A$7:$O$22,5))</f>
        <v/>
      </c>
      <c r="E29" s="307"/>
      <c r="F29" s="308" t="str">
        <f>UPPER(IF($E29="","",VLOOKUP($E29,'[1]1MD ELO'!$A$7:$O$22,2)))</f>
        <v/>
      </c>
      <c r="G29" s="308" t="str">
        <f>IF($E29="","",VLOOKUP($E29,'[1]1MD ELO'!$A$7:$O$22,3))</f>
        <v/>
      </c>
      <c r="H29" s="308"/>
      <c r="I29" s="308" t="str">
        <f>IF($E29="","",VLOOKUP($E29,'[1]1MD ELO'!$A$7:$O$22,4))</f>
        <v/>
      </c>
      <c r="J29" s="337"/>
      <c r="K29" s="310"/>
      <c r="L29" s="310"/>
      <c r="M29" s="310"/>
      <c r="N29" s="335"/>
      <c r="O29" s="333"/>
      <c r="P29" s="335"/>
      <c r="Q29" s="313"/>
      <c r="R29" s="314"/>
      <c r="S29" s="315"/>
      <c r="T29" s="315"/>
      <c r="U29" s="315"/>
      <c r="V29" s="315"/>
    </row>
    <row r="30" spans="1:22" x14ac:dyDescent="0.25">
      <c r="A30" s="316"/>
      <c r="B30" s="317"/>
      <c r="C30" s="318"/>
      <c r="D30" s="318"/>
      <c r="E30" s="328"/>
      <c r="F30" s="310"/>
      <c r="G30" s="310"/>
      <c r="H30" s="338"/>
      <c r="I30" s="339"/>
      <c r="J30" s="329"/>
      <c r="K30" s="310"/>
      <c r="L30" s="310"/>
      <c r="M30" s="330" t="s">
        <v>382</v>
      </c>
      <c r="N30" s="331"/>
      <c r="O30" s="324" t="str">
        <f>UPPER(IF(OR(N30="a",N30="as"),M26,IF(OR(N30="b",N30="bs"),M34,)))</f>
        <v/>
      </c>
      <c r="P30" s="341"/>
      <c r="Q30" s="313"/>
      <c r="R30" s="314"/>
      <c r="S30" s="315"/>
      <c r="T30" s="315"/>
      <c r="U30" s="315"/>
      <c r="V30" s="315"/>
    </row>
    <row r="31" spans="1:22" x14ac:dyDescent="0.25">
      <c r="A31" s="316">
        <v>13</v>
      </c>
      <c r="B31" s="306" t="str">
        <f>IF($E31="","",VLOOKUP($E31,'[1]1MD ELO'!$A$7:$O$22,14))</f>
        <v/>
      </c>
      <c r="C31" s="245" t="str">
        <f>IF($E31="","",VLOOKUP($E31,'[1]1MD ELO'!$A$7:$O$22,15))</f>
        <v/>
      </c>
      <c r="D31" s="245" t="str">
        <f>IF($E31="","",VLOOKUP($E31,'[1]1MD ELO'!$A$7:$O$22,5))</f>
        <v/>
      </c>
      <c r="E31" s="307"/>
      <c r="F31" s="325" t="str">
        <f>UPPER(IF($E31="","",VLOOKUP($E31,'[1]1MD ELO'!$A$7:$O$22,2)))</f>
        <v/>
      </c>
      <c r="G31" s="325" t="str">
        <f>IF($E31="","",VLOOKUP($E31,'[1]1MD ELO'!$A$7:$O$22,3))</f>
        <v/>
      </c>
      <c r="H31" s="325"/>
      <c r="I31" s="325" t="str">
        <f>IF($E31="","",VLOOKUP($E31,'[1]1MD ELO'!$A$7:$O$22,4))</f>
        <v/>
      </c>
      <c r="J31" s="340"/>
      <c r="K31" s="310"/>
      <c r="L31" s="310"/>
      <c r="M31" s="310"/>
      <c r="N31" s="335"/>
      <c r="O31" s="310"/>
      <c r="P31" s="333"/>
      <c r="Q31" s="313"/>
      <c r="R31" s="314"/>
      <c r="S31" s="315"/>
      <c r="T31" s="315"/>
      <c r="U31" s="315"/>
      <c r="V31" s="315"/>
    </row>
    <row r="32" spans="1:22" x14ac:dyDescent="0.25">
      <c r="A32" s="316"/>
      <c r="B32" s="317"/>
      <c r="C32" s="318"/>
      <c r="D32" s="318"/>
      <c r="E32" s="328"/>
      <c r="F32" s="320"/>
      <c r="G32" s="320"/>
      <c r="H32" s="321"/>
      <c r="I32" s="330" t="s">
        <v>382</v>
      </c>
      <c r="J32" s="323"/>
      <c r="K32" s="324" t="s">
        <v>153</v>
      </c>
      <c r="L32" s="324"/>
      <c r="M32" s="310"/>
      <c r="N32" s="335"/>
      <c r="O32" s="333"/>
      <c r="P32" s="333"/>
      <c r="Q32" s="313"/>
      <c r="R32" s="314"/>
      <c r="S32" s="315"/>
      <c r="T32" s="315"/>
      <c r="U32" s="315"/>
      <c r="V32" s="315"/>
    </row>
    <row r="33" spans="1:22" x14ac:dyDescent="0.25">
      <c r="A33" s="316">
        <v>14</v>
      </c>
      <c r="B33" s="306" t="str">
        <f>IF($E33="","",VLOOKUP($E33,'[1]1MD ELO'!$A$7:$O$22,14))</f>
        <v/>
      </c>
      <c r="C33" s="245" t="str">
        <f>IF($E33="","",VLOOKUP($E33,'[1]1MD ELO'!$A$7:$O$22,15))</f>
        <v/>
      </c>
      <c r="D33" s="245" t="str">
        <f>IF($E33="","",VLOOKUP($E33,'[1]1MD ELO'!$A$7:$O$22,5))</f>
        <v/>
      </c>
      <c r="E33" s="307"/>
      <c r="F33" s="325" t="str">
        <f>UPPER(IF($E33="","",VLOOKUP($E33,'[1]1MD ELO'!$A$7:$O$22,2)))</f>
        <v/>
      </c>
      <c r="G33" s="325" t="str">
        <f>IF($E33="","",VLOOKUP($E33,'[1]1MD ELO'!$A$7:$O$22,3))</f>
        <v/>
      </c>
      <c r="H33" s="325"/>
      <c r="I33" s="325" t="str">
        <f>IF($E33="","",VLOOKUP($E33,'[1]1MD ELO'!$A$7:$O$22,4))</f>
        <v/>
      </c>
      <c r="J33" s="326"/>
      <c r="K33" s="310"/>
      <c r="L33" s="327"/>
      <c r="M33" s="310"/>
      <c r="N33" s="335"/>
      <c r="O33" s="333"/>
      <c r="P33" s="333"/>
      <c r="Q33" s="313"/>
      <c r="R33" s="314"/>
      <c r="S33" s="315"/>
      <c r="T33" s="315"/>
      <c r="U33" s="315"/>
      <c r="V33" s="315"/>
    </row>
    <row r="34" spans="1:22" x14ac:dyDescent="0.25">
      <c r="A34" s="316"/>
      <c r="B34" s="317"/>
      <c r="C34" s="318"/>
      <c r="D34" s="318"/>
      <c r="E34" s="328"/>
      <c r="F34" s="320"/>
      <c r="G34" s="320"/>
      <c r="H34" s="321"/>
      <c r="I34" s="310"/>
      <c r="J34" s="329"/>
      <c r="K34" s="330" t="s">
        <v>382</v>
      </c>
      <c r="L34" s="331"/>
      <c r="M34" s="324" t="str">
        <f>UPPER(IF(OR(L34="a",L34="as"),K32,IF(OR(L34="b",L34="bs"),K36,)))</f>
        <v/>
      </c>
      <c r="N34" s="341"/>
      <c r="O34" s="333"/>
      <c r="P34" s="333"/>
      <c r="Q34" s="313"/>
      <c r="R34" s="314"/>
      <c r="S34" s="315"/>
      <c r="T34" s="315"/>
      <c r="U34" s="315"/>
      <c r="V34" s="315"/>
    </row>
    <row r="35" spans="1:22" x14ac:dyDescent="0.25">
      <c r="A35" s="316">
        <v>15</v>
      </c>
      <c r="B35" s="306" t="str">
        <f>IF($E35="","",VLOOKUP($E35,'[1]1MD ELO'!$A$7:$O$22,14))</f>
        <v/>
      </c>
      <c r="C35" s="245" t="str">
        <f>IF($E35="","",VLOOKUP($E35,'[1]1MD ELO'!$A$7:$O$22,15))</f>
        <v/>
      </c>
      <c r="D35" s="245" t="str">
        <f>IF($E35="","",VLOOKUP($E35,'[1]1MD ELO'!$A$7:$O$22,5))</f>
        <v/>
      </c>
      <c r="E35" s="307"/>
      <c r="F35" s="325" t="str">
        <f>UPPER(IF($E35="","",VLOOKUP($E35,'[1]1MD ELO'!$A$7:$O$22,2)))</f>
        <v/>
      </c>
      <c r="G35" s="325" t="str">
        <f>IF($E35="","",VLOOKUP($E35,'[1]1MD ELO'!$A$7:$O$22,3))</f>
        <v/>
      </c>
      <c r="H35" s="325"/>
      <c r="I35" s="325" t="str">
        <f>IF($E35="","",VLOOKUP($E35,'[1]1MD ELO'!$A$7:$O$22,4))</f>
        <v/>
      </c>
      <c r="J35" s="309"/>
      <c r="K35" s="310"/>
      <c r="L35" s="334"/>
      <c r="M35" s="310"/>
      <c r="N35" s="333"/>
      <c r="O35" s="333"/>
      <c r="P35" s="333"/>
      <c r="Q35" s="313"/>
      <c r="R35" s="314"/>
      <c r="S35" s="315"/>
      <c r="T35" s="315"/>
      <c r="U35" s="315"/>
      <c r="V35" s="315"/>
    </row>
    <row r="36" spans="1:22" x14ac:dyDescent="0.25">
      <c r="A36" s="316"/>
      <c r="B36" s="317"/>
      <c r="C36" s="318"/>
      <c r="D36" s="318"/>
      <c r="E36" s="319"/>
      <c r="F36" s="320"/>
      <c r="G36" s="320"/>
      <c r="H36" s="321"/>
      <c r="I36" s="330" t="s">
        <v>382</v>
      </c>
      <c r="J36" s="323"/>
      <c r="K36" s="324" t="s">
        <v>161</v>
      </c>
      <c r="L36" s="336"/>
      <c r="M36" s="310"/>
      <c r="N36" s="333"/>
      <c r="O36" s="333"/>
      <c r="P36" s="333"/>
      <c r="Q36" s="313"/>
      <c r="R36" s="314"/>
      <c r="S36" s="315"/>
      <c r="T36" s="315"/>
      <c r="U36" s="315"/>
      <c r="V36" s="315"/>
    </row>
    <row r="37" spans="1:22" x14ac:dyDescent="0.25">
      <c r="A37" s="305">
        <v>16</v>
      </c>
      <c r="B37" s="306" t="str">
        <f>IF($E37="","",VLOOKUP($E37,'[1]1MD ELO'!$A$7:$O$22,14))</f>
        <v/>
      </c>
      <c r="C37" s="245" t="str">
        <f>IF($E37="","",VLOOKUP($E37,'[1]1MD ELO'!$A$7:$O$22,15))</f>
        <v/>
      </c>
      <c r="D37" s="245" t="str">
        <f>IF($E37="","",VLOOKUP($E37,'[1]1MD ELO'!$A$7:$O$22,5))</f>
        <v/>
      </c>
      <c r="E37" s="307"/>
      <c r="F37" s="308" t="str">
        <f>UPPER(IF($E37="","",VLOOKUP($E37,'[1]1MD ELO'!$A$7:$O$22,2)))</f>
        <v/>
      </c>
      <c r="G37" s="308" t="str">
        <f>IF($E37="","",VLOOKUP($E37,'[1]1MD ELO'!$A$7:$O$22,3))</f>
        <v/>
      </c>
      <c r="H37" s="325"/>
      <c r="I37" s="308" t="str">
        <f>IF($E37="","",VLOOKUP($E37,'[1]1MD ELO'!$A$7:$O$22,4))</f>
        <v/>
      </c>
      <c r="J37" s="337"/>
      <c r="K37" s="310"/>
      <c r="L37" s="310"/>
      <c r="M37" s="310"/>
      <c r="N37" s="333"/>
      <c r="O37" s="333"/>
      <c r="P37" s="333"/>
      <c r="Q37" s="313"/>
      <c r="R37" s="314"/>
      <c r="S37" s="315"/>
      <c r="T37" s="315"/>
      <c r="U37" s="315"/>
      <c r="V37" s="315"/>
    </row>
    <row r="38" spans="1:22" x14ac:dyDescent="0.25">
      <c r="A38" s="316"/>
      <c r="B38" s="319"/>
      <c r="C38" s="319"/>
      <c r="D38" s="319"/>
      <c r="E38" s="319"/>
      <c r="F38" s="339"/>
      <c r="G38" s="339"/>
      <c r="H38" s="342"/>
      <c r="I38" s="310"/>
      <c r="J38" s="329"/>
      <c r="K38" s="310"/>
      <c r="L38" s="310"/>
      <c r="M38" s="310"/>
      <c r="N38" s="333"/>
      <c r="O38" s="333"/>
      <c r="P38" s="333"/>
      <c r="Q38" s="313"/>
      <c r="R38" s="314"/>
      <c r="S38" s="315"/>
      <c r="T38" s="315"/>
      <c r="U38" s="315"/>
      <c r="V38" s="315"/>
    </row>
    <row r="39" spans="1:22" x14ac:dyDescent="0.25">
      <c r="A39" s="305"/>
      <c r="B39" s="311"/>
      <c r="C39" s="311"/>
      <c r="D39" s="311"/>
      <c r="E39" s="319"/>
      <c r="F39" s="311"/>
      <c r="G39" s="311"/>
      <c r="H39" s="311"/>
      <c r="I39" s="311"/>
      <c r="J39" s="319"/>
      <c r="K39" s="311"/>
      <c r="L39" s="311"/>
      <c r="M39" s="311"/>
      <c r="N39" s="313"/>
      <c r="O39" s="313"/>
      <c r="P39" s="313"/>
      <c r="Q39" s="313"/>
      <c r="R39" s="314"/>
      <c r="S39" s="315"/>
      <c r="T39" s="315"/>
      <c r="U39" s="315"/>
      <c r="V39" s="315"/>
    </row>
    <row r="40" spans="1:22" x14ac:dyDescent="0.25">
      <c r="A40" s="316"/>
      <c r="B40" s="319"/>
      <c r="C40" s="319"/>
      <c r="D40" s="319"/>
      <c r="E40" s="319"/>
      <c r="F40" s="311"/>
      <c r="G40" s="311"/>
      <c r="H40" s="315"/>
      <c r="I40" s="311"/>
      <c r="J40" s="319"/>
      <c r="K40" s="311"/>
      <c r="L40" s="311"/>
      <c r="M40" s="344"/>
      <c r="N40" s="319"/>
      <c r="O40" s="311"/>
      <c r="P40" s="313"/>
      <c r="Q40" s="313"/>
      <c r="R40" s="314"/>
      <c r="S40" s="315"/>
      <c r="T40" s="315"/>
      <c r="U40" s="315"/>
      <c r="V40" s="315"/>
    </row>
    <row r="41" spans="1:22" x14ac:dyDescent="0.25">
      <c r="A41" s="316"/>
      <c r="B41" s="311"/>
      <c r="C41" s="311"/>
      <c r="D41" s="311"/>
      <c r="E41" s="319"/>
      <c r="F41" s="311"/>
      <c r="G41" s="311"/>
      <c r="H41" s="311"/>
      <c r="I41" s="311"/>
      <c r="J41" s="319"/>
      <c r="K41" s="311"/>
      <c r="L41" s="311"/>
      <c r="M41" s="311"/>
      <c r="N41" s="313"/>
      <c r="O41" s="311"/>
      <c r="P41" s="313"/>
      <c r="Q41" s="313"/>
      <c r="R41" s="314"/>
      <c r="S41" s="315"/>
      <c r="T41" s="315"/>
      <c r="U41" s="315"/>
      <c r="V41" s="315"/>
    </row>
    <row r="42" spans="1:22" x14ac:dyDescent="0.25">
      <c r="A42" s="316"/>
      <c r="B42" s="319"/>
      <c r="C42" s="319"/>
      <c r="D42" s="319"/>
      <c r="E42" s="319"/>
      <c r="F42" s="311"/>
      <c r="G42" s="311"/>
      <c r="H42" s="315"/>
      <c r="I42" s="344"/>
      <c r="J42" s="319"/>
      <c r="K42" s="311"/>
      <c r="L42" s="311"/>
      <c r="M42" s="311"/>
      <c r="N42" s="313"/>
      <c r="O42" s="313"/>
      <c r="P42" s="313"/>
      <c r="Q42" s="313"/>
      <c r="R42" s="314"/>
      <c r="S42" s="315"/>
      <c r="T42" s="315"/>
      <c r="U42" s="315"/>
      <c r="V42" s="315"/>
    </row>
    <row r="43" spans="1:22" x14ac:dyDescent="0.25">
      <c r="A43" s="316"/>
      <c r="B43" s="311"/>
      <c r="C43" s="311"/>
      <c r="D43" s="311"/>
      <c r="E43" s="319"/>
      <c r="F43" s="311"/>
      <c r="G43" s="311"/>
      <c r="H43" s="311"/>
      <c r="I43" s="311"/>
      <c r="J43" s="319"/>
      <c r="K43" s="311"/>
      <c r="L43" s="345"/>
      <c r="M43" s="311"/>
      <c r="N43" s="313"/>
      <c r="O43" s="313"/>
      <c r="P43" s="313"/>
      <c r="Q43" s="313"/>
      <c r="R43" s="314"/>
      <c r="S43" s="315"/>
      <c r="T43" s="315"/>
      <c r="U43" s="315"/>
      <c r="V43" s="315"/>
    </row>
    <row r="44" spans="1:22" x14ac:dyDescent="0.25">
      <c r="A44" s="316"/>
      <c r="B44" s="319"/>
      <c r="C44" s="319"/>
      <c r="D44" s="319"/>
      <c r="E44" s="319"/>
      <c r="F44" s="311"/>
      <c r="G44" s="311"/>
      <c r="H44" s="315"/>
      <c r="I44" s="311"/>
      <c r="J44" s="319"/>
      <c r="K44" s="344"/>
      <c r="L44" s="319"/>
      <c r="M44" s="311"/>
      <c r="N44" s="313"/>
      <c r="O44" s="313"/>
      <c r="P44" s="313"/>
      <c r="Q44" s="313"/>
      <c r="R44" s="314"/>
      <c r="S44" s="315"/>
      <c r="T44" s="315"/>
      <c r="U44" s="315"/>
      <c r="V44" s="315"/>
    </row>
    <row r="45" spans="1:22" x14ac:dyDescent="0.25">
      <c r="A45" s="316"/>
      <c r="B45" s="311"/>
      <c r="C45" s="311"/>
      <c r="D45" s="311"/>
      <c r="E45" s="319"/>
      <c r="F45" s="311"/>
      <c r="G45" s="311"/>
      <c r="H45" s="311"/>
      <c r="I45" s="311"/>
      <c r="J45" s="319"/>
      <c r="K45" s="311"/>
      <c r="L45" s="311"/>
      <c r="M45" s="311"/>
      <c r="N45" s="313"/>
      <c r="O45" s="313"/>
      <c r="P45" s="313"/>
      <c r="Q45" s="313"/>
      <c r="R45" s="314"/>
      <c r="S45" s="315"/>
      <c r="T45" s="315"/>
      <c r="U45" s="315"/>
      <c r="V45" s="315"/>
    </row>
    <row r="46" spans="1:22" x14ac:dyDescent="0.25">
      <c r="A46" s="316"/>
      <c r="B46" s="319"/>
      <c r="C46" s="319"/>
      <c r="D46" s="319"/>
      <c r="E46" s="319"/>
      <c r="F46" s="311"/>
      <c r="G46" s="311"/>
      <c r="H46" s="315"/>
      <c r="I46" s="344"/>
      <c r="J46" s="319"/>
      <c r="K46" s="311"/>
      <c r="L46" s="311"/>
      <c r="M46" s="311"/>
      <c r="N46" s="313"/>
      <c r="O46" s="313"/>
      <c r="P46" s="313"/>
      <c r="Q46" s="313"/>
      <c r="R46" s="314"/>
      <c r="S46" s="315"/>
      <c r="T46" s="315"/>
      <c r="U46" s="315"/>
      <c r="V46" s="315"/>
    </row>
    <row r="47" spans="1:22" x14ac:dyDescent="0.25">
      <c r="A47" s="305"/>
      <c r="B47" s="311"/>
      <c r="C47" s="311"/>
      <c r="D47" s="311"/>
      <c r="E47" s="319"/>
      <c r="F47" s="311"/>
      <c r="G47" s="311"/>
      <c r="H47" s="311"/>
      <c r="I47" s="311"/>
      <c r="J47" s="319"/>
      <c r="K47" s="311"/>
      <c r="L47" s="311"/>
      <c r="M47" s="311"/>
      <c r="N47" s="311"/>
      <c r="O47" s="311"/>
      <c r="P47" s="311"/>
      <c r="Q47" s="313"/>
      <c r="R47" s="314"/>
      <c r="S47" s="315"/>
      <c r="T47" s="315"/>
      <c r="U47" s="315"/>
      <c r="V47" s="315"/>
    </row>
    <row r="48" spans="1:22" ht="17.399999999999999" x14ac:dyDescent="0.25">
      <c r="A48" s="346"/>
      <c r="B48" s="346"/>
      <c r="C48" s="346"/>
      <c r="D48" s="346"/>
      <c r="E48" s="346"/>
      <c r="F48" s="347"/>
      <c r="G48" s="347"/>
      <c r="H48" s="347"/>
      <c r="I48" s="347"/>
      <c r="J48" s="348"/>
      <c r="K48" s="347"/>
      <c r="L48" s="349"/>
      <c r="M48" s="347"/>
      <c r="N48" s="349"/>
      <c r="O48" s="347"/>
      <c r="P48" s="349"/>
      <c r="Q48" s="347"/>
      <c r="R48" s="349"/>
      <c r="S48" s="350"/>
      <c r="T48" s="350"/>
      <c r="U48" s="350"/>
      <c r="V48" s="350"/>
    </row>
    <row r="49" spans="1:22" x14ac:dyDescent="0.25">
      <c r="A49" s="251" t="s">
        <v>22</v>
      </c>
      <c r="B49" s="252"/>
      <c r="C49" s="252"/>
      <c r="D49" s="253"/>
      <c r="E49" s="351" t="s">
        <v>0</v>
      </c>
      <c r="F49" s="352" t="s">
        <v>24</v>
      </c>
      <c r="G49" s="351"/>
      <c r="H49" s="353"/>
      <c r="I49" s="354"/>
      <c r="J49" s="351" t="s">
        <v>0</v>
      </c>
      <c r="K49" s="352" t="s">
        <v>31</v>
      </c>
      <c r="L49" s="355"/>
      <c r="M49" s="352" t="s">
        <v>32</v>
      </c>
      <c r="N49" s="356"/>
      <c r="O49" s="357" t="s">
        <v>33</v>
      </c>
      <c r="P49" s="357"/>
      <c r="Q49" s="357"/>
      <c r="R49" s="356"/>
      <c r="S49" s="265"/>
      <c r="T49" s="265"/>
      <c r="U49" s="265"/>
      <c r="V49" s="265"/>
    </row>
    <row r="50" spans="1:22" x14ac:dyDescent="0.25">
      <c r="A50" s="255" t="s">
        <v>23</v>
      </c>
      <c r="B50" s="256"/>
      <c r="C50" s="358"/>
      <c r="D50" s="257"/>
      <c r="E50" s="294">
        <v>1</v>
      </c>
      <c r="F50" s="265" t="str">
        <f>IF(E50&gt;$R$57,,UPPER(VLOOKUP(E50,'[1]1MD ELO'!$A$7:$Q$134,2)))</f>
        <v/>
      </c>
      <c r="G50" s="294"/>
      <c r="H50" s="265"/>
      <c r="I50" s="264"/>
      <c r="J50" s="359" t="s">
        <v>1</v>
      </c>
      <c r="K50" s="263"/>
      <c r="L50" s="259"/>
      <c r="M50" s="263"/>
      <c r="N50" s="360"/>
      <c r="O50" s="258" t="s">
        <v>25</v>
      </c>
      <c r="P50" s="361"/>
      <c r="Q50" s="361"/>
      <c r="R50" s="360"/>
      <c r="S50" s="265"/>
      <c r="T50" s="265"/>
      <c r="U50" s="265"/>
      <c r="V50" s="265"/>
    </row>
    <row r="51" spans="1:22" x14ac:dyDescent="0.25">
      <c r="A51" s="260" t="s">
        <v>30</v>
      </c>
      <c r="B51" s="261"/>
      <c r="C51" s="362"/>
      <c r="D51" s="262"/>
      <c r="E51" s="294">
        <v>2</v>
      </c>
      <c r="F51" s="265" t="str">
        <f>IF(E51&gt;$R$57,,UPPER(VLOOKUP(E51,'[1]1MD ELO'!$A$7:$Q$134,2)))</f>
        <v/>
      </c>
      <c r="G51" s="294"/>
      <c r="H51" s="265"/>
      <c r="I51" s="264"/>
      <c r="J51" s="359" t="s">
        <v>2</v>
      </c>
      <c r="K51" s="263"/>
      <c r="L51" s="259"/>
      <c r="M51" s="263"/>
      <c r="N51" s="360"/>
      <c r="O51" s="275"/>
      <c r="P51" s="276"/>
      <c r="Q51" s="261"/>
      <c r="R51" s="363"/>
      <c r="S51" s="265"/>
      <c r="T51" s="265"/>
      <c r="U51" s="265"/>
      <c r="V51" s="265"/>
    </row>
    <row r="52" spans="1:22" x14ac:dyDescent="0.25">
      <c r="A52" s="255"/>
      <c r="B52" s="256"/>
      <c r="C52" s="358"/>
      <c r="D52" s="257"/>
      <c r="E52" s="294">
        <v>3</v>
      </c>
      <c r="F52" s="265" t="str">
        <f>IF(E52&gt;$R$57,,UPPER(VLOOKUP(E52,'[1]1MD ELO'!$A$7:$Q$134,2)))</f>
        <v/>
      </c>
      <c r="G52" s="294"/>
      <c r="H52" s="265"/>
      <c r="I52" s="264"/>
      <c r="J52" s="359" t="s">
        <v>3</v>
      </c>
      <c r="K52" s="263"/>
      <c r="L52" s="259"/>
      <c r="M52" s="263"/>
      <c r="N52" s="360"/>
      <c r="O52" s="258" t="s">
        <v>26</v>
      </c>
      <c r="P52" s="361"/>
      <c r="Q52" s="361"/>
      <c r="R52" s="360"/>
      <c r="S52" s="265"/>
      <c r="T52" s="265"/>
      <c r="U52" s="265"/>
      <c r="V52" s="265"/>
    </row>
    <row r="53" spans="1:22" x14ac:dyDescent="0.25">
      <c r="A53" s="266"/>
      <c r="B53" s="267"/>
      <c r="C53" s="267"/>
      <c r="D53" s="268"/>
      <c r="E53" s="294">
        <v>4</v>
      </c>
      <c r="F53" s="265" t="str">
        <f>IF(E53&gt;$R$57,,UPPER(VLOOKUP(E53,'[1]1MD ELO'!$A$7:$Q$134,2)))</f>
        <v/>
      </c>
      <c r="G53" s="294"/>
      <c r="H53" s="265"/>
      <c r="I53" s="264"/>
      <c r="J53" s="359" t="s">
        <v>4</v>
      </c>
      <c r="K53" s="263"/>
      <c r="L53" s="259"/>
      <c r="M53" s="263"/>
      <c r="N53" s="360"/>
      <c r="O53" s="263"/>
      <c r="P53" s="259"/>
      <c r="Q53" s="263"/>
      <c r="R53" s="360"/>
      <c r="S53" s="265"/>
      <c r="T53" s="265"/>
      <c r="U53" s="265"/>
      <c r="V53" s="265"/>
    </row>
    <row r="54" spans="1:22" x14ac:dyDescent="0.25">
      <c r="A54" s="270"/>
      <c r="B54" s="271"/>
      <c r="C54" s="271"/>
      <c r="D54" s="272"/>
      <c r="E54" s="294"/>
      <c r="F54" s="265"/>
      <c r="G54" s="294"/>
      <c r="H54" s="265"/>
      <c r="I54" s="264"/>
      <c r="J54" s="359" t="s">
        <v>5</v>
      </c>
      <c r="K54" s="263"/>
      <c r="L54" s="259"/>
      <c r="M54" s="263"/>
      <c r="N54" s="360"/>
      <c r="O54" s="261"/>
      <c r="P54" s="276"/>
      <c r="Q54" s="261"/>
      <c r="R54" s="363"/>
      <c r="S54" s="265"/>
      <c r="T54" s="265"/>
      <c r="U54" s="265"/>
      <c r="V54" s="265"/>
    </row>
    <row r="55" spans="1:22" x14ac:dyDescent="0.25">
      <c r="A55" s="269"/>
      <c r="B55" s="263"/>
      <c r="C55" s="267"/>
      <c r="D55" s="268"/>
      <c r="E55" s="294"/>
      <c r="F55" s="265"/>
      <c r="G55" s="294"/>
      <c r="H55" s="265"/>
      <c r="I55" s="264"/>
      <c r="J55" s="359" t="s">
        <v>6</v>
      </c>
      <c r="K55" s="263"/>
      <c r="L55" s="259"/>
      <c r="M55" s="263"/>
      <c r="N55" s="360"/>
      <c r="O55" s="258" t="s">
        <v>21</v>
      </c>
      <c r="P55" s="361"/>
      <c r="Q55" s="361"/>
      <c r="R55" s="360"/>
      <c r="S55" s="265"/>
      <c r="T55" s="265"/>
      <c r="U55" s="265"/>
      <c r="V55" s="265"/>
    </row>
    <row r="56" spans="1:22" x14ac:dyDescent="0.25">
      <c r="A56" s="269"/>
      <c r="B56" s="263"/>
      <c r="C56" s="344"/>
      <c r="D56" s="273"/>
      <c r="E56" s="294"/>
      <c r="F56" s="265"/>
      <c r="G56" s="294"/>
      <c r="H56" s="265"/>
      <c r="I56" s="264"/>
      <c r="J56" s="359" t="s">
        <v>7</v>
      </c>
      <c r="K56" s="263"/>
      <c r="L56" s="259"/>
      <c r="M56" s="263"/>
      <c r="N56" s="360"/>
      <c r="O56" s="263"/>
      <c r="P56" s="259"/>
      <c r="Q56" s="263"/>
      <c r="R56" s="360"/>
      <c r="S56" s="265"/>
      <c r="T56" s="265"/>
      <c r="U56" s="265"/>
      <c r="V56" s="265"/>
    </row>
    <row r="57" spans="1:22" x14ac:dyDescent="0.25">
      <c r="A57" s="260"/>
      <c r="B57" s="261"/>
      <c r="C57" s="364"/>
      <c r="D57" s="274"/>
      <c r="E57" s="365"/>
      <c r="F57" s="275"/>
      <c r="G57" s="365"/>
      <c r="H57" s="275"/>
      <c r="I57" s="277"/>
      <c r="J57" s="366" t="s">
        <v>8</v>
      </c>
      <c r="K57" s="261"/>
      <c r="L57" s="276"/>
      <c r="M57" s="261"/>
      <c r="N57" s="363"/>
      <c r="O57" s="261" t="str">
        <f>R4</f>
        <v>Gyenes Imre</v>
      </c>
      <c r="P57" s="276"/>
      <c r="Q57" s="261"/>
      <c r="R57" s="367">
        <f>MIN(4,'[1]1MD ELO'!Q5)</f>
        <v>4</v>
      </c>
      <c r="S57" s="265"/>
      <c r="T57" s="265"/>
      <c r="U57" s="265"/>
      <c r="V57" s="265"/>
    </row>
    <row r="58" spans="1:22" x14ac:dyDescent="0.25">
      <c r="A58" s="228"/>
      <c r="B58" s="228"/>
      <c r="C58" s="228"/>
      <c r="D58" s="228"/>
      <c r="E58" s="228"/>
      <c r="F58" s="228"/>
      <c r="G58" s="228"/>
      <c r="H58" s="228"/>
      <c r="I58" s="228"/>
      <c r="J58" s="368"/>
      <c r="K58" s="228"/>
      <c r="L58" s="368"/>
      <c r="M58" s="228"/>
      <c r="N58" s="369"/>
      <c r="O58" s="228"/>
      <c r="P58" s="368"/>
      <c r="Q58" s="228"/>
      <c r="R58" s="369"/>
      <c r="S58" s="228"/>
      <c r="T58" s="228"/>
      <c r="U58" s="228"/>
      <c r="V58" s="228"/>
    </row>
    <row r="59" spans="1:22" x14ac:dyDescent="0.25">
      <c r="A59" s="228"/>
      <c r="B59" s="228"/>
      <c r="C59" s="228"/>
      <c r="D59" s="228"/>
      <c r="E59" s="228"/>
      <c r="F59" s="228"/>
      <c r="G59" s="228"/>
      <c r="H59" s="228"/>
      <c r="I59" s="228"/>
      <c r="J59" s="368"/>
      <c r="K59" s="228"/>
      <c r="L59" s="368"/>
      <c r="M59" s="228"/>
      <c r="N59" s="369"/>
      <c r="O59" s="228"/>
      <c r="P59" s="368"/>
      <c r="Q59" s="228"/>
      <c r="R59" s="369"/>
      <c r="S59" s="228"/>
      <c r="T59" s="228"/>
      <c r="U59" s="228"/>
      <c r="V59" s="228"/>
    </row>
    <row r="60" spans="1:22" x14ac:dyDescent="0.25">
      <c r="J60" s="283"/>
      <c r="L60" s="283"/>
      <c r="N60" s="284"/>
      <c r="P60" s="283"/>
      <c r="R60" s="284"/>
    </row>
    <row r="61" spans="1:22" x14ac:dyDescent="0.25">
      <c r="J61" s="283"/>
      <c r="L61" s="283"/>
      <c r="N61" s="284"/>
      <c r="P61" s="283"/>
      <c r="R61" s="284"/>
    </row>
    <row r="62" spans="1:22" x14ac:dyDescent="0.25">
      <c r="J62" s="283"/>
      <c r="L62" s="283"/>
      <c r="N62" s="284"/>
      <c r="P62" s="283"/>
      <c r="R62" s="284"/>
    </row>
  </sheetData>
  <mergeCells count="1">
    <mergeCell ref="A4:C4"/>
  </mergeCells>
  <conditionalFormatting sqref="B39 B41 B43 B45 B47">
    <cfRule type="cellIs" dxfId="39" priority="10" stopIfTrue="1" operator="equal">
      <formula>"QA"</formula>
    </cfRule>
    <cfRule type="cellIs" dxfId="38" priority="11" stopIfTrue="1" operator="equal">
      <formula>"DA"</formula>
    </cfRule>
  </conditionalFormatting>
  <conditionalFormatting sqref="E7 E9 E11 E13 E15 E17 E19 E21 E23 E25 E27 E29 E31 E33 E35 E37">
    <cfRule type="expression" dxfId="37" priority="13" stopIfTrue="1">
      <formula>$E7&lt;5</formula>
    </cfRule>
  </conditionalFormatting>
  <conditionalFormatting sqref="E39 E41 E43 E45 E47">
    <cfRule type="expression" dxfId="36" priority="5" stopIfTrue="1">
      <formula>AND($E39&lt;9,$C39&gt;0)</formula>
    </cfRule>
  </conditionalFormatting>
  <conditionalFormatting sqref="F7 F9 F11 F13 F15 F17 F19 F21 F23 F25 F27 F29 F31 F33 F35 F37">
    <cfRule type="cellIs" dxfId="35" priority="14" stopIfTrue="1" operator="equal">
      <formula>"Bye"</formula>
    </cfRule>
  </conditionalFormatting>
  <conditionalFormatting sqref="F39 F41 F43 F45 F47">
    <cfRule type="cellIs" dxfId="34" priority="6" stopIfTrue="1" operator="equal">
      <formula>"Bye"</formula>
    </cfRule>
    <cfRule type="expression" dxfId="33" priority="7" stopIfTrue="1">
      <formula>AND($E39&lt;9,$C39&gt;0)</formula>
    </cfRule>
  </conditionalFormatting>
  <conditionalFormatting sqref="H7 H9 H11 H13 H15 H17 H19 H21 H23 H25 H27 H29 H31 H33 H35 H37 G39:I39 G41:I41 G43:I43 G45:I45 G47:I47">
    <cfRule type="expression" dxfId="32" priority="1" stopIfTrue="1">
      <formula>AND($E7&lt;9,$C7&gt;0)</formula>
    </cfRule>
  </conditionalFormatting>
  <conditionalFormatting sqref="I8 K10 I12 M14 I16 K18 I20 O22 I24 K26 I28 M30 I32 K34 I36 M40 I42 K44 I46">
    <cfRule type="expression" dxfId="31" priority="2" stopIfTrue="1">
      <formula>AND($O$1="CU",I8="Umpire")</formula>
    </cfRule>
    <cfRule type="expression" dxfId="30" priority="3" stopIfTrue="1">
      <formula>AND($O$1="CU",I8&lt;&gt;"Umpire",J8&lt;&gt;"")</formula>
    </cfRule>
    <cfRule type="expression" dxfId="29" priority="4" stopIfTrue="1">
      <formula>AND($O$1="CU",I8&lt;&gt;"Umpire")</formula>
    </cfRule>
  </conditionalFormatting>
  <conditionalFormatting sqref="J8 L10 J12 N14 J16 L18 J20 P22 J24 L26 J28 N30 J32 L34 J36 R57">
    <cfRule type="expression" dxfId="28" priority="12" stopIfTrue="1">
      <formula>$O$1="CU"</formula>
    </cfRule>
  </conditionalFormatting>
  <conditionalFormatting sqref="K8 M10 K12 O14 K16 M18 K20 Q22 K24 M26 K28 O30 K32 M34 K36 O40 K42 M44 K46">
    <cfRule type="expression" dxfId="27" priority="8" stopIfTrue="1">
      <formula>J8="as"</formula>
    </cfRule>
    <cfRule type="expression" dxfId="26" priority="9" stopIfTrue="1">
      <formula>J8="bs"</formula>
    </cfRule>
  </conditionalFormatting>
  <dataValidations count="1">
    <dataValidation type="list" allowBlank="1" showInputMessage="1" sqref="I46 I42 K44 M40 I8 M14 K10 K18 K26 K34 M30 I12 I36 O22 I16 I32 I24 I20 I28" xr:uid="{E0D636A8-75BC-4355-B164-2F3EA0358D8F}">
      <formula1>$U$7:$U$16</formula1>
    </dataValidation>
  </dataValidations>
  <pageMargins left="0.7" right="0.7" top="0.75" bottom="0.75" header="0.3" footer="0.3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4E725-4532-4CF5-9AEF-E7B6855FEB2A}">
  <sheetPr>
    <tabColor indexed="11"/>
  </sheetPr>
  <dimension ref="A1:R41"/>
  <sheetViews>
    <sheetView workbookViewId="0">
      <selection activeCell="K18" sqref="K18"/>
    </sheetView>
  </sheetViews>
  <sheetFormatPr defaultRowHeight="13.2" x14ac:dyDescent="0.25"/>
  <sheetData>
    <row r="1" spans="1:18" ht="24.6" x14ac:dyDescent="0.25">
      <c r="A1" s="414" t="str">
        <f>Altalanos!$A$6</f>
        <v>Tenisz Diákolimpia B-A-Z. Vármegyei Döntő</v>
      </c>
      <c r="B1" s="414"/>
      <c r="C1" s="414"/>
      <c r="D1" s="414"/>
      <c r="E1" s="414"/>
      <c r="F1" s="414"/>
      <c r="G1" s="79"/>
      <c r="H1" s="82" t="s">
        <v>29</v>
      </c>
      <c r="I1" s="80"/>
      <c r="J1" s="81"/>
      <c r="L1" s="83"/>
      <c r="M1" s="84"/>
      <c r="N1" s="41"/>
      <c r="O1" s="41" t="s">
        <v>9</v>
      </c>
      <c r="P1" s="41"/>
      <c r="Q1" s="40"/>
      <c r="R1" s="41"/>
    </row>
    <row r="2" spans="1:18" x14ac:dyDescent="0.25">
      <c r="A2" s="85" t="s">
        <v>28</v>
      </c>
      <c r="B2" s="86"/>
      <c r="C2" s="86"/>
      <c r="D2" s="86"/>
      <c r="E2" s="185" t="str">
        <f>Altalanos!$D$8</f>
        <v>VI.-VII.</v>
      </c>
      <c r="F2" s="86"/>
      <c r="G2" s="87"/>
      <c r="H2" s="88"/>
      <c r="I2" s="88"/>
      <c r="J2" s="89"/>
      <c r="K2" s="83"/>
      <c r="L2" s="83"/>
      <c r="M2" s="83"/>
      <c r="N2" s="42"/>
      <c r="O2" s="39"/>
      <c r="P2" s="42"/>
      <c r="Q2" s="39"/>
      <c r="R2" s="42"/>
    </row>
    <row r="3" spans="1:18" x14ac:dyDescent="0.25">
      <c r="A3" s="34" t="s">
        <v>16</v>
      </c>
      <c r="B3" s="34"/>
      <c r="C3" s="34"/>
      <c r="D3" s="34"/>
      <c r="E3" s="34" t="s">
        <v>14</v>
      </c>
      <c r="F3" s="34"/>
      <c r="G3" s="34"/>
      <c r="H3" s="34" t="s">
        <v>18</v>
      </c>
      <c r="I3" s="34"/>
      <c r="J3" s="43"/>
      <c r="K3" s="34"/>
      <c r="L3" s="35" t="s">
        <v>19</v>
      </c>
      <c r="M3" s="34"/>
      <c r="N3" s="112"/>
      <c r="O3" s="111"/>
      <c r="P3" s="112"/>
      <c r="Q3" s="153" t="s">
        <v>52</v>
      </c>
      <c r="R3" s="154" t="s">
        <v>58</v>
      </c>
    </row>
    <row r="4" spans="1:18" ht="13.8" thickBot="1" x14ac:dyDescent="0.3">
      <c r="A4" s="417" t="str">
        <f>Altalanos!$A$10</f>
        <v>2024.05.02-03.</v>
      </c>
      <c r="B4" s="417"/>
      <c r="C4" s="417"/>
      <c r="D4" s="90"/>
      <c r="E4" s="91" t="str">
        <f>Altalanos!$C$10</f>
        <v>Kazincbarcika</v>
      </c>
      <c r="F4" s="91"/>
      <c r="G4" s="91"/>
      <c r="H4" s="93" t="s">
        <v>39</v>
      </c>
      <c r="I4" s="91"/>
      <c r="J4" s="92"/>
      <c r="K4" s="93"/>
      <c r="L4" s="94">
        <f>Altalanos!$E$10</f>
        <v>0</v>
      </c>
      <c r="M4" s="93"/>
      <c r="N4" s="114"/>
      <c r="O4" s="115"/>
      <c r="P4" s="114"/>
      <c r="Q4" s="155" t="s">
        <v>59</v>
      </c>
      <c r="R4" s="156" t="s">
        <v>54</v>
      </c>
    </row>
    <row r="5" spans="1:18" x14ac:dyDescent="0.25">
      <c r="A5" s="29"/>
      <c r="B5" s="29" t="s">
        <v>27</v>
      </c>
      <c r="C5" s="107" t="s">
        <v>36</v>
      </c>
      <c r="D5" s="29" t="s">
        <v>22</v>
      </c>
      <c r="E5" s="29" t="s">
        <v>41</v>
      </c>
      <c r="F5" s="29"/>
      <c r="G5" s="29" t="s">
        <v>17</v>
      </c>
      <c r="H5" s="29"/>
      <c r="I5" s="29" t="s">
        <v>20</v>
      </c>
      <c r="J5" s="29"/>
      <c r="K5" s="140" t="s">
        <v>42</v>
      </c>
      <c r="L5" s="140" t="s">
        <v>43</v>
      </c>
      <c r="M5" s="140" t="s">
        <v>44</v>
      </c>
      <c r="Q5" s="157" t="s">
        <v>60</v>
      </c>
      <c r="R5" s="158" t="s">
        <v>56</v>
      </c>
    </row>
    <row r="6" spans="1:18" x14ac:dyDescent="0.25">
      <c r="A6" s="96"/>
      <c r="B6" s="96"/>
      <c r="C6" s="139"/>
      <c r="D6" s="96"/>
      <c r="E6" s="96"/>
      <c r="F6" s="96"/>
      <c r="G6" s="96"/>
      <c r="H6" s="96"/>
      <c r="I6" s="96"/>
      <c r="J6" s="96"/>
      <c r="K6" s="96"/>
      <c r="L6" s="96"/>
      <c r="M6" s="96"/>
    </row>
    <row r="7" spans="1:18" x14ac:dyDescent="0.25">
      <c r="A7" s="116" t="s">
        <v>38</v>
      </c>
      <c r="B7" s="141"/>
      <c r="C7" s="109" t="str">
        <f>IF($B7="","",VLOOKUP($B7,#REF!,5))</f>
        <v/>
      </c>
      <c r="D7" s="109" t="str">
        <f>IF($B7="","",VLOOKUP($B7,#REF!,15))</f>
        <v/>
      </c>
      <c r="E7" s="105" t="s">
        <v>282</v>
      </c>
      <c r="F7" s="110"/>
      <c r="G7" s="105" t="s">
        <v>387</v>
      </c>
      <c r="H7" s="110"/>
      <c r="I7" s="105" t="str">
        <f>IF($B7="","",VLOOKUP($B7,#REF!,4))</f>
        <v/>
      </c>
      <c r="J7" s="96"/>
      <c r="K7" s="170"/>
      <c r="L7" s="165" t="str">
        <f>IF(K7="","",CONCATENATE(VLOOKUP($Y$3,$AB$1:$AK$1,K7)," pont"))</f>
        <v/>
      </c>
      <c r="M7" s="171"/>
    </row>
    <row r="8" spans="1:18" x14ac:dyDescent="0.25">
      <c r="A8" s="116"/>
      <c r="B8" s="142"/>
      <c r="C8" s="117"/>
      <c r="D8" s="117"/>
      <c r="E8" s="117"/>
      <c r="F8" s="117"/>
      <c r="G8" s="117"/>
      <c r="H8" s="117"/>
      <c r="I8" s="117"/>
      <c r="J8" s="96"/>
      <c r="K8" s="116"/>
      <c r="L8" s="116"/>
      <c r="M8" s="172"/>
    </row>
    <row r="9" spans="1:18" x14ac:dyDescent="0.25">
      <c r="A9" s="116" t="s">
        <v>39</v>
      </c>
      <c r="B9" s="141"/>
      <c r="C9" s="109" t="str">
        <f>IF($B9="","",VLOOKUP($B9,#REF!,5))</f>
        <v/>
      </c>
      <c r="D9" s="109" t="str">
        <f>IF($B9="","",VLOOKUP($B9,#REF!,15))</f>
        <v/>
      </c>
      <c r="E9" s="105" t="s">
        <v>388</v>
      </c>
      <c r="F9" s="110"/>
      <c r="G9" s="105" t="s">
        <v>373</v>
      </c>
      <c r="H9" s="110"/>
      <c r="I9" s="105" t="str">
        <f>IF($B9="","",VLOOKUP($B9,#REF!,4))</f>
        <v/>
      </c>
      <c r="J9" s="96"/>
      <c r="K9" s="170"/>
      <c r="L9" s="165" t="str">
        <f>IF(K9="","",CONCATENATE(VLOOKUP($Y$3,$AB$1:$AK$1,K9)," pont"))</f>
        <v/>
      </c>
      <c r="M9" s="171"/>
    </row>
    <row r="10" spans="1:18" x14ac:dyDescent="0.25">
      <c r="A10" s="116"/>
      <c r="B10" s="142"/>
      <c r="C10" s="117"/>
      <c r="D10" s="117"/>
      <c r="E10" s="117"/>
      <c r="F10" s="117"/>
      <c r="G10" s="117"/>
      <c r="H10" s="117"/>
      <c r="I10" s="117"/>
      <c r="J10" s="96"/>
      <c r="K10" s="116"/>
      <c r="L10" s="116"/>
      <c r="M10" s="172"/>
    </row>
    <row r="11" spans="1:18" x14ac:dyDescent="0.25">
      <c r="A11" s="116" t="s">
        <v>40</v>
      </c>
      <c r="B11" s="141"/>
      <c r="C11" s="109" t="str">
        <f>IF($B11="","",VLOOKUP($B11,#REF!,5))</f>
        <v/>
      </c>
      <c r="D11" s="109" t="str">
        <f>IF($B11="","",VLOOKUP($B11,#REF!,15))</f>
        <v/>
      </c>
      <c r="E11" s="105" t="str">
        <f>UPPER(IF($B11="","",VLOOKUP($B11,#REF!,2)))</f>
        <v/>
      </c>
      <c r="F11" s="110"/>
      <c r="G11" s="105" t="str">
        <f>IF($B11="","",VLOOKUP($B11,#REF!,3))</f>
        <v/>
      </c>
      <c r="H11" s="110"/>
      <c r="I11" s="105" t="str">
        <f>IF($B11="","",VLOOKUP($B11,#REF!,4))</f>
        <v/>
      </c>
      <c r="J11" s="96"/>
      <c r="K11" s="170"/>
      <c r="L11" s="165" t="str">
        <f>IF(K11="","",CONCATENATE(VLOOKUP($Y$3,$AB$1:$AK$1,K11)," pont"))</f>
        <v/>
      </c>
      <c r="M11" s="171"/>
    </row>
    <row r="12" spans="1:18" x14ac:dyDescent="0.25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</row>
    <row r="13" spans="1:18" x14ac:dyDescent="0.25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</row>
    <row r="14" spans="1:18" x14ac:dyDescent="0.25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</row>
    <row r="15" spans="1:18" x14ac:dyDescent="0.25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</row>
    <row r="16" spans="1:18" x14ac:dyDescent="0.25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</row>
    <row r="17" spans="1:13" x14ac:dyDescent="0.25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</row>
    <row r="18" spans="1:13" x14ac:dyDescent="0.25">
      <c r="A18" s="96"/>
      <c r="B18" s="413"/>
      <c r="C18" s="413"/>
      <c r="D18" s="412" t="str">
        <f>E7</f>
        <v>Bede</v>
      </c>
      <c r="E18" s="412"/>
      <c r="F18" s="412" t="str">
        <f>E9</f>
        <v>Kontor</v>
      </c>
      <c r="G18" s="412"/>
      <c r="H18" s="412" t="str">
        <f>E11</f>
        <v/>
      </c>
      <c r="I18" s="412"/>
      <c r="J18" s="96"/>
      <c r="K18" s="96"/>
      <c r="L18" s="96"/>
      <c r="M18" s="96"/>
    </row>
    <row r="19" spans="1:13" x14ac:dyDescent="0.25">
      <c r="A19" s="146" t="s">
        <v>38</v>
      </c>
      <c r="B19" s="416" t="str">
        <f>E7</f>
        <v>Bede</v>
      </c>
      <c r="C19" s="416"/>
      <c r="D19" s="411"/>
      <c r="E19" s="411"/>
      <c r="F19" s="409"/>
      <c r="G19" s="409"/>
      <c r="H19" s="409"/>
      <c r="I19" s="409"/>
      <c r="J19" s="96"/>
      <c r="K19" s="96"/>
      <c r="L19" s="96"/>
      <c r="M19" s="96"/>
    </row>
    <row r="20" spans="1:13" x14ac:dyDescent="0.25">
      <c r="A20" s="146" t="s">
        <v>39</v>
      </c>
      <c r="B20" s="416" t="str">
        <f>E9</f>
        <v>Kontor</v>
      </c>
      <c r="C20" s="416"/>
      <c r="D20" s="409"/>
      <c r="E20" s="409"/>
      <c r="F20" s="411"/>
      <c r="G20" s="411"/>
      <c r="H20" s="409"/>
      <c r="I20" s="409"/>
      <c r="J20" s="96"/>
      <c r="K20" s="96"/>
      <c r="L20" s="96"/>
      <c r="M20" s="96"/>
    </row>
    <row r="21" spans="1:13" x14ac:dyDescent="0.25">
      <c r="A21" s="146" t="s">
        <v>40</v>
      </c>
      <c r="B21" s="416" t="str">
        <f>E11</f>
        <v/>
      </c>
      <c r="C21" s="416"/>
      <c r="D21" s="409"/>
      <c r="E21" s="409"/>
      <c r="F21" s="409"/>
      <c r="G21" s="409"/>
      <c r="H21" s="411"/>
      <c r="I21" s="411"/>
      <c r="J21" s="96"/>
      <c r="K21" s="96"/>
      <c r="L21" s="96"/>
      <c r="M21" s="96"/>
    </row>
    <row r="22" spans="1:13" x14ac:dyDescent="0.25">
      <c r="A22" s="96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</row>
    <row r="23" spans="1:13" x14ac:dyDescent="0.25">
      <c r="A23" s="96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</row>
    <row r="24" spans="1:13" x14ac:dyDescent="0.25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</row>
    <row r="25" spans="1:13" x14ac:dyDescent="0.25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</row>
    <row r="26" spans="1:13" x14ac:dyDescent="0.25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</row>
    <row r="27" spans="1:13" x14ac:dyDescent="0.25">
      <c r="A27" s="96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</row>
    <row r="28" spans="1:13" x14ac:dyDescent="0.25">
      <c r="A28" s="96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</row>
    <row r="29" spans="1:13" x14ac:dyDescent="0.25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</row>
    <row r="30" spans="1:13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x14ac:dyDescent="0.25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</row>
    <row r="32" spans="1:13" x14ac:dyDescent="0.25">
      <c r="A32" s="96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5"/>
      <c r="M32" s="95"/>
    </row>
    <row r="33" spans="1:18" x14ac:dyDescent="0.25">
      <c r="A33" s="45" t="s">
        <v>22</v>
      </c>
      <c r="B33" s="46"/>
      <c r="C33" s="75"/>
      <c r="D33" s="122" t="s">
        <v>0</v>
      </c>
      <c r="E33" s="123" t="s">
        <v>24</v>
      </c>
      <c r="F33" s="137"/>
      <c r="G33" s="122" t="s">
        <v>0</v>
      </c>
      <c r="H33" s="123" t="s">
        <v>31</v>
      </c>
      <c r="I33" s="56"/>
      <c r="J33" s="123" t="s">
        <v>32</v>
      </c>
      <c r="K33" s="55" t="s">
        <v>33</v>
      </c>
      <c r="L33" s="29"/>
      <c r="M33" s="181"/>
      <c r="N33" s="180"/>
      <c r="P33" s="118"/>
      <c r="Q33" s="118"/>
      <c r="R33" s="119"/>
    </row>
    <row r="34" spans="1:18" x14ac:dyDescent="0.25">
      <c r="A34" s="100" t="s">
        <v>23</v>
      </c>
      <c r="B34" s="101"/>
      <c r="C34" s="102"/>
      <c r="D34" s="124"/>
      <c r="E34" s="415"/>
      <c r="F34" s="415"/>
      <c r="G34" s="131" t="s">
        <v>1</v>
      </c>
      <c r="H34" s="101"/>
      <c r="I34" s="125"/>
      <c r="J34" s="132"/>
      <c r="K34" s="98" t="s">
        <v>25</v>
      </c>
      <c r="L34" s="138"/>
      <c r="M34" s="128"/>
      <c r="P34" s="120"/>
      <c r="Q34" s="120"/>
      <c r="R34" s="48"/>
    </row>
    <row r="35" spans="1:18" x14ac:dyDescent="0.25">
      <c r="A35" s="103" t="s">
        <v>30</v>
      </c>
      <c r="B35" s="54"/>
      <c r="C35" s="104"/>
      <c r="D35" s="127"/>
      <c r="E35" s="410"/>
      <c r="F35" s="410"/>
      <c r="G35" s="133" t="s">
        <v>2</v>
      </c>
      <c r="H35" s="36"/>
      <c r="I35" s="97"/>
      <c r="J35" s="37"/>
      <c r="K35" s="135"/>
      <c r="L35" s="95"/>
      <c r="M35" s="130"/>
      <c r="P35" s="48"/>
      <c r="Q35" s="47"/>
      <c r="R35" s="48"/>
    </row>
    <row r="36" spans="1:18" x14ac:dyDescent="0.25">
      <c r="A36" s="67"/>
      <c r="B36" s="68"/>
      <c r="C36" s="69"/>
      <c r="D36" s="127"/>
      <c r="E36" s="38"/>
      <c r="F36" s="96"/>
      <c r="G36" s="133" t="s">
        <v>3</v>
      </c>
      <c r="H36" s="36"/>
      <c r="I36" s="97"/>
      <c r="J36" s="37"/>
      <c r="K36" s="98" t="s">
        <v>26</v>
      </c>
      <c r="L36" s="138"/>
      <c r="M36" s="126"/>
      <c r="P36" s="120"/>
      <c r="Q36" s="120"/>
      <c r="R36" s="48"/>
    </row>
    <row r="37" spans="1:18" x14ac:dyDescent="0.25">
      <c r="A37" s="49"/>
      <c r="B37" s="44"/>
      <c r="C37" s="50"/>
      <c r="D37" s="127"/>
      <c r="E37" s="38"/>
      <c r="F37" s="96"/>
      <c r="G37" s="133" t="s">
        <v>4</v>
      </c>
      <c r="H37" s="36"/>
      <c r="I37" s="97"/>
      <c r="J37" s="37"/>
      <c r="K37" s="136"/>
      <c r="L37" s="96"/>
      <c r="M37" s="128"/>
      <c r="P37" s="48"/>
      <c r="Q37" s="47"/>
      <c r="R37" s="48"/>
    </row>
    <row r="38" spans="1:18" x14ac:dyDescent="0.25">
      <c r="A38" s="58"/>
      <c r="B38" s="70"/>
      <c r="C38" s="74"/>
      <c r="D38" s="127"/>
      <c r="E38" s="38"/>
      <c r="F38" s="96"/>
      <c r="G38" s="133" t="s">
        <v>5</v>
      </c>
      <c r="H38" s="36"/>
      <c r="I38" s="97"/>
      <c r="J38" s="37"/>
      <c r="K38" s="103"/>
      <c r="L38" s="95"/>
      <c r="M38" s="130"/>
      <c r="P38" s="48"/>
      <c r="Q38" s="47"/>
      <c r="R38" s="48"/>
    </row>
    <row r="39" spans="1:18" x14ac:dyDescent="0.25">
      <c r="A39" s="59"/>
      <c r="B39" s="20"/>
      <c r="C39" s="50"/>
      <c r="D39" s="127"/>
      <c r="E39" s="38"/>
      <c r="F39" s="96"/>
      <c r="G39" s="133" t="s">
        <v>6</v>
      </c>
      <c r="H39" s="36"/>
      <c r="I39" s="97"/>
      <c r="J39" s="37"/>
      <c r="K39" s="98" t="s">
        <v>21</v>
      </c>
      <c r="L39" s="138"/>
      <c r="M39" s="126"/>
      <c r="P39" s="120"/>
      <c r="Q39" s="120"/>
      <c r="R39" s="48"/>
    </row>
    <row r="40" spans="1:18" x14ac:dyDescent="0.25">
      <c r="A40" s="59"/>
      <c r="B40" s="20"/>
      <c r="C40" s="65"/>
      <c r="D40" s="127"/>
      <c r="E40" s="38"/>
      <c r="F40" s="96"/>
      <c r="G40" s="133" t="s">
        <v>7</v>
      </c>
      <c r="H40" s="36"/>
      <c r="I40" s="97"/>
      <c r="J40" s="37"/>
      <c r="K40" s="136"/>
      <c r="L40" s="96"/>
      <c r="M40" s="128"/>
      <c r="P40" s="48"/>
      <c r="Q40" s="47"/>
      <c r="R40" s="48"/>
    </row>
    <row r="41" spans="1:18" x14ac:dyDescent="0.25">
      <c r="A41" s="60"/>
      <c r="B41" s="57"/>
      <c r="C41" s="66"/>
      <c r="D41" s="129"/>
      <c r="E41" s="51"/>
      <c r="F41" s="95"/>
      <c r="G41" s="134" t="s">
        <v>8</v>
      </c>
      <c r="H41" s="54"/>
      <c r="I41" s="99"/>
      <c r="J41" s="52"/>
      <c r="K41" s="103">
        <f>L4</f>
        <v>0</v>
      </c>
      <c r="L41" s="95"/>
      <c r="M41" s="130"/>
      <c r="P41" s="48"/>
      <c r="Q41" s="47"/>
      <c r="R41" s="121"/>
    </row>
  </sheetData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25" priority="2" stopIfTrue="1" operator="equal">
      <formula>"Bye"</formula>
    </cfRule>
  </conditionalFormatting>
  <conditionalFormatting sqref="R41">
    <cfRule type="expression" dxfId="24" priority="1" stopIfTrue="1">
      <formula>$O$1="CU"</formula>
    </cfRule>
  </conditionalFormatting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C235E-19A0-4C5F-91AF-8818741E43C8}">
  <sheetPr>
    <tabColor indexed="11"/>
  </sheetPr>
  <dimension ref="A1:R41"/>
  <sheetViews>
    <sheetView workbookViewId="0">
      <selection activeCell="K18" sqref="K18"/>
    </sheetView>
  </sheetViews>
  <sheetFormatPr defaultRowHeight="13.2" x14ac:dyDescent="0.25"/>
  <sheetData>
    <row r="1" spans="1:18" ht="24.6" x14ac:dyDescent="0.25">
      <c r="A1" s="414" t="str">
        <f>Altalanos!$A$6</f>
        <v>Tenisz Diákolimpia B-A-Z. Vármegyei Döntő</v>
      </c>
      <c r="B1" s="414"/>
      <c r="C1" s="414"/>
      <c r="D1" s="414"/>
      <c r="E1" s="414"/>
      <c r="F1" s="414"/>
      <c r="G1" s="79"/>
      <c r="H1" s="82" t="s">
        <v>29</v>
      </c>
      <c r="I1" s="80"/>
      <c r="J1" s="81"/>
      <c r="L1" s="83"/>
      <c r="M1" s="84"/>
      <c r="N1" s="41"/>
      <c r="O1" s="41" t="s">
        <v>9</v>
      </c>
      <c r="P1" s="41"/>
      <c r="Q1" s="40"/>
      <c r="R1" s="41"/>
    </row>
    <row r="2" spans="1:18" x14ac:dyDescent="0.25">
      <c r="A2" s="85" t="s">
        <v>28</v>
      </c>
      <c r="B2" s="86"/>
      <c r="C2" s="86"/>
      <c r="D2" s="86"/>
      <c r="E2" s="185" t="str">
        <f>Altalanos!$D$8</f>
        <v>VI.-VII.</v>
      </c>
      <c r="F2" s="86"/>
      <c r="G2" s="87"/>
      <c r="H2" s="88"/>
      <c r="I2" s="88"/>
      <c r="J2" s="89"/>
      <c r="K2" s="83"/>
      <c r="L2" s="83"/>
      <c r="M2" s="83"/>
      <c r="N2" s="42"/>
      <c r="O2" s="39"/>
      <c r="P2" s="42"/>
      <c r="Q2" s="39"/>
      <c r="R2" s="42"/>
    </row>
    <row r="3" spans="1:18" x14ac:dyDescent="0.25">
      <c r="A3" s="34" t="s">
        <v>16</v>
      </c>
      <c r="B3" s="34"/>
      <c r="C3" s="34"/>
      <c r="D3" s="34"/>
      <c r="E3" s="34" t="s">
        <v>14</v>
      </c>
      <c r="F3" s="34"/>
      <c r="G3" s="34"/>
      <c r="H3" s="34" t="s">
        <v>18</v>
      </c>
      <c r="I3" s="34"/>
      <c r="J3" s="43"/>
      <c r="K3" s="34"/>
      <c r="L3" s="35" t="s">
        <v>19</v>
      </c>
      <c r="M3" s="34"/>
      <c r="N3" s="112"/>
      <c r="O3" s="111"/>
      <c r="P3" s="112"/>
      <c r="Q3" s="153" t="s">
        <v>52</v>
      </c>
      <c r="R3" s="154" t="s">
        <v>58</v>
      </c>
    </row>
    <row r="4" spans="1:18" ht="13.8" thickBot="1" x14ac:dyDescent="0.3">
      <c r="A4" s="417" t="str">
        <f>Altalanos!$A$10</f>
        <v>2024.05.02-03.</v>
      </c>
      <c r="B4" s="417"/>
      <c r="C4" s="417"/>
      <c r="D4" s="90"/>
      <c r="E4" s="91" t="str">
        <f>Altalanos!$C$10</f>
        <v>Kazincbarcika</v>
      </c>
      <c r="F4" s="91"/>
      <c r="G4" s="91"/>
      <c r="H4" s="93" t="s">
        <v>38</v>
      </c>
      <c r="I4" s="91"/>
      <c r="J4" s="92"/>
      <c r="K4" s="93"/>
      <c r="L4" s="94">
        <f>Altalanos!$E$10</f>
        <v>0</v>
      </c>
      <c r="M4" s="93"/>
      <c r="N4" s="114"/>
      <c r="O4" s="115"/>
      <c r="P4" s="114"/>
      <c r="Q4" s="155" t="s">
        <v>59</v>
      </c>
      <c r="R4" s="156" t="s">
        <v>54</v>
      </c>
    </row>
    <row r="5" spans="1:18" x14ac:dyDescent="0.25">
      <c r="A5" s="29"/>
      <c r="B5" s="29" t="s">
        <v>27</v>
      </c>
      <c r="C5" s="107" t="s">
        <v>36</v>
      </c>
      <c r="D5" s="29" t="s">
        <v>22</v>
      </c>
      <c r="E5" s="29" t="s">
        <v>41</v>
      </c>
      <c r="F5" s="29"/>
      <c r="G5" s="29" t="s">
        <v>17</v>
      </c>
      <c r="H5" s="29"/>
      <c r="I5" s="29" t="s">
        <v>20</v>
      </c>
      <c r="J5" s="29"/>
      <c r="K5" s="140" t="s">
        <v>42</v>
      </c>
      <c r="L5" s="140" t="s">
        <v>43</v>
      </c>
      <c r="M5" s="140" t="s">
        <v>44</v>
      </c>
      <c r="Q5" s="157" t="s">
        <v>60</v>
      </c>
      <c r="R5" s="158" t="s">
        <v>56</v>
      </c>
    </row>
    <row r="6" spans="1:18" x14ac:dyDescent="0.25">
      <c r="A6" s="96"/>
      <c r="B6" s="96"/>
      <c r="C6" s="139"/>
      <c r="D6" s="96"/>
      <c r="E6" s="96"/>
      <c r="F6" s="96"/>
      <c r="G6" s="96"/>
      <c r="H6" s="96"/>
      <c r="I6" s="96"/>
      <c r="J6" s="96"/>
      <c r="K6" s="96"/>
      <c r="L6" s="96"/>
      <c r="M6" s="96"/>
    </row>
    <row r="7" spans="1:18" x14ac:dyDescent="0.25">
      <c r="A7" s="116" t="s">
        <v>38</v>
      </c>
      <c r="B7" s="141"/>
      <c r="C7" s="109" t="str">
        <f>IF($B7="","",VLOOKUP($B7,#REF!,5))</f>
        <v/>
      </c>
      <c r="D7" s="109" t="str">
        <f>IF($B7="","",VLOOKUP($B7,#REF!,15))</f>
        <v/>
      </c>
      <c r="E7" s="105" t="s">
        <v>389</v>
      </c>
      <c r="F7" s="110"/>
      <c r="G7" s="105" t="s">
        <v>390</v>
      </c>
      <c r="H7" s="110"/>
      <c r="I7" s="105" t="str">
        <f>IF($B7="","",VLOOKUP($B7,#REF!,4))</f>
        <v/>
      </c>
      <c r="J7" s="96"/>
      <c r="K7" s="170"/>
      <c r="L7" s="165" t="str">
        <f>IF(K7="","",CONCATENATE(VLOOKUP($Y$3,$AB$1:$AK$1,K7)," pont"))</f>
        <v/>
      </c>
      <c r="M7" s="171"/>
    </row>
    <row r="8" spans="1:18" x14ac:dyDescent="0.25">
      <c r="A8" s="116"/>
      <c r="B8" s="142"/>
      <c r="C8" s="117"/>
      <c r="D8" s="117"/>
      <c r="E8" s="117"/>
      <c r="F8" s="117"/>
      <c r="G8" s="117"/>
      <c r="H8" s="117"/>
      <c r="I8" s="117"/>
      <c r="J8" s="96"/>
      <c r="K8" s="116"/>
      <c r="L8" s="116"/>
      <c r="M8" s="172"/>
    </row>
    <row r="9" spans="1:18" x14ac:dyDescent="0.25">
      <c r="A9" s="116" t="s">
        <v>39</v>
      </c>
      <c r="B9" s="141"/>
      <c r="C9" s="109" t="str">
        <f>IF($B9="","",VLOOKUP($B9,#REF!,5))</f>
        <v/>
      </c>
      <c r="D9" s="109" t="str">
        <f>IF($B9="","",VLOOKUP($B9,#REF!,15))</f>
        <v/>
      </c>
      <c r="E9" s="105" t="s">
        <v>391</v>
      </c>
      <c r="F9" s="110"/>
      <c r="G9" s="105" t="s">
        <v>275</v>
      </c>
      <c r="H9" s="110"/>
      <c r="I9" s="105" t="str">
        <f>IF($B9="","",VLOOKUP($B9,#REF!,4))</f>
        <v/>
      </c>
      <c r="J9" s="96"/>
      <c r="K9" s="170"/>
      <c r="L9" s="165" t="str">
        <f>IF(K9="","",CONCATENATE(VLOOKUP($Y$3,$AB$1:$AK$1,K9)," pont"))</f>
        <v/>
      </c>
      <c r="M9" s="171"/>
    </row>
    <row r="10" spans="1:18" x14ac:dyDescent="0.25">
      <c r="A10" s="116"/>
      <c r="B10" s="142"/>
      <c r="C10" s="117"/>
      <c r="D10" s="117"/>
      <c r="E10" s="117"/>
      <c r="F10" s="117"/>
      <c r="G10" s="117"/>
      <c r="H10" s="117"/>
      <c r="I10" s="117"/>
      <c r="J10" s="96"/>
      <c r="K10" s="116"/>
      <c r="L10" s="116"/>
      <c r="M10" s="172"/>
    </row>
    <row r="11" spans="1:18" x14ac:dyDescent="0.25">
      <c r="A11" s="116" t="s">
        <v>40</v>
      </c>
      <c r="B11" s="141"/>
      <c r="C11" s="109" t="str">
        <f>IF($B11="","",VLOOKUP($B11,#REF!,5))</f>
        <v/>
      </c>
      <c r="D11" s="109" t="str">
        <f>IF($B11="","",VLOOKUP($B11,#REF!,15))</f>
        <v/>
      </c>
      <c r="E11" s="105" t="str">
        <f>UPPER(IF($B11="","",VLOOKUP($B11,#REF!,2)))</f>
        <v/>
      </c>
      <c r="F11" s="110"/>
      <c r="G11" s="105" t="str">
        <f>IF($B11="","",VLOOKUP($B11,#REF!,3))</f>
        <v/>
      </c>
      <c r="H11" s="110"/>
      <c r="I11" s="105" t="str">
        <f>IF($B11="","",VLOOKUP($B11,#REF!,4))</f>
        <v/>
      </c>
      <c r="J11" s="96"/>
      <c r="K11" s="170"/>
      <c r="L11" s="165" t="str">
        <f>IF(K11="","",CONCATENATE(VLOOKUP($Y$3,$AB$1:$AK$1,K11)," pont"))</f>
        <v/>
      </c>
      <c r="M11" s="171"/>
    </row>
    <row r="12" spans="1:18" x14ac:dyDescent="0.25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</row>
    <row r="13" spans="1:18" x14ac:dyDescent="0.25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</row>
    <row r="14" spans="1:18" x14ac:dyDescent="0.25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</row>
    <row r="15" spans="1:18" x14ac:dyDescent="0.25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</row>
    <row r="16" spans="1:18" x14ac:dyDescent="0.25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</row>
    <row r="17" spans="1:13" x14ac:dyDescent="0.25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</row>
    <row r="18" spans="1:13" x14ac:dyDescent="0.25">
      <c r="A18" s="96"/>
      <c r="B18" s="413"/>
      <c r="C18" s="413"/>
      <c r="D18" s="412" t="str">
        <f>E7</f>
        <v xml:space="preserve">Rem </v>
      </c>
      <c r="E18" s="412"/>
      <c r="F18" s="412" t="str">
        <f>E9</f>
        <v>Lovász</v>
      </c>
      <c r="G18" s="412"/>
      <c r="H18" s="412" t="str">
        <f>E11</f>
        <v/>
      </c>
      <c r="I18" s="412"/>
      <c r="J18" s="96"/>
      <c r="K18" s="96"/>
      <c r="L18" s="96"/>
      <c r="M18" s="96"/>
    </row>
    <row r="19" spans="1:13" x14ac:dyDescent="0.25">
      <c r="A19" s="146" t="s">
        <v>38</v>
      </c>
      <c r="B19" s="416" t="str">
        <f>E7</f>
        <v xml:space="preserve">Rem </v>
      </c>
      <c r="C19" s="416"/>
      <c r="D19" s="411"/>
      <c r="E19" s="411"/>
      <c r="F19" s="409"/>
      <c r="G19" s="409"/>
      <c r="H19" s="409"/>
      <c r="I19" s="409"/>
      <c r="J19" s="96"/>
      <c r="K19" s="96"/>
      <c r="L19" s="96"/>
      <c r="M19" s="96"/>
    </row>
    <row r="20" spans="1:13" x14ac:dyDescent="0.25">
      <c r="A20" s="146" t="s">
        <v>39</v>
      </c>
      <c r="B20" s="416" t="str">
        <f>E9</f>
        <v>Lovász</v>
      </c>
      <c r="C20" s="416"/>
      <c r="D20" s="409"/>
      <c r="E20" s="409"/>
      <c r="F20" s="411"/>
      <c r="G20" s="411"/>
      <c r="H20" s="409"/>
      <c r="I20" s="409"/>
      <c r="J20" s="96"/>
      <c r="K20" s="96"/>
      <c r="L20" s="96"/>
      <c r="M20" s="96"/>
    </row>
    <row r="21" spans="1:13" x14ac:dyDescent="0.25">
      <c r="A21" s="146" t="s">
        <v>40</v>
      </c>
      <c r="B21" s="416" t="str">
        <f>E11</f>
        <v/>
      </c>
      <c r="C21" s="416"/>
      <c r="D21" s="409"/>
      <c r="E21" s="409"/>
      <c r="F21" s="409"/>
      <c r="G21" s="409"/>
      <c r="H21" s="411"/>
      <c r="I21" s="411"/>
      <c r="J21" s="96"/>
      <c r="K21" s="96"/>
      <c r="L21" s="96"/>
      <c r="M21" s="96"/>
    </row>
    <row r="22" spans="1:13" x14ac:dyDescent="0.25">
      <c r="A22" s="96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</row>
    <row r="23" spans="1:13" x14ac:dyDescent="0.25">
      <c r="A23" s="96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</row>
    <row r="24" spans="1:13" x14ac:dyDescent="0.25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</row>
    <row r="25" spans="1:13" x14ac:dyDescent="0.25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</row>
    <row r="26" spans="1:13" x14ac:dyDescent="0.25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</row>
    <row r="27" spans="1:13" x14ac:dyDescent="0.25">
      <c r="A27" s="96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</row>
    <row r="28" spans="1:13" x14ac:dyDescent="0.25">
      <c r="A28" s="96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</row>
    <row r="29" spans="1:13" x14ac:dyDescent="0.25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</row>
    <row r="30" spans="1:13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x14ac:dyDescent="0.25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</row>
    <row r="32" spans="1:13" x14ac:dyDescent="0.25">
      <c r="A32" s="96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5"/>
      <c r="M32" s="95"/>
    </row>
    <row r="33" spans="1:18" x14ac:dyDescent="0.25">
      <c r="A33" s="45" t="s">
        <v>22</v>
      </c>
      <c r="B33" s="46"/>
      <c r="C33" s="75"/>
      <c r="D33" s="122" t="s">
        <v>0</v>
      </c>
      <c r="E33" s="123" t="s">
        <v>24</v>
      </c>
      <c r="F33" s="137"/>
      <c r="G33" s="122" t="s">
        <v>0</v>
      </c>
      <c r="H33" s="123" t="s">
        <v>31</v>
      </c>
      <c r="I33" s="56"/>
      <c r="J33" s="123" t="s">
        <v>32</v>
      </c>
      <c r="K33" s="55" t="s">
        <v>33</v>
      </c>
      <c r="L33" s="29"/>
      <c r="M33" s="181"/>
      <c r="N33" s="180"/>
      <c r="P33" s="118"/>
      <c r="Q33" s="118"/>
      <c r="R33" s="119"/>
    </row>
    <row r="34" spans="1:18" x14ac:dyDescent="0.25">
      <c r="A34" s="100" t="s">
        <v>23</v>
      </c>
      <c r="B34" s="101"/>
      <c r="C34" s="102"/>
      <c r="D34" s="124"/>
      <c r="E34" s="415"/>
      <c r="F34" s="415"/>
      <c r="G34" s="131" t="s">
        <v>1</v>
      </c>
      <c r="H34" s="101"/>
      <c r="I34" s="125"/>
      <c r="J34" s="132"/>
      <c r="K34" s="98" t="s">
        <v>25</v>
      </c>
      <c r="L34" s="138"/>
      <c r="M34" s="128"/>
      <c r="P34" s="120"/>
      <c r="Q34" s="120"/>
      <c r="R34" s="48"/>
    </row>
    <row r="35" spans="1:18" x14ac:dyDescent="0.25">
      <c r="A35" s="103" t="s">
        <v>30</v>
      </c>
      <c r="B35" s="54"/>
      <c r="C35" s="104"/>
      <c r="D35" s="127"/>
      <c r="E35" s="410"/>
      <c r="F35" s="410"/>
      <c r="G35" s="133" t="s">
        <v>2</v>
      </c>
      <c r="H35" s="36"/>
      <c r="I35" s="97"/>
      <c r="J35" s="37"/>
      <c r="K35" s="135"/>
      <c r="L35" s="95"/>
      <c r="M35" s="130"/>
      <c r="P35" s="48"/>
      <c r="Q35" s="47"/>
      <c r="R35" s="48"/>
    </row>
    <row r="36" spans="1:18" x14ac:dyDescent="0.25">
      <c r="A36" s="67"/>
      <c r="B36" s="68"/>
      <c r="C36" s="69"/>
      <c r="D36" s="127"/>
      <c r="E36" s="38"/>
      <c r="F36" s="96"/>
      <c r="G36" s="133" t="s">
        <v>3</v>
      </c>
      <c r="H36" s="36"/>
      <c r="I36" s="97"/>
      <c r="J36" s="37"/>
      <c r="K36" s="98" t="s">
        <v>26</v>
      </c>
      <c r="L36" s="138"/>
      <c r="M36" s="126"/>
      <c r="P36" s="120"/>
      <c r="Q36" s="120"/>
      <c r="R36" s="48"/>
    </row>
    <row r="37" spans="1:18" x14ac:dyDescent="0.25">
      <c r="A37" s="49"/>
      <c r="B37" s="44"/>
      <c r="C37" s="50"/>
      <c r="D37" s="127"/>
      <c r="E37" s="38"/>
      <c r="F37" s="96"/>
      <c r="G37" s="133" t="s">
        <v>4</v>
      </c>
      <c r="H37" s="36"/>
      <c r="I37" s="97"/>
      <c r="J37" s="37"/>
      <c r="K37" s="136"/>
      <c r="L37" s="96"/>
      <c r="M37" s="128"/>
      <c r="P37" s="48"/>
      <c r="Q37" s="47"/>
      <c r="R37" s="48"/>
    </row>
    <row r="38" spans="1:18" x14ac:dyDescent="0.25">
      <c r="A38" s="58"/>
      <c r="B38" s="70"/>
      <c r="C38" s="74"/>
      <c r="D38" s="127"/>
      <c r="E38" s="38"/>
      <c r="F38" s="96"/>
      <c r="G38" s="133" t="s">
        <v>5</v>
      </c>
      <c r="H38" s="36"/>
      <c r="I38" s="97"/>
      <c r="J38" s="37"/>
      <c r="K38" s="103"/>
      <c r="L38" s="95"/>
      <c r="M38" s="130"/>
      <c r="P38" s="48"/>
      <c r="Q38" s="47"/>
      <c r="R38" s="48"/>
    </row>
    <row r="39" spans="1:18" x14ac:dyDescent="0.25">
      <c r="A39" s="59"/>
      <c r="B39" s="20"/>
      <c r="C39" s="50"/>
      <c r="D39" s="127"/>
      <c r="E39" s="38"/>
      <c r="F39" s="96"/>
      <c r="G39" s="133" t="s">
        <v>6</v>
      </c>
      <c r="H39" s="36"/>
      <c r="I39" s="97"/>
      <c r="J39" s="37"/>
      <c r="K39" s="98" t="s">
        <v>21</v>
      </c>
      <c r="L39" s="138"/>
      <c r="M39" s="126"/>
      <c r="P39" s="120"/>
      <c r="Q39" s="120"/>
      <c r="R39" s="48"/>
    </row>
    <row r="40" spans="1:18" x14ac:dyDescent="0.25">
      <c r="A40" s="59"/>
      <c r="B40" s="20"/>
      <c r="C40" s="65"/>
      <c r="D40" s="127"/>
      <c r="E40" s="38"/>
      <c r="F40" s="96"/>
      <c r="G40" s="133" t="s">
        <v>7</v>
      </c>
      <c r="H40" s="36"/>
      <c r="I40" s="97"/>
      <c r="J40" s="37"/>
      <c r="K40" s="136"/>
      <c r="L40" s="96"/>
      <c r="M40" s="128"/>
      <c r="P40" s="48"/>
      <c r="Q40" s="47"/>
      <c r="R40" s="48"/>
    </row>
    <row r="41" spans="1:18" x14ac:dyDescent="0.25">
      <c r="A41" s="60"/>
      <c r="B41" s="57"/>
      <c r="C41" s="66"/>
      <c r="D41" s="129"/>
      <c r="E41" s="51"/>
      <c r="F41" s="95"/>
      <c r="G41" s="134" t="s">
        <v>8</v>
      </c>
      <c r="H41" s="54"/>
      <c r="I41" s="99"/>
      <c r="J41" s="52"/>
      <c r="K41" s="103">
        <f>L4</f>
        <v>0</v>
      </c>
      <c r="L41" s="95"/>
      <c r="M41" s="130"/>
      <c r="P41" s="48"/>
      <c r="Q41" s="47"/>
      <c r="R41" s="121"/>
    </row>
  </sheetData>
  <mergeCells count="20">
    <mergeCell ref="A1:F1"/>
    <mergeCell ref="A4:C4"/>
    <mergeCell ref="H18:I18"/>
    <mergeCell ref="H19:I19"/>
    <mergeCell ref="B20:C20"/>
    <mergeCell ref="D20:E20"/>
    <mergeCell ref="B18:C18"/>
    <mergeCell ref="D18:E18"/>
    <mergeCell ref="F18:G18"/>
    <mergeCell ref="B19:C19"/>
    <mergeCell ref="D19:E19"/>
    <mergeCell ref="F19:G19"/>
    <mergeCell ref="E34:F34"/>
    <mergeCell ref="E35:F35"/>
    <mergeCell ref="F20:G20"/>
    <mergeCell ref="H20:I20"/>
    <mergeCell ref="B21:C21"/>
    <mergeCell ref="D21:E21"/>
    <mergeCell ref="F21:G21"/>
    <mergeCell ref="H21:I21"/>
  </mergeCells>
  <conditionalFormatting sqref="E7 E9 E11">
    <cfRule type="cellIs" dxfId="23" priority="2" stopIfTrue="1" operator="equal">
      <formula>"Bye"</formula>
    </cfRule>
  </conditionalFormatting>
  <conditionalFormatting sqref="R41">
    <cfRule type="expression" dxfId="22" priority="1" stopIfTrue="1">
      <formula>$O$1="CU"</formula>
    </cfRule>
  </conditionalFormatting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CD046-5467-4C89-BA32-94905F325FD6}">
  <sheetPr>
    <tabColor indexed="11"/>
  </sheetPr>
  <dimension ref="A1:T56"/>
  <sheetViews>
    <sheetView workbookViewId="0">
      <selection activeCell="Q12" sqref="Q12"/>
    </sheetView>
  </sheetViews>
  <sheetFormatPr defaultRowHeight="13.2" x14ac:dyDescent="0.25"/>
  <sheetData>
    <row r="1" spans="1:20" x14ac:dyDescent="0.25">
      <c r="A1" s="235" t="s">
        <v>16</v>
      </c>
      <c r="B1" s="235"/>
      <c r="C1" s="235"/>
      <c r="D1" s="235"/>
      <c r="E1" s="235"/>
      <c r="F1" s="235"/>
      <c r="G1" s="235" t="s">
        <v>14</v>
      </c>
      <c r="H1" s="235"/>
      <c r="I1" s="235"/>
      <c r="J1" s="236"/>
      <c r="K1" s="235" t="s">
        <v>18</v>
      </c>
      <c r="L1" s="236"/>
      <c r="M1" s="235"/>
      <c r="N1" s="236"/>
      <c r="O1" s="235"/>
      <c r="P1" s="236"/>
      <c r="Q1" s="235"/>
      <c r="R1" s="237" t="s">
        <v>19</v>
      </c>
      <c r="S1" s="289"/>
      <c r="T1" s="289"/>
    </row>
    <row r="2" spans="1:20" ht="13.8" thickBot="1" x14ac:dyDescent="0.3">
      <c r="A2" s="440" t="str">
        <f>[1]Altalanos!$A$10</f>
        <v>2024.05.02-03.</v>
      </c>
      <c r="B2" s="440"/>
      <c r="C2" s="440"/>
      <c r="D2" s="238"/>
      <c r="E2" s="239"/>
      <c r="F2" s="239"/>
      <c r="G2" s="239" t="str">
        <f>[1]Altalanos!$C$10</f>
        <v>Kazincbarcika</v>
      </c>
      <c r="H2" s="290"/>
      <c r="I2" s="239"/>
      <c r="J2" s="240"/>
      <c r="K2" s="291" t="s">
        <v>39</v>
      </c>
      <c r="L2" s="240"/>
      <c r="M2" s="292"/>
      <c r="N2" s="240"/>
      <c r="O2" s="239"/>
      <c r="P2" s="240"/>
      <c r="Q2" s="239"/>
      <c r="R2" s="241" t="str">
        <f>[1]Altalanos!$E$10</f>
        <v>Gyenes Imre</v>
      </c>
      <c r="S2" s="293"/>
      <c r="T2" s="293"/>
    </row>
    <row r="3" spans="1:20" x14ac:dyDescent="0.25">
      <c r="A3" s="267"/>
      <c r="B3" s="294" t="s">
        <v>375</v>
      </c>
      <c r="C3" s="295" t="s">
        <v>22</v>
      </c>
      <c r="D3" s="294" t="s">
        <v>376</v>
      </c>
      <c r="E3" s="294" t="s">
        <v>377</v>
      </c>
      <c r="F3" s="296" t="s">
        <v>378</v>
      </c>
      <c r="G3" s="296" t="s">
        <v>17</v>
      </c>
      <c r="H3" s="296"/>
      <c r="I3" s="296" t="s">
        <v>20</v>
      </c>
      <c r="J3" s="296"/>
      <c r="K3" s="294" t="s">
        <v>379</v>
      </c>
      <c r="L3" s="297"/>
      <c r="M3" s="294" t="s">
        <v>380</v>
      </c>
      <c r="N3" s="297"/>
      <c r="O3" s="294" t="s">
        <v>34</v>
      </c>
      <c r="P3" s="297"/>
      <c r="Q3" s="294" t="s">
        <v>381</v>
      </c>
      <c r="R3" s="259"/>
      <c r="S3" s="289"/>
      <c r="T3" s="289"/>
    </row>
    <row r="4" spans="1:20" x14ac:dyDescent="0.25">
      <c r="A4" s="298"/>
      <c r="B4" s="299"/>
      <c r="C4" s="299"/>
      <c r="D4" s="299"/>
      <c r="E4" s="299"/>
      <c r="F4" s="300" t="str">
        <f>IF(Y1="","",CONCATENATE(#REF!," / ",VLOOKUP(Y1,#REF!,5)," pont"))</f>
        <v/>
      </c>
      <c r="G4" s="301"/>
      <c r="H4" s="302"/>
      <c r="I4" s="301"/>
      <c r="J4" s="303"/>
      <c r="K4" s="299" t="str">
        <f>IF(Y1="","",CONCATENATE(VLOOKUP(Y1,#REF!,4)," pont"))</f>
        <v/>
      </c>
      <c r="L4" s="303"/>
      <c r="M4" s="299" t="str">
        <f>IF(Y1="","",CONCATENATE(VLOOKUP(Y1,#REF!,3)," pont"))</f>
        <v/>
      </c>
      <c r="N4" s="303"/>
      <c r="O4" s="299" t="str">
        <f>IF(Y1="","",CONCATENATE(VLOOKUP(Y1,#REF!,2)," pont"))</f>
        <v/>
      </c>
      <c r="P4" s="303"/>
      <c r="Q4" s="299" t="str">
        <f>IF(Y1="","",CONCATENATE(VLOOKUP(Y1,#REF!,1)," pont"))</f>
        <v/>
      </c>
      <c r="R4" s="304"/>
      <c r="S4" s="302"/>
      <c r="T4" s="302"/>
    </row>
    <row r="5" spans="1:20" x14ac:dyDescent="0.25">
      <c r="A5" s="305">
        <v>1</v>
      </c>
      <c r="B5" s="306" t="str">
        <f>IF($E5="","",VLOOKUP($E5,'[1]1MD ELO'!$A$7:$O$22,14))</f>
        <v/>
      </c>
      <c r="C5" s="245" t="str">
        <f>IF($E5="","",VLOOKUP($E5,'[1]1MD ELO'!$A$7:$O$22,15))</f>
        <v/>
      </c>
      <c r="D5" s="245" t="str">
        <f>IF($E5="","",VLOOKUP($E5,'[1]1MD ELO'!$A$7:$O$22,5))</f>
        <v/>
      </c>
      <c r="E5" s="307"/>
      <c r="F5" s="308"/>
      <c r="G5" s="308"/>
      <c r="H5" s="308"/>
      <c r="I5" s="308" t="str">
        <f>IF($E5="","",VLOOKUP($E5,'[1]1MD ELO'!$A$7:$O$22,4))</f>
        <v/>
      </c>
      <c r="J5" s="309"/>
      <c r="K5" s="310"/>
      <c r="L5" s="310"/>
      <c r="M5" s="310"/>
      <c r="N5" s="310"/>
      <c r="O5" s="311"/>
      <c r="P5" s="312"/>
      <c r="Q5" s="313"/>
      <c r="R5" s="314"/>
      <c r="S5" s="315"/>
      <c r="T5" s="315"/>
    </row>
    <row r="6" spans="1:20" x14ac:dyDescent="0.25">
      <c r="A6" s="316"/>
      <c r="B6" s="317"/>
      <c r="C6" s="318"/>
      <c r="D6" s="318"/>
      <c r="E6" s="319"/>
      <c r="F6" s="320"/>
      <c r="G6" s="320"/>
      <c r="H6" s="321"/>
      <c r="I6" s="322" t="s">
        <v>382</v>
      </c>
      <c r="J6" s="323"/>
      <c r="K6" s="324" t="s">
        <v>170</v>
      </c>
      <c r="L6" s="324"/>
      <c r="M6" s="310"/>
      <c r="N6" s="310"/>
      <c r="O6" s="311"/>
      <c r="P6" s="312"/>
      <c r="Q6" s="313"/>
      <c r="R6" s="314"/>
      <c r="S6" s="315"/>
      <c r="T6" s="315"/>
    </row>
    <row r="7" spans="1:20" x14ac:dyDescent="0.25">
      <c r="A7" s="316">
        <v>2</v>
      </c>
      <c r="B7" s="306" t="str">
        <f>IF($E7="","",VLOOKUP($E7,'[1]1MD ELO'!$A$7:$O$22,14))</f>
        <v/>
      </c>
      <c r="C7" s="245" t="str">
        <f>IF($E7="","",VLOOKUP($E7,'[1]1MD ELO'!$A$7:$O$22,15))</f>
        <v/>
      </c>
      <c r="D7" s="245" t="str">
        <f>IF($E7="","",VLOOKUP($E7,'[1]1MD ELO'!$A$7:$O$22,5))</f>
        <v/>
      </c>
      <c r="E7" s="307"/>
      <c r="F7" s="325" t="str">
        <f>UPPER(IF($E7="","",VLOOKUP($E7,'[1]1MD ELO'!$A$7:$O$22,2)))</f>
        <v/>
      </c>
      <c r="G7" s="325" t="str">
        <f>IF($E7="","",VLOOKUP($E7,'[1]1MD ELO'!$A$7:$O$22,3))</f>
        <v/>
      </c>
      <c r="H7" s="325"/>
      <c r="I7" s="308" t="str">
        <f>IF($E7="","",VLOOKUP($E7,'[1]1MD ELO'!$A$7:$O$22,4))</f>
        <v/>
      </c>
      <c r="J7" s="326"/>
      <c r="K7" s="310"/>
      <c r="L7" s="327"/>
      <c r="M7" s="310"/>
      <c r="N7" s="310"/>
      <c r="O7" s="311"/>
      <c r="P7" s="312"/>
      <c r="Q7" s="313"/>
      <c r="R7" s="314"/>
      <c r="S7" s="315"/>
      <c r="T7" s="315"/>
    </row>
    <row r="8" spans="1:20" x14ac:dyDescent="0.25">
      <c r="A8" s="316"/>
      <c r="B8" s="317"/>
      <c r="C8" s="318"/>
      <c r="D8" s="318"/>
      <c r="E8" s="328"/>
      <c r="F8" s="320"/>
      <c r="G8" s="320"/>
      <c r="H8" s="321"/>
      <c r="I8" s="310"/>
      <c r="J8" s="329"/>
      <c r="K8" s="330" t="s">
        <v>382</v>
      </c>
      <c r="L8" s="331"/>
      <c r="M8" s="324" t="str">
        <f>UPPER(IF(OR(L8="a",L8="as"),K6,IF(OR(L8="b",L8="bs"),K10,)))</f>
        <v/>
      </c>
      <c r="N8" s="332"/>
      <c r="O8" s="333"/>
      <c r="P8" s="333"/>
      <c r="Q8" s="313"/>
      <c r="R8" s="314"/>
      <c r="S8" s="315"/>
      <c r="T8" s="315"/>
    </row>
    <row r="9" spans="1:20" x14ac:dyDescent="0.25">
      <c r="A9" s="316">
        <v>3</v>
      </c>
      <c r="B9" s="306" t="str">
        <f>IF($E9="","",VLOOKUP($E9,'[1]1MD ELO'!$A$7:$O$22,14))</f>
        <v/>
      </c>
      <c r="C9" s="245" t="str">
        <f>IF($E9="","",VLOOKUP($E9,'[1]1MD ELO'!$A$7:$O$22,15))</f>
        <v/>
      </c>
      <c r="D9" s="245" t="str">
        <f>IF($E9="","",VLOOKUP($E9,'[1]1MD ELO'!$A$7:$O$22,5))</f>
        <v/>
      </c>
      <c r="E9" s="307"/>
      <c r="F9" s="325"/>
      <c r="G9" s="325"/>
      <c r="H9" s="325"/>
      <c r="I9" s="325" t="str">
        <f>IF($E9="","",VLOOKUP($E9,'[1]1MD ELO'!$A$7:$O$22,4))</f>
        <v/>
      </c>
      <c r="J9" s="309"/>
      <c r="K9" s="310"/>
      <c r="L9" s="334"/>
      <c r="M9" s="310"/>
      <c r="N9" s="335"/>
      <c r="O9" s="333"/>
      <c r="P9" s="333"/>
      <c r="Q9" s="313"/>
      <c r="R9" s="314"/>
      <c r="S9" s="315"/>
      <c r="T9" s="315"/>
    </row>
    <row r="10" spans="1:20" x14ac:dyDescent="0.25">
      <c r="A10" s="316"/>
      <c r="B10" s="317"/>
      <c r="C10" s="318"/>
      <c r="D10" s="318"/>
      <c r="E10" s="328"/>
      <c r="F10" s="320"/>
      <c r="G10" s="320"/>
      <c r="H10" s="321"/>
      <c r="I10" s="322" t="s">
        <v>382</v>
      </c>
      <c r="J10" s="323"/>
      <c r="K10" s="324" t="s">
        <v>174</v>
      </c>
      <c r="L10" s="336"/>
      <c r="M10" s="310"/>
      <c r="N10" s="335"/>
      <c r="O10" s="333"/>
      <c r="P10" s="333"/>
      <c r="Q10" s="313"/>
      <c r="R10" s="314"/>
      <c r="S10" s="315"/>
      <c r="T10" s="315"/>
    </row>
    <row r="11" spans="1:20" x14ac:dyDescent="0.25">
      <c r="A11" s="316">
        <v>4</v>
      </c>
      <c r="B11" s="306" t="str">
        <f>IF($E11="","",VLOOKUP($E11,'[1]1MD ELO'!$A$7:$O$22,14))</f>
        <v/>
      </c>
      <c r="C11" s="245" t="str">
        <f>IF($E11="","",VLOOKUP($E11,'[1]1MD ELO'!$A$7:$O$22,15))</f>
        <v/>
      </c>
      <c r="D11" s="245" t="str">
        <f>IF($E11="","",VLOOKUP($E11,'[1]1MD ELO'!$A$7:$O$22,5))</f>
        <v/>
      </c>
      <c r="E11" s="307"/>
      <c r="F11" s="325" t="str">
        <f>UPPER(IF($E11="","",VLOOKUP($E11,'[1]1MD ELO'!$A$7:$O$22,2)))</f>
        <v/>
      </c>
      <c r="G11" s="325" t="str">
        <f>IF($E11="","",VLOOKUP($E11,'[1]1MD ELO'!$A$7:$O$22,3))</f>
        <v/>
      </c>
      <c r="H11" s="325"/>
      <c r="I11" s="325" t="str">
        <f>IF($E11="","",VLOOKUP($E11,'[1]1MD ELO'!$A$7:$O$22,4))</f>
        <v/>
      </c>
      <c r="J11" s="337"/>
      <c r="K11" s="310"/>
      <c r="L11" s="310"/>
      <c r="M11" s="310"/>
      <c r="N11" s="335"/>
      <c r="O11" s="333"/>
      <c r="P11" s="333"/>
      <c r="Q11" s="313"/>
      <c r="R11" s="314"/>
      <c r="S11" s="315"/>
      <c r="T11" s="315"/>
    </row>
    <row r="12" spans="1:20" x14ac:dyDescent="0.25">
      <c r="A12" s="316"/>
      <c r="B12" s="317"/>
      <c r="C12" s="318"/>
      <c r="D12" s="318"/>
      <c r="E12" s="328"/>
      <c r="F12" s="310"/>
      <c r="G12" s="310"/>
      <c r="H12" s="338"/>
      <c r="I12" s="339"/>
      <c r="J12" s="329"/>
      <c r="K12" s="310"/>
      <c r="L12" s="310"/>
      <c r="M12" s="330" t="s">
        <v>382</v>
      </c>
      <c r="N12" s="331"/>
      <c r="O12" s="324" t="str">
        <f>UPPER(IF(OR(N12="a",N12="as"),M8,IF(OR(N12="b",N12="bs"),M16,)))</f>
        <v/>
      </c>
      <c r="P12" s="332"/>
      <c r="Q12" s="313"/>
      <c r="R12" s="314"/>
      <c r="S12" s="315"/>
      <c r="T12" s="315"/>
    </row>
    <row r="13" spans="1:20" x14ac:dyDescent="0.25">
      <c r="A13" s="305">
        <v>5</v>
      </c>
      <c r="B13" s="306" t="str">
        <f>IF($E13="","",VLOOKUP($E13,'[1]1MD ELO'!$A$7:$O$22,14))</f>
        <v/>
      </c>
      <c r="C13" s="245" t="str">
        <f>IF($E13="","",VLOOKUP($E13,'[1]1MD ELO'!$A$7:$O$22,15))</f>
        <v/>
      </c>
      <c r="D13" s="245" t="str">
        <f>IF($E13="","",VLOOKUP($E13,'[1]1MD ELO'!$A$7:$O$22,5))</f>
        <v/>
      </c>
      <c r="E13" s="307"/>
      <c r="F13" s="308" t="str">
        <f>UPPER(IF($E13="","",VLOOKUP($E13,'[1]1MD ELO'!$A$7:$O$22,2)))</f>
        <v/>
      </c>
      <c r="G13" s="308" t="str">
        <f>IF($E13="","",VLOOKUP($E13,'[1]1MD ELO'!$A$7:$O$22,3))</f>
        <v/>
      </c>
      <c r="H13" s="308"/>
      <c r="I13" s="308" t="str">
        <f>IF($E13="","",VLOOKUP($E13,'[1]1MD ELO'!$A$7:$O$22,4))</f>
        <v/>
      </c>
      <c r="J13" s="340"/>
      <c r="K13" s="310"/>
      <c r="L13" s="310"/>
      <c r="M13" s="310"/>
      <c r="N13" s="335"/>
      <c r="O13" s="310"/>
      <c r="P13" s="335"/>
      <c r="Q13" s="313"/>
      <c r="R13" s="314"/>
      <c r="S13" s="315"/>
      <c r="T13" s="315"/>
    </row>
    <row r="14" spans="1:20" x14ac:dyDescent="0.25">
      <c r="A14" s="316"/>
      <c r="B14" s="317"/>
      <c r="C14" s="318"/>
      <c r="D14" s="318"/>
      <c r="E14" s="328"/>
      <c r="F14" s="320"/>
      <c r="G14" s="320"/>
      <c r="H14" s="321"/>
      <c r="I14" s="322" t="s">
        <v>382</v>
      </c>
      <c r="J14" s="323"/>
      <c r="K14" s="324" t="s">
        <v>177</v>
      </c>
      <c r="L14" s="324"/>
      <c r="M14" s="310"/>
      <c r="N14" s="335"/>
      <c r="O14" s="333"/>
      <c r="P14" s="335"/>
      <c r="Q14" s="313"/>
      <c r="R14" s="314"/>
      <c r="S14" s="315"/>
      <c r="T14" s="315"/>
    </row>
    <row r="15" spans="1:20" x14ac:dyDescent="0.25">
      <c r="A15" s="316">
        <v>6</v>
      </c>
      <c r="B15" s="306" t="str">
        <f>IF($E15="","",VLOOKUP($E15,'[1]1MD ELO'!$A$7:$O$22,14))</f>
        <v/>
      </c>
      <c r="C15" s="245" t="str">
        <f>IF($E15="","",VLOOKUP($E15,'[1]1MD ELO'!$A$7:$O$22,15))</f>
        <v/>
      </c>
      <c r="D15" s="245" t="str">
        <f>IF($E15="","",VLOOKUP($E15,'[1]1MD ELO'!$A$7:$O$22,5))</f>
        <v/>
      </c>
      <c r="E15" s="307"/>
      <c r="F15" s="325" t="str">
        <f>UPPER(IF($E15="","",VLOOKUP($E15,'[1]1MD ELO'!$A$7:$O$22,2)))</f>
        <v/>
      </c>
      <c r="G15" s="325" t="str">
        <f>IF($E15="","",VLOOKUP($E15,'[1]1MD ELO'!$A$7:$O$22,3))</f>
        <v/>
      </c>
      <c r="H15" s="325"/>
      <c r="I15" s="325" t="str">
        <f>IF($E15="","",VLOOKUP($E15,'[1]1MD ELO'!$A$7:$O$22,4))</f>
        <v/>
      </c>
      <c r="J15" s="326"/>
      <c r="K15" s="310"/>
      <c r="L15" s="327"/>
      <c r="M15" s="310"/>
      <c r="N15" s="335"/>
      <c r="O15" s="333"/>
      <c r="P15" s="335"/>
      <c r="Q15" s="313"/>
      <c r="R15" s="314"/>
      <c r="S15" s="315"/>
      <c r="T15" s="315"/>
    </row>
    <row r="16" spans="1:20" x14ac:dyDescent="0.25">
      <c r="A16" s="316"/>
      <c r="B16" s="317"/>
      <c r="C16" s="318"/>
      <c r="D16" s="318"/>
      <c r="E16" s="328"/>
      <c r="F16" s="320"/>
      <c r="G16" s="320"/>
      <c r="H16" s="321"/>
      <c r="I16" s="310"/>
      <c r="J16" s="329"/>
      <c r="K16" s="330" t="s">
        <v>382</v>
      </c>
      <c r="L16" s="331"/>
      <c r="M16" s="324" t="str">
        <f>UPPER(IF(OR(L16="a",L16="as"),K14,IF(OR(L16="b",L16="bs"),K18,)))</f>
        <v/>
      </c>
      <c r="N16" s="341"/>
      <c r="O16" s="333"/>
      <c r="P16" s="335"/>
      <c r="Q16" s="313"/>
      <c r="R16" s="314"/>
      <c r="S16" s="315"/>
      <c r="T16" s="315"/>
    </row>
    <row r="17" spans="1:20" x14ac:dyDescent="0.25">
      <c r="A17" s="316">
        <v>7</v>
      </c>
      <c r="B17" s="306" t="str">
        <f>IF($E17="","",VLOOKUP($E17,'[1]1MD ELO'!$A$7:$O$22,14))</f>
        <v/>
      </c>
      <c r="C17" s="245" t="str">
        <f>IF($E17="","",VLOOKUP($E17,'[1]1MD ELO'!$A$7:$O$22,15))</f>
        <v/>
      </c>
      <c r="D17" s="245" t="str">
        <f>IF($E17="","",VLOOKUP($E17,'[1]1MD ELO'!$A$7:$O$22,5))</f>
        <v/>
      </c>
      <c r="E17" s="307"/>
      <c r="F17" s="325" t="str">
        <f>UPPER(IF($E17="","",VLOOKUP($E17,'[1]1MD ELO'!$A$7:$O$22,2)))</f>
        <v/>
      </c>
      <c r="G17" s="325" t="str">
        <f>IF($E17="","",VLOOKUP($E17,'[1]1MD ELO'!$A$7:$O$22,3))</f>
        <v/>
      </c>
      <c r="H17" s="325"/>
      <c r="I17" s="325" t="s">
        <v>176</v>
      </c>
      <c r="J17" s="309"/>
      <c r="K17" s="310"/>
      <c r="L17" s="334"/>
      <c r="M17" s="310"/>
      <c r="N17" s="333"/>
      <c r="O17" s="333"/>
      <c r="P17" s="335"/>
      <c r="Q17" s="313"/>
      <c r="R17" s="314"/>
      <c r="S17" s="315"/>
      <c r="T17" s="315"/>
    </row>
    <row r="18" spans="1:20" x14ac:dyDescent="0.25">
      <c r="A18" s="316"/>
      <c r="B18" s="317"/>
      <c r="C18" s="318"/>
      <c r="D18" s="318"/>
      <c r="E18" s="319"/>
      <c r="F18" s="320"/>
      <c r="G18" s="320"/>
      <c r="H18" s="321"/>
      <c r="I18" s="322" t="s">
        <v>382</v>
      </c>
      <c r="J18" s="323"/>
      <c r="K18" s="324"/>
      <c r="L18" s="336"/>
      <c r="M18" s="310"/>
      <c r="N18" s="333"/>
      <c r="O18" s="333"/>
      <c r="P18" s="335"/>
      <c r="Q18" s="313"/>
      <c r="R18" s="314"/>
      <c r="S18" s="315"/>
      <c r="T18" s="315"/>
    </row>
    <row r="19" spans="1:20" x14ac:dyDescent="0.25">
      <c r="A19" s="316">
        <v>8</v>
      </c>
      <c r="B19" s="306" t="str">
        <f>IF($E19="","",VLOOKUP($E19,'[1]1MD ELO'!$A$7:$O$22,14))</f>
        <v/>
      </c>
      <c r="C19" s="245" t="str">
        <f>IF($E19="","",VLOOKUP($E19,'[1]1MD ELO'!$A$7:$O$22,15))</f>
        <v/>
      </c>
      <c r="D19" s="245" t="str">
        <f>IF($E19="","",VLOOKUP($E19,'[1]1MD ELO'!$A$7:$O$22,5))</f>
        <v/>
      </c>
      <c r="E19" s="307"/>
      <c r="F19" s="325" t="str">
        <f>UPPER(IF($E19="","",VLOOKUP($E19,'[1]1MD ELO'!$A$7:$O$22,2)))</f>
        <v/>
      </c>
      <c r="G19" s="325" t="str">
        <f>IF($E19="","",VLOOKUP($E19,'[1]1MD ELO'!$A$7:$O$22,3))</f>
        <v/>
      </c>
      <c r="H19" s="325"/>
      <c r="I19" s="325" t="s">
        <v>173</v>
      </c>
      <c r="J19" s="337"/>
      <c r="K19" s="310"/>
      <c r="L19" s="310"/>
      <c r="M19" s="310"/>
      <c r="N19" s="333"/>
      <c r="O19" s="333"/>
      <c r="P19" s="335"/>
      <c r="Q19" s="313"/>
      <c r="R19" s="314"/>
      <c r="S19" s="315"/>
      <c r="T19" s="315"/>
    </row>
    <row r="20" spans="1:20" x14ac:dyDescent="0.25">
      <c r="A20" s="316"/>
      <c r="B20" s="317"/>
      <c r="C20" s="318"/>
      <c r="D20" s="318"/>
      <c r="E20" s="319"/>
      <c r="F20" s="339"/>
      <c r="G20" s="339"/>
      <c r="H20" s="342"/>
      <c r="I20" s="339"/>
      <c r="J20" s="329"/>
      <c r="K20" s="310"/>
      <c r="L20" s="310"/>
      <c r="M20" s="310"/>
      <c r="N20" s="333"/>
      <c r="O20" s="330" t="s">
        <v>382</v>
      </c>
      <c r="P20" s="331"/>
      <c r="Q20" s="324" t="str">
        <f>UPPER(IF(OR(P20="a",P20="as"),O12,IF(OR(P20="b",P20="bs"),O28,)))</f>
        <v/>
      </c>
      <c r="R20" s="332"/>
      <c r="S20" s="315"/>
      <c r="T20" s="315"/>
    </row>
    <row r="21" spans="1:20" x14ac:dyDescent="0.25">
      <c r="A21" s="316">
        <v>9</v>
      </c>
      <c r="B21" s="306" t="str">
        <f>IF($E21="","",VLOOKUP($E21,'[1]1MD ELO'!$A$7:$O$22,14))</f>
        <v/>
      </c>
      <c r="C21" s="245" t="str">
        <f>IF($E21="","",VLOOKUP($E21,'[1]1MD ELO'!$A$7:$O$22,15))</f>
        <v/>
      </c>
      <c r="D21" s="245" t="str">
        <f>IF($E21="","",VLOOKUP($E21,'[1]1MD ELO'!$A$7:$O$22,5))</f>
        <v/>
      </c>
      <c r="E21" s="307"/>
      <c r="F21" s="325" t="str">
        <f>UPPER(IF($E21="","",VLOOKUP($E21,'[1]1MD ELO'!$A$7:$O$22,2)))</f>
        <v/>
      </c>
      <c r="G21" s="325" t="str">
        <f>IF($E21="","",VLOOKUP($E21,'[1]1MD ELO'!$A$7:$O$22,3))</f>
        <v/>
      </c>
      <c r="H21" s="325"/>
      <c r="I21" s="325"/>
      <c r="J21" s="309"/>
      <c r="K21" s="310"/>
      <c r="L21" s="310"/>
      <c r="M21" s="310"/>
      <c r="N21" s="333"/>
      <c r="O21" s="310"/>
      <c r="P21" s="335"/>
      <c r="Q21" s="310"/>
      <c r="R21" s="333"/>
      <c r="S21" s="315"/>
      <c r="T21" s="315"/>
    </row>
    <row r="22" spans="1:20" x14ac:dyDescent="0.25">
      <c r="A22" s="316"/>
      <c r="B22" s="317"/>
      <c r="C22" s="318"/>
      <c r="D22" s="318"/>
      <c r="E22" s="319"/>
      <c r="F22" s="320"/>
      <c r="G22" s="320"/>
      <c r="H22" s="321"/>
      <c r="I22" s="322" t="s">
        <v>386</v>
      </c>
      <c r="J22" s="323"/>
      <c r="K22" s="324" t="s">
        <v>172</v>
      </c>
      <c r="L22" s="324"/>
      <c r="M22" s="310"/>
      <c r="N22" s="333"/>
      <c r="O22" s="333"/>
      <c r="P22" s="335"/>
      <c r="Q22" s="313"/>
      <c r="R22" s="314"/>
      <c r="S22" s="315"/>
      <c r="T22" s="315"/>
    </row>
    <row r="23" spans="1:20" x14ac:dyDescent="0.25">
      <c r="A23" s="316">
        <v>10</v>
      </c>
      <c r="B23" s="306" t="str">
        <f>IF($E23="","",VLOOKUP($E23,'[1]1MD ELO'!$A$7:$O$22,14))</f>
        <v/>
      </c>
      <c r="C23" s="245" t="str">
        <f>IF($E23="","",VLOOKUP($E23,'[1]1MD ELO'!$A$7:$O$22,15))</f>
        <v/>
      </c>
      <c r="D23" s="245" t="str">
        <f>IF($E23="","",VLOOKUP($E23,'[1]1MD ELO'!$A$7:$O$22,5))</f>
        <v/>
      </c>
      <c r="E23" s="307"/>
      <c r="F23" s="325" t="str">
        <f>UPPER(IF($E23="","",VLOOKUP($E23,'[1]1MD ELO'!$A$7:$O$22,2)))</f>
        <v/>
      </c>
      <c r="G23" s="325" t="str">
        <f>IF($E23="","",VLOOKUP($E23,'[1]1MD ELO'!$A$7:$O$22,3))</f>
        <v/>
      </c>
      <c r="H23" s="325"/>
      <c r="I23" s="325"/>
      <c r="J23" s="326"/>
      <c r="K23" s="310"/>
      <c r="L23" s="327"/>
      <c r="M23" s="310"/>
      <c r="N23" s="333"/>
      <c r="O23" s="333"/>
      <c r="P23" s="335"/>
      <c r="Q23" s="313"/>
      <c r="R23" s="314"/>
      <c r="S23" s="315"/>
      <c r="T23" s="315"/>
    </row>
    <row r="24" spans="1:20" x14ac:dyDescent="0.25">
      <c r="A24" s="316"/>
      <c r="B24" s="317"/>
      <c r="C24" s="318"/>
      <c r="D24" s="318"/>
      <c r="E24" s="328"/>
      <c r="F24" s="320"/>
      <c r="G24" s="320"/>
      <c r="H24" s="321"/>
      <c r="I24" s="310"/>
      <c r="J24" s="329"/>
      <c r="K24" s="330" t="s">
        <v>382</v>
      </c>
      <c r="L24" s="331"/>
      <c r="M24" s="324" t="str">
        <f>UPPER(IF(OR(L24="a",L24="as"),K22,IF(OR(L24="b",L24="bs"),K26,)))</f>
        <v/>
      </c>
      <c r="N24" s="332"/>
      <c r="O24" s="333"/>
      <c r="P24" s="335"/>
      <c r="Q24" s="313"/>
      <c r="R24" s="314"/>
      <c r="S24" s="315"/>
      <c r="T24" s="315"/>
    </row>
    <row r="25" spans="1:20" x14ac:dyDescent="0.25">
      <c r="A25" s="316">
        <v>11</v>
      </c>
      <c r="B25" s="306" t="str">
        <f>IF($E25="","",VLOOKUP($E25,'[1]1MD ELO'!$A$7:$O$22,14))</f>
        <v/>
      </c>
      <c r="C25" s="245" t="str">
        <f>IF($E25="","",VLOOKUP($E25,'[1]1MD ELO'!$A$7:$O$22,15))</f>
        <v/>
      </c>
      <c r="D25" s="245" t="str">
        <f>IF($E25="","",VLOOKUP($E25,'[1]1MD ELO'!$A$7:$O$22,5))</f>
        <v/>
      </c>
      <c r="E25" s="307"/>
      <c r="F25" s="325" t="str">
        <f>UPPER(IF($E25="","",VLOOKUP($E25,'[1]1MD ELO'!$A$7:$O$22,2)))</f>
        <v/>
      </c>
      <c r="G25" s="325" t="str">
        <f>IF($E25="","",VLOOKUP($E25,'[1]1MD ELO'!$A$7:$O$22,3))</f>
        <v/>
      </c>
      <c r="H25" s="325"/>
      <c r="I25" s="325" t="str">
        <f>IF($E25="","",VLOOKUP($E25,'[1]1MD ELO'!$A$7:$O$22,4))</f>
        <v/>
      </c>
      <c r="J25" s="309"/>
      <c r="K25" s="310"/>
      <c r="L25" s="334"/>
      <c r="M25" s="310"/>
      <c r="N25" s="335"/>
      <c r="O25" s="333"/>
      <c r="P25" s="335"/>
      <c r="Q25" s="313"/>
      <c r="R25" s="314"/>
      <c r="S25" s="315"/>
      <c r="T25" s="315"/>
    </row>
    <row r="26" spans="1:20" x14ac:dyDescent="0.25">
      <c r="A26" s="343"/>
      <c r="B26" s="317"/>
      <c r="C26" s="318"/>
      <c r="D26" s="318"/>
      <c r="E26" s="328"/>
      <c r="F26" s="320"/>
      <c r="G26" s="320"/>
      <c r="H26" s="321"/>
      <c r="I26" s="322" t="s">
        <v>382</v>
      </c>
      <c r="J26" s="323"/>
      <c r="K26" s="324" t="s">
        <v>392</v>
      </c>
      <c r="L26" s="336"/>
      <c r="M26" s="310"/>
      <c r="N26" s="335"/>
      <c r="O26" s="333"/>
      <c r="P26" s="335"/>
      <c r="Q26" s="313"/>
      <c r="R26" s="314"/>
      <c r="S26" s="315"/>
      <c r="T26" s="315"/>
    </row>
    <row r="27" spans="1:20" x14ac:dyDescent="0.25">
      <c r="A27" s="305">
        <v>12</v>
      </c>
      <c r="B27" s="306" t="str">
        <f>IF($E27="","",VLOOKUP($E27,'[1]1MD ELO'!$A$7:$O$22,14))</f>
        <v/>
      </c>
      <c r="C27" s="245" t="str">
        <f>IF($E27="","",VLOOKUP($E27,'[1]1MD ELO'!$A$7:$O$22,15))</f>
        <v/>
      </c>
      <c r="D27" s="245" t="str">
        <f>IF($E27="","",VLOOKUP($E27,'[1]1MD ELO'!$A$7:$O$22,5))</f>
        <v/>
      </c>
      <c r="E27" s="307"/>
      <c r="F27" s="308" t="str">
        <f>UPPER(IF($E27="","",VLOOKUP($E27,'[1]1MD ELO'!$A$7:$O$22,2)))</f>
        <v/>
      </c>
      <c r="G27" s="308" t="str">
        <f>IF($E27="","",VLOOKUP($E27,'[1]1MD ELO'!$A$7:$O$22,3))</f>
        <v/>
      </c>
      <c r="H27" s="308"/>
      <c r="I27" s="308" t="str">
        <f>IF($E27="","",VLOOKUP($E27,'[1]1MD ELO'!$A$7:$O$22,4))</f>
        <v/>
      </c>
      <c r="J27" s="337"/>
      <c r="K27" s="310"/>
      <c r="L27" s="310"/>
      <c r="M27" s="310"/>
      <c r="N27" s="335"/>
      <c r="O27" s="333"/>
      <c r="P27" s="335"/>
      <c r="Q27" s="313"/>
      <c r="R27" s="314"/>
      <c r="S27" s="315"/>
      <c r="T27" s="315"/>
    </row>
    <row r="28" spans="1:20" x14ac:dyDescent="0.25">
      <c r="A28" s="316"/>
      <c r="B28" s="317"/>
      <c r="C28" s="318"/>
      <c r="D28" s="318"/>
      <c r="E28" s="328"/>
      <c r="F28" s="310"/>
      <c r="G28" s="310"/>
      <c r="H28" s="338"/>
      <c r="I28" s="339"/>
      <c r="J28" s="329"/>
      <c r="K28" s="310"/>
      <c r="L28" s="310"/>
      <c r="M28" s="330" t="s">
        <v>382</v>
      </c>
      <c r="N28" s="331"/>
      <c r="O28" s="324" t="str">
        <f>UPPER(IF(OR(N28="a",N28="as"),M24,IF(OR(N28="b",N28="bs"),M32,)))</f>
        <v/>
      </c>
      <c r="P28" s="341"/>
      <c r="Q28" s="313"/>
      <c r="R28" s="314"/>
      <c r="S28" s="315"/>
      <c r="T28" s="315"/>
    </row>
    <row r="29" spans="1:20" x14ac:dyDescent="0.25">
      <c r="A29" s="316">
        <v>13</v>
      </c>
      <c r="B29" s="306" t="str">
        <f>IF($E29="","",VLOOKUP($E29,'[1]1MD ELO'!$A$7:$O$22,14))</f>
        <v/>
      </c>
      <c r="C29" s="245" t="str">
        <f>IF($E29="","",VLOOKUP($E29,'[1]1MD ELO'!$A$7:$O$22,15))</f>
        <v/>
      </c>
      <c r="D29" s="245" t="str">
        <f>IF($E29="","",VLOOKUP($E29,'[1]1MD ELO'!$A$7:$O$22,5))</f>
        <v/>
      </c>
      <c r="E29" s="307"/>
      <c r="F29" s="325" t="str">
        <f>UPPER(IF($E29="","",VLOOKUP($E29,'[1]1MD ELO'!$A$7:$O$22,2)))</f>
        <v/>
      </c>
      <c r="G29" s="325" t="str">
        <f>IF($E29="","",VLOOKUP($E29,'[1]1MD ELO'!$A$7:$O$22,3))</f>
        <v/>
      </c>
      <c r="H29" s="325"/>
      <c r="I29" s="325" t="str">
        <f>IF($E29="","",VLOOKUP($E29,'[1]1MD ELO'!$A$7:$O$22,4))</f>
        <v/>
      </c>
      <c r="J29" s="340"/>
      <c r="K29" s="310"/>
      <c r="L29" s="310"/>
      <c r="M29" s="310"/>
      <c r="N29" s="335"/>
      <c r="O29" s="310"/>
      <c r="P29" s="333"/>
      <c r="Q29" s="313"/>
      <c r="R29" s="314"/>
      <c r="S29" s="315"/>
      <c r="T29" s="315"/>
    </row>
    <row r="30" spans="1:20" x14ac:dyDescent="0.25">
      <c r="A30" s="316"/>
      <c r="B30" s="317"/>
      <c r="C30" s="318"/>
      <c r="D30" s="318"/>
      <c r="E30" s="328"/>
      <c r="F30" s="320"/>
      <c r="G30" s="320"/>
      <c r="H30" s="321"/>
      <c r="I30" s="330" t="s">
        <v>382</v>
      </c>
      <c r="J30" s="323"/>
      <c r="K30" s="324" t="s">
        <v>178</v>
      </c>
      <c r="L30" s="324"/>
      <c r="M30" s="310"/>
      <c r="N30" s="335"/>
      <c r="O30" s="333"/>
      <c r="P30" s="333"/>
      <c r="Q30" s="313"/>
      <c r="R30" s="314"/>
      <c r="S30" s="315"/>
      <c r="T30" s="315"/>
    </row>
    <row r="31" spans="1:20" x14ac:dyDescent="0.25">
      <c r="A31" s="316">
        <v>14</v>
      </c>
      <c r="B31" s="306" t="str">
        <f>IF($E31="","",VLOOKUP($E31,'[1]1MD ELO'!$A$7:$O$22,14))</f>
        <v/>
      </c>
      <c r="C31" s="245" t="str">
        <f>IF($E31="","",VLOOKUP($E31,'[1]1MD ELO'!$A$7:$O$22,15))</f>
        <v/>
      </c>
      <c r="D31" s="245" t="str">
        <f>IF($E31="","",VLOOKUP($E31,'[1]1MD ELO'!$A$7:$O$22,5))</f>
        <v/>
      </c>
      <c r="E31" s="307"/>
      <c r="F31" s="325" t="str">
        <f>UPPER(IF($E31="","",VLOOKUP($E31,'[1]1MD ELO'!$A$7:$O$22,2)))</f>
        <v/>
      </c>
      <c r="G31" s="325" t="str">
        <f>IF($E31="","",VLOOKUP($E31,'[1]1MD ELO'!$A$7:$O$22,3))</f>
        <v/>
      </c>
      <c r="H31" s="325"/>
      <c r="I31" s="325" t="str">
        <f>IF($E31="","",VLOOKUP($E31,'[1]1MD ELO'!$A$7:$O$22,4))</f>
        <v/>
      </c>
      <c r="J31" s="326"/>
      <c r="K31" s="310"/>
      <c r="L31" s="327"/>
      <c r="M31" s="310"/>
      <c r="N31" s="335"/>
      <c r="O31" s="333"/>
      <c r="P31" s="333"/>
      <c r="Q31" s="313"/>
      <c r="R31" s="314"/>
      <c r="S31" s="315"/>
      <c r="T31" s="315"/>
    </row>
    <row r="32" spans="1:20" x14ac:dyDescent="0.25">
      <c r="A32" s="316"/>
      <c r="B32" s="317"/>
      <c r="C32" s="318"/>
      <c r="D32" s="318"/>
      <c r="E32" s="328"/>
      <c r="F32" s="320"/>
      <c r="G32" s="320"/>
      <c r="H32" s="321"/>
      <c r="I32" s="310"/>
      <c r="J32" s="329"/>
      <c r="K32" s="330" t="s">
        <v>382</v>
      </c>
      <c r="L32" s="331"/>
      <c r="M32" s="324" t="str">
        <f>UPPER(IF(OR(L32="a",L32="as"),K30,IF(OR(L32="b",L32="bs"),K34,)))</f>
        <v/>
      </c>
      <c r="N32" s="341"/>
      <c r="O32" s="333"/>
      <c r="P32" s="333"/>
      <c r="Q32" s="313"/>
      <c r="R32" s="314"/>
      <c r="S32" s="315"/>
      <c r="T32" s="315"/>
    </row>
    <row r="33" spans="1:20" x14ac:dyDescent="0.25">
      <c r="A33" s="316">
        <v>15</v>
      </c>
      <c r="B33" s="306" t="str">
        <f>IF($E33="","",VLOOKUP($E33,'[1]1MD ELO'!$A$7:$O$22,14))</f>
        <v/>
      </c>
      <c r="C33" s="245" t="str">
        <f>IF($E33="","",VLOOKUP($E33,'[1]1MD ELO'!$A$7:$O$22,15))</f>
        <v/>
      </c>
      <c r="D33" s="245" t="str">
        <f>IF($E33="","",VLOOKUP($E33,'[1]1MD ELO'!$A$7:$O$22,5))</f>
        <v/>
      </c>
      <c r="E33" s="307"/>
      <c r="F33" s="325" t="str">
        <f>UPPER(IF($E33="","",VLOOKUP($E33,'[1]1MD ELO'!$A$7:$O$22,2)))</f>
        <v/>
      </c>
      <c r="G33" s="325" t="str">
        <f>IF($E33="","",VLOOKUP($E33,'[1]1MD ELO'!$A$7:$O$22,3))</f>
        <v/>
      </c>
      <c r="H33" s="325"/>
      <c r="I33" s="325" t="str">
        <f>IF($E33="","",VLOOKUP($E33,'[1]1MD ELO'!$A$7:$O$22,4))</f>
        <v/>
      </c>
      <c r="J33" s="309"/>
      <c r="K33" s="310"/>
      <c r="L33" s="334"/>
      <c r="M33" s="310"/>
      <c r="N33" s="333"/>
      <c r="O33" s="333"/>
      <c r="P33" s="333"/>
      <c r="Q33" s="313"/>
      <c r="R33" s="314"/>
      <c r="S33" s="315"/>
      <c r="T33" s="315"/>
    </row>
    <row r="34" spans="1:20" x14ac:dyDescent="0.25">
      <c r="A34" s="316"/>
      <c r="B34" s="317"/>
      <c r="C34" s="318"/>
      <c r="D34" s="318"/>
      <c r="E34" s="319"/>
      <c r="F34" s="320"/>
      <c r="G34" s="320"/>
      <c r="H34" s="321"/>
      <c r="I34" s="330" t="s">
        <v>382</v>
      </c>
      <c r="J34" s="323"/>
      <c r="K34" s="324" t="s">
        <v>175</v>
      </c>
      <c r="L34" s="336"/>
      <c r="M34" s="310"/>
      <c r="N34" s="333"/>
      <c r="O34" s="333"/>
      <c r="P34" s="333"/>
      <c r="Q34" s="313"/>
      <c r="R34" s="314"/>
      <c r="S34" s="315"/>
      <c r="T34" s="315"/>
    </row>
    <row r="35" spans="1:20" x14ac:dyDescent="0.25">
      <c r="A35" s="305">
        <v>16</v>
      </c>
      <c r="B35" s="306" t="str">
        <f>IF($E35="","",VLOOKUP($E35,'[1]1MD ELO'!$A$7:$O$22,14))</f>
        <v/>
      </c>
      <c r="C35" s="245" t="str">
        <f>IF($E35="","",VLOOKUP($E35,'[1]1MD ELO'!$A$7:$O$22,15))</f>
        <v/>
      </c>
      <c r="D35" s="245" t="str">
        <f>IF($E35="","",VLOOKUP($E35,'[1]1MD ELO'!$A$7:$O$22,5))</f>
        <v/>
      </c>
      <c r="E35" s="307"/>
      <c r="F35" s="308" t="str">
        <f>UPPER(IF($E35="","",VLOOKUP($E35,'[1]1MD ELO'!$A$7:$O$22,2)))</f>
        <v/>
      </c>
      <c r="G35" s="308" t="str">
        <f>IF($E35="","",VLOOKUP($E35,'[1]1MD ELO'!$A$7:$O$22,3))</f>
        <v/>
      </c>
      <c r="H35" s="325"/>
      <c r="I35" s="308" t="str">
        <f>IF($E35="","",VLOOKUP($E35,'[1]1MD ELO'!$A$7:$O$22,4))</f>
        <v/>
      </c>
      <c r="J35" s="337"/>
      <c r="K35" s="310"/>
      <c r="L35" s="310"/>
      <c r="M35" s="310"/>
      <c r="N35" s="333"/>
      <c r="O35" s="333"/>
      <c r="P35" s="333"/>
      <c r="Q35" s="313"/>
      <c r="R35" s="314"/>
      <c r="S35" s="315"/>
      <c r="T35" s="315"/>
    </row>
    <row r="36" spans="1:20" x14ac:dyDescent="0.25">
      <c r="A36" s="316"/>
      <c r="B36" s="319"/>
      <c r="C36" s="319"/>
      <c r="D36" s="319"/>
      <c r="E36" s="319"/>
      <c r="F36" s="339"/>
      <c r="G36" s="339"/>
      <c r="H36" s="342"/>
      <c r="I36" s="310"/>
      <c r="J36" s="329"/>
      <c r="K36" s="310"/>
      <c r="L36" s="310"/>
      <c r="M36" s="310"/>
      <c r="N36" s="333"/>
      <c r="O36" s="333"/>
      <c r="P36" s="333"/>
      <c r="Q36" s="313"/>
      <c r="R36" s="314"/>
      <c r="S36" s="315"/>
      <c r="T36" s="315"/>
    </row>
    <row r="37" spans="1:20" x14ac:dyDescent="0.25">
      <c r="A37" s="305"/>
      <c r="B37" s="311"/>
      <c r="C37" s="311"/>
      <c r="D37" s="311"/>
      <c r="E37" s="319"/>
      <c r="F37" s="311"/>
      <c r="G37" s="311"/>
      <c r="H37" s="311"/>
      <c r="I37" s="311"/>
      <c r="J37" s="319"/>
      <c r="K37" s="311"/>
      <c r="L37" s="311"/>
      <c r="M37" s="311"/>
      <c r="N37" s="313"/>
      <c r="O37" s="313"/>
      <c r="P37" s="313"/>
      <c r="Q37" s="313"/>
      <c r="R37" s="314"/>
      <c r="S37" s="315"/>
      <c r="T37" s="315"/>
    </row>
    <row r="38" spans="1:20" x14ac:dyDescent="0.25">
      <c r="A38" s="316"/>
      <c r="B38" s="319"/>
      <c r="C38" s="319"/>
      <c r="D38" s="319"/>
      <c r="E38" s="319"/>
      <c r="F38" s="311"/>
      <c r="G38" s="311"/>
      <c r="H38" s="315"/>
      <c r="I38" s="311"/>
      <c r="J38" s="319"/>
      <c r="K38" s="311"/>
      <c r="L38" s="311"/>
      <c r="M38" s="344"/>
      <c r="N38" s="319"/>
      <c r="O38" s="311"/>
      <c r="P38" s="313"/>
      <c r="Q38" s="313"/>
      <c r="R38" s="314"/>
      <c r="S38" s="315"/>
      <c r="T38" s="315"/>
    </row>
    <row r="39" spans="1:20" x14ac:dyDescent="0.25">
      <c r="A39" s="316"/>
      <c r="B39" s="311"/>
      <c r="C39" s="311"/>
      <c r="D39" s="311"/>
      <c r="E39" s="319"/>
      <c r="F39" s="311"/>
      <c r="G39" s="311"/>
      <c r="H39" s="311"/>
      <c r="I39" s="311"/>
      <c r="J39" s="319"/>
      <c r="K39" s="311"/>
      <c r="L39" s="311"/>
      <c r="M39" s="311"/>
      <c r="N39" s="313"/>
      <c r="O39" s="311"/>
      <c r="P39" s="313"/>
      <c r="Q39" s="313"/>
      <c r="R39" s="314"/>
      <c r="S39" s="315"/>
      <c r="T39" s="315"/>
    </row>
    <row r="40" spans="1:20" x14ac:dyDescent="0.25">
      <c r="A40" s="316"/>
      <c r="B40" s="319"/>
      <c r="C40" s="319"/>
      <c r="D40" s="319"/>
      <c r="E40" s="319"/>
      <c r="F40" s="311"/>
      <c r="G40" s="311"/>
      <c r="H40" s="315"/>
      <c r="I40" s="344"/>
      <c r="J40" s="319"/>
      <c r="K40" s="311"/>
      <c r="L40" s="311"/>
      <c r="M40" s="311"/>
      <c r="N40" s="313"/>
      <c r="O40" s="313"/>
      <c r="P40" s="313"/>
      <c r="Q40" s="313"/>
      <c r="R40" s="314"/>
      <c r="S40" s="315"/>
      <c r="T40" s="315"/>
    </row>
    <row r="41" spans="1:20" x14ac:dyDescent="0.25">
      <c r="A41" s="316"/>
      <c r="B41" s="311"/>
      <c r="C41" s="311"/>
      <c r="D41" s="311"/>
      <c r="E41" s="319"/>
      <c r="F41" s="311"/>
      <c r="G41" s="311"/>
      <c r="H41" s="311"/>
      <c r="I41" s="311"/>
      <c r="J41" s="319"/>
      <c r="K41" s="311"/>
      <c r="L41" s="345"/>
      <c r="M41" s="311"/>
      <c r="N41" s="313"/>
      <c r="O41" s="313"/>
      <c r="P41" s="313"/>
      <c r="Q41" s="313"/>
      <c r="R41" s="314"/>
      <c r="S41" s="315"/>
      <c r="T41" s="315"/>
    </row>
    <row r="42" spans="1:20" x14ac:dyDescent="0.25">
      <c r="A42" s="316"/>
      <c r="B42" s="319"/>
      <c r="C42" s="319"/>
      <c r="D42" s="319"/>
      <c r="E42" s="319"/>
      <c r="F42" s="311"/>
      <c r="G42" s="311"/>
      <c r="H42" s="315"/>
      <c r="I42" s="311"/>
      <c r="J42" s="319"/>
      <c r="K42" s="344"/>
      <c r="L42" s="319"/>
      <c r="M42" s="311"/>
      <c r="N42" s="313"/>
      <c r="O42" s="313"/>
      <c r="P42" s="313"/>
      <c r="Q42" s="313"/>
      <c r="R42" s="314"/>
      <c r="S42" s="315"/>
      <c r="T42" s="315"/>
    </row>
    <row r="43" spans="1:20" x14ac:dyDescent="0.25">
      <c r="A43" s="316"/>
      <c r="B43" s="311"/>
      <c r="C43" s="311"/>
      <c r="D43" s="311"/>
      <c r="E43" s="319"/>
      <c r="F43" s="311"/>
      <c r="G43" s="311"/>
      <c r="H43" s="311"/>
      <c r="I43" s="311"/>
      <c r="J43" s="319"/>
      <c r="K43" s="311"/>
      <c r="L43" s="311"/>
      <c r="M43" s="311"/>
      <c r="N43" s="313"/>
      <c r="O43" s="313"/>
      <c r="P43" s="313"/>
      <c r="Q43" s="313"/>
      <c r="R43" s="314"/>
      <c r="S43" s="315"/>
      <c r="T43" s="315"/>
    </row>
    <row r="44" spans="1:20" x14ac:dyDescent="0.25">
      <c r="A44" s="316"/>
      <c r="B44" s="319"/>
      <c r="C44" s="319"/>
      <c r="D44" s="319"/>
      <c r="E44" s="319"/>
      <c r="F44" s="311"/>
      <c r="G44" s="311"/>
      <c r="H44" s="315"/>
      <c r="I44" s="344"/>
      <c r="J44" s="319"/>
      <c r="K44" s="311"/>
      <c r="L44" s="311"/>
      <c r="M44" s="311"/>
      <c r="N44" s="313"/>
      <c r="O44" s="313"/>
      <c r="P44" s="313"/>
      <c r="Q44" s="313"/>
      <c r="R44" s="314"/>
      <c r="S44" s="315"/>
      <c r="T44" s="315"/>
    </row>
    <row r="45" spans="1:20" x14ac:dyDescent="0.25">
      <c r="A45" s="305"/>
      <c r="B45" s="311"/>
      <c r="C45" s="311"/>
      <c r="D45" s="311"/>
      <c r="E45" s="319"/>
      <c r="F45" s="311"/>
      <c r="G45" s="311"/>
      <c r="H45" s="311"/>
      <c r="I45" s="311"/>
      <c r="J45" s="319"/>
      <c r="K45" s="311"/>
      <c r="L45" s="311"/>
      <c r="M45" s="311"/>
      <c r="N45" s="311"/>
      <c r="O45" s="311"/>
      <c r="P45" s="311"/>
      <c r="Q45" s="313"/>
      <c r="R45" s="314"/>
      <c r="S45" s="315"/>
      <c r="T45" s="315"/>
    </row>
    <row r="46" spans="1:20" ht="17.399999999999999" x14ac:dyDescent="0.25">
      <c r="A46" s="346"/>
      <c r="B46" s="346"/>
      <c r="C46" s="346"/>
      <c r="D46" s="346"/>
      <c r="E46" s="346"/>
      <c r="F46" s="347"/>
      <c r="G46" s="347"/>
      <c r="H46" s="347"/>
      <c r="I46" s="347"/>
      <c r="J46" s="348"/>
      <c r="K46" s="347"/>
      <c r="L46" s="349"/>
      <c r="M46" s="347"/>
      <c r="N46" s="349"/>
      <c r="O46" s="347"/>
      <c r="P46" s="349"/>
      <c r="Q46" s="347"/>
      <c r="R46" s="349"/>
      <c r="S46" s="350"/>
      <c r="T46" s="350"/>
    </row>
    <row r="47" spans="1:20" x14ac:dyDescent="0.25">
      <c r="A47" s="251" t="s">
        <v>22</v>
      </c>
      <c r="B47" s="252"/>
      <c r="C47" s="252"/>
      <c r="D47" s="253"/>
      <c r="E47" s="351" t="s">
        <v>0</v>
      </c>
      <c r="F47" s="352" t="s">
        <v>24</v>
      </c>
      <c r="G47" s="351"/>
      <c r="H47" s="353"/>
      <c r="I47" s="354"/>
      <c r="J47" s="351" t="s">
        <v>0</v>
      </c>
      <c r="K47" s="352" t="s">
        <v>31</v>
      </c>
      <c r="L47" s="355"/>
      <c r="M47" s="352" t="s">
        <v>32</v>
      </c>
      <c r="N47" s="356"/>
      <c r="O47" s="357" t="s">
        <v>33</v>
      </c>
      <c r="P47" s="357"/>
      <c r="Q47" s="357"/>
      <c r="R47" s="356"/>
      <c r="S47" s="265"/>
      <c r="T47" s="265"/>
    </row>
    <row r="48" spans="1:20" x14ac:dyDescent="0.25">
      <c r="A48" s="255" t="s">
        <v>23</v>
      </c>
      <c r="B48" s="256"/>
      <c r="C48" s="358"/>
      <c r="D48" s="257"/>
      <c r="E48" s="294">
        <v>1</v>
      </c>
      <c r="F48" s="265">
        <f>IF(E48&gt;$R$57,,UPPER(VLOOKUP(E48,'[1]1MD ELO'!$A$7:$Q$134,2)))</f>
        <v>0</v>
      </c>
      <c r="G48" s="294"/>
      <c r="H48" s="265"/>
      <c r="I48" s="264"/>
      <c r="J48" s="359" t="s">
        <v>1</v>
      </c>
      <c r="K48" s="263"/>
      <c r="L48" s="259"/>
      <c r="M48" s="263"/>
      <c r="N48" s="360"/>
      <c r="O48" s="258" t="s">
        <v>25</v>
      </c>
      <c r="P48" s="361"/>
      <c r="Q48" s="361"/>
      <c r="R48" s="360"/>
      <c r="S48" s="265"/>
      <c r="T48" s="265"/>
    </row>
    <row r="49" spans="1:20" x14ac:dyDescent="0.25">
      <c r="A49" s="260" t="s">
        <v>30</v>
      </c>
      <c r="B49" s="261"/>
      <c r="C49" s="362"/>
      <c r="D49" s="262"/>
      <c r="E49" s="294">
        <v>2</v>
      </c>
      <c r="F49" s="265">
        <f>IF(E49&gt;$R$57,,UPPER(VLOOKUP(E49,'[1]1MD ELO'!$A$7:$Q$134,2)))</f>
        <v>0</v>
      </c>
      <c r="G49" s="294"/>
      <c r="H49" s="265"/>
      <c r="I49" s="264"/>
      <c r="J49" s="359" t="s">
        <v>2</v>
      </c>
      <c r="K49" s="263"/>
      <c r="L49" s="259"/>
      <c r="M49" s="263"/>
      <c r="N49" s="360"/>
      <c r="O49" s="275"/>
      <c r="P49" s="276"/>
      <c r="Q49" s="261"/>
      <c r="R49" s="363"/>
      <c r="S49" s="265"/>
      <c r="T49" s="265"/>
    </row>
    <row r="50" spans="1:20" x14ac:dyDescent="0.25">
      <c r="A50" s="255"/>
      <c r="B50" s="256"/>
      <c r="C50" s="358"/>
      <c r="D50" s="257"/>
      <c r="E50" s="294">
        <v>3</v>
      </c>
      <c r="F50" s="265">
        <f>IF(E50&gt;$R$57,,UPPER(VLOOKUP(E50,'[1]1MD ELO'!$A$7:$Q$134,2)))</f>
        <v>0</v>
      </c>
      <c r="G50" s="294"/>
      <c r="H50" s="265"/>
      <c r="I50" s="264"/>
      <c r="J50" s="359" t="s">
        <v>3</v>
      </c>
      <c r="K50" s="263"/>
      <c r="L50" s="259"/>
      <c r="M50" s="263"/>
      <c r="N50" s="360"/>
      <c r="O50" s="258" t="s">
        <v>26</v>
      </c>
      <c r="P50" s="361"/>
      <c r="Q50" s="361"/>
      <c r="R50" s="360"/>
      <c r="S50" s="265"/>
      <c r="T50" s="265"/>
    </row>
    <row r="51" spans="1:20" x14ac:dyDescent="0.25">
      <c r="A51" s="266"/>
      <c r="B51" s="267"/>
      <c r="C51" s="267"/>
      <c r="D51" s="268"/>
      <c r="E51" s="294">
        <v>4</v>
      </c>
      <c r="F51" s="265">
        <f>IF(E51&gt;$R$57,,UPPER(VLOOKUP(E51,'[1]1MD ELO'!$A$7:$Q$134,2)))</f>
        <v>0</v>
      </c>
      <c r="G51" s="294"/>
      <c r="H51" s="265"/>
      <c r="I51" s="264"/>
      <c r="J51" s="359" t="s">
        <v>4</v>
      </c>
      <c r="K51" s="263"/>
      <c r="L51" s="259"/>
      <c r="M51" s="263"/>
      <c r="N51" s="360"/>
      <c r="O51" s="263"/>
      <c r="P51" s="259"/>
      <c r="Q51" s="263"/>
      <c r="R51" s="360"/>
      <c r="S51" s="265"/>
      <c r="T51" s="265"/>
    </row>
    <row r="52" spans="1:20" x14ac:dyDescent="0.25">
      <c r="A52" s="270"/>
      <c r="B52" s="271"/>
      <c r="C52" s="271"/>
      <c r="D52" s="272"/>
      <c r="E52" s="294"/>
      <c r="F52" s="265"/>
      <c r="G52" s="294"/>
      <c r="H52" s="265"/>
      <c r="I52" s="264"/>
      <c r="J52" s="359" t="s">
        <v>5</v>
      </c>
      <c r="K52" s="263"/>
      <c r="L52" s="259"/>
      <c r="M52" s="263"/>
      <c r="N52" s="360"/>
      <c r="O52" s="261"/>
      <c r="P52" s="276"/>
      <c r="Q52" s="261"/>
      <c r="R52" s="363"/>
      <c r="S52" s="265"/>
      <c r="T52" s="265"/>
    </row>
    <row r="53" spans="1:20" x14ac:dyDescent="0.25">
      <c r="A53" s="269"/>
      <c r="B53" s="263"/>
      <c r="C53" s="267"/>
      <c r="D53" s="268"/>
      <c r="E53" s="294"/>
      <c r="F53" s="265"/>
      <c r="G53" s="294"/>
      <c r="H53" s="265"/>
      <c r="I53" s="264"/>
      <c r="J53" s="359" t="s">
        <v>6</v>
      </c>
      <c r="K53" s="263"/>
      <c r="L53" s="259"/>
      <c r="M53" s="263"/>
      <c r="N53" s="360"/>
      <c r="O53" s="258" t="s">
        <v>21</v>
      </c>
      <c r="P53" s="361"/>
      <c r="Q53" s="361"/>
      <c r="R53" s="360"/>
      <c r="S53" s="265"/>
      <c r="T53" s="265"/>
    </row>
    <row r="54" spans="1:20" x14ac:dyDescent="0.25">
      <c r="A54" s="269"/>
      <c r="B54" s="263"/>
      <c r="C54" s="344"/>
      <c r="D54" s="273"/>
      <c r="E54" s="294"/>
      <c r="F54" s="265"/>
      <c r="G54" s="294"/>
      <c r="H54" s="265"/>
      <c r="I54" s="264"/>
      <c r="J54" s="359" t="s">
        <v>7</v>
      </c>
      <c r="K54" s="263"/>
      <c r="L54" s="259"/>
      <c r="M54" s="263"/>
      <c r="N54" s="360"/>
      <c r="O54" s="263"/>
      <c r="P54" s="259"/>
      <c r="Q54" s="263"/>
      <c r="R54" s="360"/>
      <c r="S54" s="265"/>
      <c r="T54" s="265"/>
    </row>
    <row r="55" spans="1:20" x14ac:dyDescent="0.25">
      <c r="A55" s="260"/>
      <c r="B55" s="261"/>
      <c r="C55" s="364"/>
      <c r="D55" s="274"/>
      <c r="E55" s="365"/>
      <c r="F55" s="275"/>
      <c r="G55" s="365"/>
      <c r="H55" s="275"/>
      <c r="I55" s="277"/>
      <c r="J55" s="366" t="s">
        <v>8</v>
      </c>
      <c r="K55" s="261"/>
      <c r="L55" s="276"/>
      <c r="M55" s="261"/>
      <c r="N55" s="363"/>
      <c r="O55" s="261" t="str">
        <f>R2</f>
        <v>Gyenes Imre</v>
      </c>
      <c r="P55" s="276"/>
      <c r="Q55" s="261"/>
      <c r="R55" s="367">
        <f>MIN(4,'[1]1MD ELO'!Q3)</f>
        <v>4</v>
      </c>
      <c r="S55" s="265"/>
      <c r="T55" s="265"/>
    </row>
    <row r="56" spans="1:20" x14ac:dyDescent="0.25">
      <c r="A56" s="228"/>
      <c r="B56" s="228"/>
      <c r="C56" s="228"/>
      <c r="D56" s="228"/>
      <c r="E56" s="228"/>
      <c r="F56" s="228"/>
      <c r="G56" s="228"/>
      <c r="H56" s="228"/>
      <c r="I56" s="228"/>
      <c r="J56" s="368"/>
      <c r="K56" s="228"/>
      <c r="L56" s="368"/>
      <c r="M56" s="228"/>
      <c r="N56" s="369"/>
      <c r="O56" s="228"/>
      <c r="P56" s="368"/>
      <c r="Q56" s="228"/>
      <c r="R56" s="369"/>
      <c r="S56" s="228"/>
      <c r="T56" s="228"/>
    </row>
  </sheetData>
  <mergeCells count="1">
    <mergeCell ref="A2:C2"/>
  </mergeCells>
  <conditionalFormatting sqref="B37 B39 B41 B43 B45">
    <cfRule type="cellIs" dxfId="21" priority="10" stopIfTrue="1" operator="equal">
      <formula>"QA"</formula>
    </cfRule>
    <cfRule type="cellIs" dxfId="20" priority="11" stopIfTrue="1" operator="equal">
      <formula>"DA"</formula>
    </cfRule>
  </conditionalFormatting>
  <conditionalFormatting sqref="E5 E7 E9 E11 E13 E15 E17 E19 E21 E23 E25 E27 E29 E31 E33 E35">
    <cfRule type="expression" dxfId="19" priority="13" stopIfTrue="1">
      <formula>$E5&lt;5</formula>
    </cfRule>
  </conditionalFormatting>
  <conditionalFormatting sqref="E37 E39 E41 E43 E45">
    <cfRule type="expression" dxfId="18" priority="5" stopIfTrue="1">
      <formula>AND($E37&lt;9,$C37&gt;0)</formula>
    </cfRule>
  </conditionalFormatting>
  <conditionalFormatting sqref="F5 F7 F9 F11 F13 F15 F17 F19 F21 F23 F25 F27 F29 F31 F33 F35">
    <cfRule type="cellIs" dxfId="17" priority="14" stopIfTrue="1" operator="equal">
      <formula>"Bye"</formula>
    </cfRule>
  </conditionalFormatting>
  <conditionalFormatting sqref="F37 F39 F41 F43 F45">
    <cfRule type="cellIs" dxfId="16" priority="6" stopIfTrue="1" operator="equal">
      <formula>"Bye"</formula>
    </cfRule>
    <cfRule type="expression" dxfId="15" priority="7" stopIfTrue="1">
      <formula>AND($E37&lt;9,$C37&gt;0)</formula>
    </cfRule>
  </conditionalFormatting>
  <conditionalFormatting sqref="H5 H7 H9 H11 H13 H15 H17 H19 H21 H23 H25 H27 H29 H31 H33 H35 G37:I37 G39:I39 G41:I41 G43:I43 G45:I45">
    <cfRule type="expression" dxfId="14" priority="1" stopIfTrue="1">
      <formula>AND($E5&lt;9,$C5&gt;0)</formula>
    </cfRule>
  </conditionalFormatting>
  <conditionalFormatting sqref="I6 K8 I10 M12 I14 K16 I18 O20 I22 K24 I26 M28 I30 K32 I34 M38 I40 K42 I44">
    <cfRule type="expression" dxfId="13" priority="2" stopIfTrue="1">
      <formula>AND($O$1="CU",I6="Umpire")</formula>
    </cfRule>
    <cfRule type="expression" dxfId="12" priority="3" stopIfTrue="1">
      <formula>AND($O$1="CU",I6&lt;&gt;"Umpire",J6&lt;&gt;"")</formula>
    </cfRule>
    <cfRule type="expression" dxfId="11" priority="4" stopIfTrue="1">
      <formula>AND($O$1="CU",I6&lt;&gt;"Umpire")</formula>
    </cfRule>
  </conditionalFormatting>
  <conditionalFormatting sqref="J6 L8 J10 N12 J14 L16 J18 P20 J22 L24 J26 N28 J30 L32 J34 R55">
    <cfRule type="expression" dxfId="10" priority="12" stopIfTrue="1">
      <formula>$O$1="CU"</formula>
    </cfRule>
  </conditionalFormatting>
  <conditionalFormatting sqref="K6 M8 K10 O12 K14 M16 K18 Q20 K22 M24 K26 O28 K30 M32 K34 O38 K40 M42 K44">
    <cfRule type="expression" dxfId="9" priority="8" stopIfTrue="1">
      <formula>J6="as"</formula>
    </cfRule>
    <cfRule type="expression" dxfId="8" priority="9" stopIfTrue="1">
      <formula>J6="bs"</formula>
    </cfRule>
  </conditionalFormatting>
  <dataValidations count="1">
    <dataValidation type="list" allowBlank="1" showInputMessage="1" sqref="I44 I40 K42 M38 I6 M12 K8 K16 K24 K32 M28 I10 I34 O20 I14 I30 I22 I18 I26" xr:uid="{070D9AC8-8D57-4C08-BF9D-609DDD2CE840}">
      <formula1>$U$7:$U$16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F0B52-7B77-4C84-9BE1-90204C3D4D9E}">
  <dimension ref="A1:G105"/>
  <sheetViews>
    <sheetView zoomScale="70" zoomScaleNormal="70" workbookViewId="0">
      <selection activeCell="B12" sqref="B12"/>
    </sheetView>
  </sheetViews>
  <sheetFormatPr defaultRowHeight="13.2" x14ac:dyDescent="0.25"/>
  <cols>
    <col min="1" max="1" width="40.33203125" customWidth="1"/>
    <col min="2" max="2" width="35.33203125" customWidth="1"/>
    <col min="3" max="3" width="11.88671875" customWidth="1"/>
    <col min="4" max="4" width="54.6640625" customWidth="1"/>
    <col min="5" max="5" width="20.6640625" customWidth="1"/>
    <col min="6" max="6" width="19.77734375" customWidth="1"/>
    <col min="7" max="7" width="19.33203125" customWidth="1"/>
  </cols>
  <sheetData>
    <row r="1" spans="1:7" ht="15.6" x14ac:dyDescent="0.25">
      <c r="A1" s="186" t="s">
        <v>101</v>
      </c>
      <c r="B1" s="186" t="s">
        <v>102</v>
      </c>
      <c r="C1" s="186" t="s">
        <v>103</v>
      </c>
      <c r="D1" s="186" t="s">
        <v>104</v>
      </c>
      <c r="E1" s="186" t="s">
        <v>105</v>
      </c>
      <c r="F1" s="186" t="s">
        <v>106</v>
      </c>
      <c r="G1" s="187" t="s">
        <v>107</v>
      </c>
    </row>
    <row r="2" spans="1:7" ht="30" x14ac:dyDescent="0.25">
      <c r="A2" s="188" t="s">
        <v>108</v>
      </c>
      <c r="B2" s="188" t="s">
        <v>109</v>
      </c>
      <c r="C2" s="189" t="s">
        <v>39</v>
      </c>
      <c r="D2" s="188" t="s">
        <v>110</v>
      </c>
      <c r="E2" s="189" t="s">
        <v>99</v>
      </c>
      <c r="F2" s="188" t="s">
        <v>111</v>
      </c>
      <c r="G2" s="190" t="s">
        <v>112</v>
      </c>
    </row>
    <row r="3" spans="1:7" ht="114.6" customHeight="1" x14ac:dyDescent="0.25">
      <c r="A3" s="188" t="s">
        <v>113</v>
      </c>
      <c r="B3" s="188" t="s">
        <v>109</v>
      </c>
      <c r="C3" s="189" t="s">
        <v>39</v>
      </c>
      <c r="D3" s="188" t="s">
        <v>114</v>
      </c>
      <c r="E3" s="189" t="s">
        <v>99</v>
      </c>
      <c r="F3" s="188" t="s">
        <v>115</v>
      </c>
      <c r="G3" s="190" t="s">
        <v>9</v>
      </c>
    </row>
    <row r="4" spans="1:7" ht="69.599999999999994" customHeight="1" x14ac:dyDescent="0.25">
      <c r="A4" s="188" t="s">
        <v>116</v>
      </c>
      <c r="B4" s="188" t="s">
        <v>109</v>
      </c>
      <c r="C4" s="189" t="s">
        <v>39</v>
      </c>
      <c r="D4" s="188" t="s">
        <v>114</v>
      </c>
      <c r="E4" s="189" t="s">
        <v>99</v>
      </c>
      <c r="F4" s="188" t="s">
        <v>115</v>
      </c>
      <c r="G4" s="190" t="s">
        <v>9</v>
      </c>
    </row>
    <row r="5" spans="1:7" ht="51" customHeight="1" thickBot="1" x14ac:dyDescent="0.3">
      <c r="A5" s="191" t="s">
        <v>117</v>
      </c>
      <c r="B5" s="191" t="s">
        <v>109</v>
      </c>
      <c r="C5" s="192" t="s">
        <v>39</v>
      </c>
      <c r="D5" s="191" t="s">
        <v>118</v>
      </c>
      <c r="E5" s="192" t="s">
        <v>119</v>
      </c>
      <c r="F5" s="191" t="s">
        <v>120</v>
      </c>
      <c r="G5" s="193" t="s">
        <v>9</v>
      </c>
    </row>
    <row r="6" spans="1:7" ht="70.8" customHeight="1" thickTop="1" x14ac:dyDescent="0.25">
      <c r="A6" s="194" t="s">
        <v>121</v>
      </c>
      <c r="B6" s="194" t="s">
        <v>122</v>
      </c>
      <c r="C6" s="195" t="s">
        <v>39</v>
      </c>
      <c r="D6" s="194" t="s">
        <v>110</v>
      </c>
      <c r="E6" s="195" t="s">
        <v>99</v>
      </c>
      <c r="F6" s="194" t="s">
        <v>111</v>
      </c>
      <c r="G6" s="196" t="s">
        <v>112</v>
      </c>
    </row>
    <row r="7" spans="1:7" ht="45" x14ac:dyDescent="0.25">
      <c r="A7" s="188" t="s">
        <v>123</v>
      </c>
      <c r="B7" s="188" t="s">
        <v>122</v>
      </c>
      <c r="C7" s="189" t="s">
        <v>39</v>
      </c>
      <c r="D7" s="188" t="s">
        <v>114</v>
      </c>
      <c r="E7" s="189" t="s">
        <v>99</v>
      </c>
      <c r="F7" s="188" t="s">
        <v>115</v>
      </c>
      <c r="G7" s="190" t="s">
        <v>9</v>
      </c>
    </row>
    <row r="8" spans="1:7" ht="45" x14ac:dyDescent="0.25">
      <c r="A8" s="188" t="s">
        <v>124</v>
      </c>
      <c r="B8" s="188" t="s">
        <v>122</v>
      </c>
      <c r="C8" s="189" t="s">
        <v>39</v>
      </c>
      <c r="D8" s="188" t="s">
        <v>114</v>
      </c>
      <c r="E8" s="189" t="s">
        <v>99</v>
      </c>
      <c r="F8" s="188" t="s">
        <v>115</v>
      </c>
      <c r="G8" s="190" t="s">
        <v>9</v>
      </c>
    </row>
    <row r="9" spans="1:7" ht="45" x14ac:dyDescent="0.25">
      <c r="A9" s="188" t="s">
        <v>125</v>
      </c>
      <c r="B9" s="188" t="s">
        <v>122</v>
      </c>
      <c r="C9" s="189" t="s">
        <v>39</v>
      </c>
      <c r="D9" s="188" t="s">
        <v>114</v>
      </c>
      <c r="E9" s="189" t="s">
        <v>99</v>
      </c>
      <c r="F9" s="188" t="s">
        <v>115</v>
      </c>
      <c r="G9" s="190" t="s">
        <v>9</v>
      </c>
    </row>
    <row r="10" spans="1:7" ht="30" x14ac:dyDescent="0.25">
      <c r="A10" s="188" t="s">
        <v>126</v>
      </c>
      <c r="B10" s="188" t="s">
        <v>122</v>
      </c>
      <c r="C10" s="189" t="s">
        <v>39</v>
      </c>
      <c r="D10" s="188" t="s">
        <v>118</v>
      </c>
      <c r="E10" s="189" t="s">
        <v>119</v>
      </c>
      <c r="F10" s="188" t="s">
        <v>120</v>
      </c>
      <c r="G10" s="190" t="s">
        <v>9</v>
      </c>
    </row>
    <row r="11" spans="1:7" ht="30" x14ac:dyDescent="0.25">
      <c r="A11" s="188" t="s">
        <v>127</v>
      </c>
      <c r="B11" s="188" t="s">
        <v>122</v>
      </c>
      <c r="C11" s="189" t="s">
        <v>39</v>
      </c>
      <c r="D11" s="188" t="s">
        <v>118</v>
      </c>
      <c r="E11" s="189" t="s">
        <v>119</v>
      </c>
      <c r="F11" s="188" t="s">
        <v>120</v>
      </c>
      <c r="G11" s="190" t="s">
        <v>9</v>
      </c>
    </row>
    <row r="12" spans="1:7" ht="30" x14ac:dyDescent="0.25">
      <c r="A12" s="188" t="s">
        <v>128</v>
      </c>
      <c r="B12" s="188" t="s">
        <v>122</v>
      </c>
      <c r="C12" s="189" t="s">
        <v>39</v>
      </c>
      <c r="D12" s="188" t="s">
        <v>118</v>
      </c>
      <c r="E12" s="189" t="s">
        <v>119</v>
      </c>
      <c r="F12" s="188" t="s">
        <v>120</v>
      </c>
      <c r="G12" s="190" t="s">
        <v>9</v>
      </c>
    </row>
    <row r="13" spans="1:7" ht="30" x14ac:dyDescent="0.25">
      <c r="A13" s="188" t="s">
        <v>129</v>
      </c>
      <c r="B13" s="188" t="s">
        <v>122</v>
      </c>
      <c r="C13" s="189" t="s">
        <v>39</v>
      </c>
      <c r="D13" s="188" t="s">
        <v>118</v>
      </c>
      <c r="E13" s="189" t="s">
        <v>119</v>
      </c>
      <c r="F13" s="188" t="s">
        <v>120</v>
      </c>
      <c r="G13" s="190" t="s">
        <v>9</v>
      </c>
    </row>
    <row r="14" spans="1:7" ht="45.6" thickBot="1" x14ac:dyDescent="0.3">
      <c r="A14" s="191" t="s">
        <v>130</v>
      </c>
      <c r="B14" s="191" t="s">
        <v>122</v>
      </c>
      <c r="C14" s="192" t="s">
        <v>39</v>
      </c>
      <c r="D14" s="191" t="s">
        <v>131</v>
      </c>
      <c r="E14" s="192" t="s">
        <v>119</v>
      </c>
      <c r="F14" s="191" t="s">
        <v>132</v>
      </c>
      <c r="G14" s="193" t="s">
        <v>9</v>
      </c>
    </row>
    <row r="15" spans="1:7" ht="31.8" thickTop="1" x14ac:dyDescent="0.25">
      <c r="A15" s="197" t="s">
        <v>133</v>
      </c>
      <c r="B15" s="197" t="s">
        <v>134</v>
      </c>
      <c r="C15" s="198" t="s">
        <v>38</v>
      </c>
      <c r="D15" s="197" t="s">
        <v>110</v>
      </c>
      <c r="E15" s="198" t="s">
        <v>99</v>
      </c>
      <c r="F15" s="197" t="s">
        <v>111</v>
      </c>
      <c r="G15" s="199" t="s">
        <v>112</v>
      </c>
    </row>
    <row r="16" spans="1:7" ht="30" x14ac:dyDescent="0.25">
      <c r="A16" s="188" t="s">
        <v>135</v>
      </c>
      <c r="B16" s="188" t="s">
        <v>134</v>
      </c>
      <c r="C16" s="189" t="s">
        <v>39</v>
      </c>
      <c r="D16" s="188" t="s">
        <v>110</v>
      </c>
      <c r="E16" s="189" t="s">
        <v>99</v>
      </c>
      <c r="F16" s="188" t="s">
        <v>111</v>
      </c>
      <c r="G16" s="190" t="s">
        <v>112</v>
      </c>
    </row>
    <row r="17" spans="1:7" ht="30" x14ac:dyDescent="0.25">
      <c r="A17" s="188" t="s">
        <v>136</v>
      </c>
      <c r="B17" s="188" t="s">
        <v>134</v>
      </c>
      <c r="C17" s="189" t="s">
        <v>39</v>
      </c>
      <c r="D17" s="188" t="s">
        <v>110</v>
      </c>
      <c r="E17" s="189" t="s">
        <v>99</v>
      </c>
      <c r="F17" s="188" t="s">
        <v>111</v>
      </c>
      <c r="G17" s="190" t="s">
        <v>112</v>
      </c>
    </row>
    <row r="18" spans="1:7" ht="30" x14ac:dyDescent="0.25">
      <c r="A18" s="188" t="s">
        <v>137</v>
      </c>
      <c r="B18" s="188" t="s">
        <v>134</v>
      </c>
      <c r="C18" s="189" t="s">
        <v>39</v>
      </c>
      <c r="D18" s="188" t="s">
        <v>110</v>
      </c>
      <c r="E18" s="189" t="s">
        <v>99</v>
      </c>
      <c r="F18" s="188" t="s">
        <v>111</v>
      </c>
      <c r="G18" s="190" t="s">
        <v>138</v>
      </c>
    </row>
    <row r="19" spans="1:7" ht="45" x14ac:dyDescent="0.25">
      <c r="A19" s="188" t="s">
        <v>139</v>
      </c>
      <c r="B19" s="188" t="s">
        <v>134</v>
      </c>
      <c r="C19" s="189" t="s">
        <v>39</v>
      </c>
      <c r="D19" s="188" t="s">
        <v>114</v>
      </c>
      <c r="E19" s="189" t="s">
        <v>99</v>
      </c>
      <c r="F19" s="188" t="s">
        <v>115</v>
      </c>
      <c r="G19" s="190" t="s">
        <v>9</v>
      </c>
    </row>
    <row r="20" spans="1:7" ht="30" x14ac:dyDescent="0.25">
      <c r="A20" s="188" t="s">
        <v>140</v>
      </c>
      <c r="B20" s="188" t="s">
        <v>134</v>
      </c>
      <c r="C20" s="189" t="s">
        <v>39</v>
      </c>
      <c r="D20" s="188" t="s">
        <v>118</v>
      </c>
      <c r="E20" s="189" t="s">
        <v>119</v>
      </c>
      <c r="F20" s="188" t="s">
        <v>120</v>
      </c>
      <c r="G20" s="190" t="s">
        <v>9</v>
      </c>
    </row>
    <row r="21" spans="1:7" ht="30" x14ac:dyDescent="0.25">
      <c r="A21" s="188" t="s">
        <v>141</v>
      </c>
      <c r="B21" s="188" t="s">
        <v>134</v>
      </c>
      <c r="C21" s="189" t="s">
        <v>39</v>
      </c>
      <c r="D21" s="188" t="s">
        <v>118</v>
      </c>
      <c r="E21" s="189" t="s">
        <v>119</v>
      </c>
      <c r="F21" s="188" t="s">
        <v>120</v>
      </c>
      <c r="G21" s="190" t="s">
        <v>9</v>
      </c>
    </row>
    <row r="22" spans="1:7" ht="30" x14ac:dyDescent="0.25">
      <c r="A22" s="188" t="s">
        <v>142</v>
      </c>
      <c r="B22" s="188" t="s">
        <v>134</v>
      </c>
      <c r="C22" s="189" t="s">
        <v>39</v>
      </c>
      <c r="D22" s="188" t="s">
        <v>118</v>
      </c>
      <c r="E22" s="189" t="s">
        <v>119</v>
      </c>
      <c r="F22" s="188" t="s">
        <v>120</v>
      </c>
      <c r="G22" s="190" t="s">
        <v>9</v>
      </c>
    </row>
    <row r="23" spans="1:7" ht="30" x14ac:dyDescent="0.25">
      <c r="A23" s="188" t="s">
        <v>143</v>
      </c>
      <c r="B23" s="188" t="s">
        <v>134</v>
      </c>
      <c r="C23" s="189" t="s">
        <v>39</v>
      </c>
      <c r="D23" s="188" t="s">
        <v>118</v>
      </c>
      <c r="E23" s="189" t="s">
        <v>119</v>
      </c>
      <c r="F23" s="188" t="s">
        <v>120</v>
      </c>
      <c r="G23" s="190" t="s">
        <v>9</v>
      </c>
    </row>
    <row r="24" spans="1:7" ht="30.6" thickBot="1" x14ac:dyDescent="0.3">
      <c r="A24" s="191" t="s">
        <v>144</v>
      </c>
      <c r="B24" s="191" t="s">
        <v>134</v>
      </c>
      <c r="C24" s="192" t="s">
        <v>39</v>
      </c>
      <c r="D24" s="191" t="s">
        <v>118</v>
      </c>
      <c r="E24" s="192" t="s">
        <v>119</v>
      </c>
      <c r="F24" s="191" t="s">
        <v>120</v>
      </c>
      <c r="G24" s="193" t="s">
        <v>9</v>
      </c>
    </row>
    <row r="25" spans="1:7" ht="15.6" thickTop="1" x14ac:dyDescent="0.25">
      <c r="A25" s="194" t="s">
        <v>145</v>
      </c>
      <c r="B25" s="194" t="s">
        <v>146</v>
      </c>
      <c r="C25" s="195" t="s">
        <v>39</v>
      </c>
      <c r="D25" s="194" t="s">
        <v>110</v>
      </c>
      <c r="E25" s="195" t="s">
        <v>99</v>
      </c>
      <c r="F25" s="194" t="s">
        <v>111</v>
      </c>
      <c r="G25" s="196" t="s">
        <v>112</v>
      </c>
    </row>
    <row r="26" spans="1:7" ht="45" x14ac:dyDescent="0.25">
      <c r="A26" s="188" t="s">
        <v>147</v>
      </c>
      <c r="B26" s="188" t="s">
        <v>146</v>
      </c>
      <c r="C26" s="189" t="s">
        <v>39</v>
      </c>
      <c r="D26" s="188" t="s">
        <v>114</v>
      </c>
      <c r="E26" s="189" t="s">
        <v>99</v>
      </c>
      <c r="F26" s="188" t="s">
        <v>115</v>
      </c>
      <c r="G26" s="190" t="s">
        <v>9</v>
      </c>
    </row>
    <row r="27" spans="1:7" ht="45" x14ac:dyDescent="0.25">
      <c r="A27" s="188" t="s">
        <v>148</v>
      </c>
      <c r="B27" s="188" t="s">
        <v>146</v>
      </c>
      <c r="C27" s="189" t="s">
        <v>39</v>
      </c>
      <c r="D27" s="188" t="s">
        <v>114</v>
      </c>
      <c r="E27" s="189" t="s">
        <v>99</v>
      </c>
      <c r="F27" s="188" t="s">
        <v>115</v>
      </c>
      <c r="G27" s="190" t="s">
        <v>9</v>
      </c>
    </row>
    <row r="28" spans="1:7" ht="15" x14ac:dyDescent="0.25">
      <c r="A28" s="188" t="s">
        <v>149</v>
      </c>
      <c r="B28" s="188" t="s">
        <v>146</v>
      </c>
      <c r="C28" s="189" t="s">
        <v>39</v>
      </c>
      <c r="D28" s="188" t="s">
        <v>118</v>
      </c>
      <c r="E28" s="189" t="s">
        <v>119</v>
      </c>
      <c r="F28" s="188" t="s">
        <v>120</v>
      </c>
      <c r="G28" s="190" t="s">
        <v>9</v>
      </c>
    </row>
    <row r="29" spans="1:7" ht="15.6" thickBot="1" x14ac:dyDescent="0.3">
      <c r="A29" s="191" t="s">
        <v>150</v>
      </c>
      <c r="B29" s="191" t="s">
        <v>146</v>
      </c>
      <c r="C29" s="192" t="s">
        <v>39</v>
      </c>
      <c r="D29" s="191" t="s">
        <v>118</v>
      </c>
      <c r="E29" s="192" t="s">
        <v>119</v>
      </c>
      <c r="F29" s="191" t="s">
        <v>120</v>
      </c>
      <c r="G29" s="193" t="s">
        <v>9</v>
      </c>
    </row>
    <row r="30" spans="1:7" ht="15.6" thickTop="1" x14ac:dyDescent="0.25">
      <c r="A30" s="194" t="s">
        <v>151</v>
      </c>
      <c r="B30" s="194" t="s">
        <v>152</v>
      </c>
      <c r="C30" s="195" t="s">
        <v>39</v>
      </c>
      <c r="D30" s="194" t="s">
        <v>110</v>
      </c>
      <c r="E30" s="195" t="s">
        <v>99</v>
      </c>
      <c r="F30" s="194" t="s">
        <v>111</v>
      </c>
      <c r="G30" s="196" t="s">
        <v>112</v>
      </c>
    </row>
    <row r="31" spans="1:7" ht="15" x14ac:dyDescent="0.25">
      <c r="A31" s="188" t="s">
        <v>153</v>
      </c>
      <c r="B31" s="188" t="s">
        <v>152</v>
      </c>
      <c r="C31" s="189" t="s">
        <v>39</v>
      </c>
      <c r="D31" s="188" t="s">
        <v>110</v>
      </c>
      <c r="E31" s="189" t="s">
        <v>99</v>
      </c>
      <c r="F31" s="188" t="s">
        <v>111</v>
      </c>
      <c r="G31" s="190" t="s">
        <v>112</v>
      </c>
    </row>
    <row r="32" spans="1:7" ht="15" x14ac:dyDescent="0.25">
      <c r="A32" s="188" t="s">
        <v>154</v>
      </c>
      <c r="B32" s="188" t="s">
        <v>152</v>
      </c>
      <c r="C32" s="189" t="s">
        <v>39</v>
      </c>
      <c r="D32" s="188" t="s">
        <v>110</v>
      </c>
      <c r="E32" s="189" t="s">
        <v>99</v>
      </c>
      <c r="F32" s="188" t="s">
        <v>111</v>
      </c>
      <c r="G32" s="190" t="s">
        <v>112</v>
      </c>
    </row>
    <row r="33" spans="1:7" ht="15" x14ac:dyDescent="0.25">
      <c r="A33" s="188" t="s">
        <v>155</v>
      </c>
      <c r="B33" s="188" t="s">
        <v>152</v>
      </c>
      <c r="C33" s="189" t="s">
        <v>39</v>
      </c>
      <c r="D33" s="188" t="s">
        <v>156</v>
      </c>
      <c r="E33" s="189" t="s">
        <v>99</v>
      </c>
      <c r="F33" s="188" t="s">
        <v>157</v>
      </c>
      <c r="G33" s="190" t="s">
        <v>9</v>
      </c>
    </row>
    <row r="34" spans="1:7" ht="15" x14ac:dyDescent="0.25">
      <c r="A34" s="188" t="s">
        <v>158</v>
      </c>
      <c r="B34" s="188" t="s">
        <v>152</v>
      </c>
      <c r="C34" s="189" t="s">
        <v>39</v>
      </c>
      <c r="D34" s="188" t="s">
        <v>156</v>
      </c>
      <c r="E34" s="189" t="s">
        <v>99</v>
      </c>
      <c r="F34" s="188" t="s">
        <v>157</v>
      </c>
      <c r="G34" s="190" t="s">
        <v>9</v>
      </c>
    </row>
    <row r="35" spans="1:7" ht="15" x14ac:dyDescent="0.25">
      <c r="A35" s="188" t="s">
        <v>159</v>
      </c>
      <c r="B35" s="188" t="s">
        <v>152</v>
      </c>
      <c r="C35" s="189" t="s">
        <v>39</v>
      </c>
      <c r="D35" s="188" t="s">
        <v>118</v>
      </c>
      <c r="E35" s="189" t="s">
        <v>119</v>
      </c>
      <c r="F35" s="188" t="s">
        <v>120</v>
      </c>
      <c r="G35" s="190" t="s">
        <v>9</v>
      </c>
    </row>
    <row r="36" spans="1:7" ht="15" x14ac:dyDescent="0.25">
      <c r="A36" s="188" t="s">
        <v>160</v>
      </c>
      <c r="B36" s="188" t="s">
        <v>152</v>
      </c>
      <c r="C36" s="189" t="s">
        <v>39</v>
      </c>
      <c r="D36" s="188" t="s">
        <v>118</v>
      </c>
      <c r="E36" s="189" t="s">
        <v>119</v>
      </c>
      <c r="F36" s="188" t="s">
        <v>120</v>
      </c>
      <c r="G36" s="190" t="s">
        <v>9</v>
      </c>
    </row>
    <row r="37" spans="1:7" ht="30" x14ac:dyDescent="0.25">
      <c r="A37" s="188" t="s">
        <v>161</v>
      </c>
      <c r="B37" s="188" t="s">
        <v>152</v>
      </c>
      <c r="C37" s="189" t="s">
        <v>39</v>
      </c>
      <c r="D37" s="188" t="s">
        <v>162</v>
      </c>
      <c r="E37" s="189" t="s">
        <v>119</v>
      </c>
      <c r="F37" s="188" t="s">
        <v>163</v>
      </c>
      <c r="G37" s="190" t="s">
        <v>9</v>
      </c>
    </row>
    <row r="38" spans="1:7" ht="31.2" x14ac:dyDescent="0.25">
      <c r="A38" s="200" t="s">
        <v>164</v>
      </c>
      <c r="B38" s="200" t="s">
        <v>152</v>
      </c>
      <c r="C38" s="201" t="s">
        <v>38</v>
      </c>
      <c r="D38" s="200" t="s">
        <v>165</v>
      </c>
      <c r="E38" s="201" t="s">
        <v>119</v>
      </c>
      <c r="F38" s="200" t="s">
        <v>166</v>
      </c>
      <c r="G38" s="202" t="s">
        <v>9</v>
      </c>
    </row>
    <row r="39" spans="1:7" ht="15.6" thickBot="1" x14ac:dyDescent="0.3">
      <c r="A39" s="191" t="s">
        <v>167</v>
      </c>
      <c r="B39" s="191" t="s">
        <v>152</v>
      </c>
      <c r="C39" s="192" t="s">
        <v>39</v>
      </c>
      <c r="D39" s="191" t="s">
        <v>168</v>
      </c>
      <c r="E39" s="192" t="s">
        <v>119</v>
      </c>
      <c r="F39" s="191" t="s">
        <v>169</v>
      </c>
      <c r="G39" s="193" t="s">
        <v>9</v>
      </c>
    </row>
    <row r="40" spans="1:7" ht="15.6" thickTop="1" x14ac:dyDescent="0.25">
      <c r="A40" s="194" t="s">
        <v>170</v>
      </c>
      <c r="B40" s="194" t="s">
        <v>171</v>
      </c>
      <c r="C40" s="195" t="s">
        <v>39</v>
      </c>
      <c r="D40" s="194" t="s">
        <v>110</v>
      </c>
      <c r="E40" s="195" t="s">
        <v>99</v>
      </c>
      <c r="F40" s="194" t="s">
        <v>111</v>
      </c>
      <c r="G40" s="196" t="s">
        <v>112</v>
      </c>
    </row>
    <row r="41" spans="1:7" ht="15" x14ac:dyDescent="0.25">
      <c r="A41" s="188" t="s">
        <v>172</v>
      </c>
      <c r="B41" s="188" t="s">
        <v>171</v>
      </c>
      <c r="C41" s="189" t="s">
        <v>39</v>
      </c>
      <c r="D41" s="188" t="s">
        <v>110</v>
      </c>
      <c r="E41" s="189" t="s">
        <v>99</v>
      </c>
      <c r="F41" s="188" t="s">
        <v>111</v>
      </c>
      <c r="G41" s="190" t="s">
        <v>112</v>
      </c>
    </row>
    <row r="42" spans="1:7" ht="15" x14ac:dyDescent="0.25">
      <c r="A42" s="188" t="s">
        <v>173</v>
      </c>
      <c r="B42" s="188" t="s">
        <v>171</v>
      </c>
      <c r="C42" s="189" t="s">
        <v>39</v>
      </c>
      <c r="D42" s="188" t="s">
        <v>110</v>
      </c>
      <c r="E42" s="189" t="s">
        <v>99</v>
      </c>
      <c r="F42" s="188" t="s">
        <v>111</v>
      </c>
      <c r="G42" s="190" t="s">
        <v>112</v>
      </c>
    </row>
    <row r="43" spans="1:7" ht="15" x14ac:dyDescent="0.25">
      <c r="A43" s="188" t="s">
        <v>174</v>
      </c>
      <c r="B43" s="188" t="s">
        <v>171</v>
      </c>
      <c r="C43" s="189" t="s">
        <v>39</v>
      </c>
      <c r="D43" s="188" t="s">
        <v>156</v>
      </c>
      <c r="E43" s="189" t="s">
        <v>99</v>
      </c>
      <c r="F43" s="188" t="s">
        <v>157</v>
      </c>
      <c r="G43" s="190" t="s">
        <v>9</v>
      </c>
    </row>
    <row r="44" spans="1:7" ht="15" x14ac:dyDescent="0.25">
      <c r="A44" s="188" t="s">
        <v>175</v>
      </c>
      <c r="B44" s="188" t="s">
        <v>171</v>
      </c>
      <c r="C44" s="189" t="s">
        <v>39</v>
      </c>
      <c r="D44" s="188" t="s">
        <v>156</v>
      </c>
      <c r="E44" s="189" t="s">
        <v>99</v>
      </c>
      <c r="F44" s="188" t="s">
        <v>157</v>
      </c>
      <c r="G44" s="190" t="s">
        <v>9</v>
      </c>
    </row>
    <row r="45" spans="1:7" ht="15" x14ac:dyDescent="0.25">
      <c r="A45" s="188" t="s">
        <v>176</v>
      </c>
      <c r="B45" s="188" t="s">
        <v>171</v>
      </c>
      <c r="C45" s="189" t="s">
        <v>39</v>
      </c>
      <c r="D45" s="188" t="s">
        <v>156</v>
      </c>
      <c r="E45" s="189" t="s">
        <v>99</v>
      </c>
      <c r="F45" s="188" t="s">
        <v>157</v>
      </c>
      <c r="G45" s="190" t="s">
        <v>9</v>
      </c>
    </row>
    <row r="46" spans="1:7" ht="45" x14ac:dyDescent="0.25">
      <c r="A46" s="188" t="s">
        <v>177</v>
      </c>
      <c r="B46" s="188" t="s">
        <v>171</v>
      </c>
      <c r="C46" s="189" t="s">
        <v>39</v>
      </c>
      <c r="D46" s="188" t="s">
        <v>114</v>
      </c>
      <c r="E46" s="189" t="s">
        <v>99</v>
      </c>
      <c r="F46" s="188" t="s">
        <v>112</v>
      </c>
      <c r="G46" s="190" t="s">
        <v>112</v>
      </c>
    </row>
    <row r="47" spans="1:7" ht="15" x14ac:dyDescent="0.25">
      <c r="A47" s="188" t="s">
        <v>178</v>
      </c>
      <c r="B47" s="188" t="s">
        <v>171</v>
      </c>
      <c r="C47" s="189" t="s">
        <v>39</v>
      </c>
      <c r="D47" s="188" t="s">
        <v>165</v>
      </c>
      <c r="E47" s="189" t="s">
        <v>119</v>
      </c>
      <c r="F47" s="188" t="s">
        <v>179</v>
      </c>
      <c r="G47" s="190" t="s">
        <v>9</v>
      </c>
    </row>
    <row r="48" spans="1:7" ht="15.6" x14ac:dyDescent="0.25">
      <c r="A48" s="200" t="s">
        <v>180</v>
      </c>
      <c r="B48" s="200" t="s">
        <v>171</v>
      </c>
      <c r="C48" s="201" t="s">
        <v>38</v>
      </c>
      <c r="D48" s="200" t="s">
        <v>181</v>
      </c>
      <c r="E48" s="201" t="s">
        <v>119</v>
      </c>
      <c r="F48" s="200" t="s">
        <v>182</v>
      </c>
      <c r="G48" s="202" t="s">
        <v>9</v>
      </c>
    </row>
    <row r="49" spans="1:7" ht="15" x14ac:dyDescent="0.25">
      <c r="A49" s="188" t="s">
        <v>183</v>
      </c>
      <c r="B49" s="188" t="s">
        <v>171</v>
      </c>
      <c r="C49" s="189" t="s">
        <v>39</v>
      </c>
      <c r="D49" s="188" t="s">
        <v>184</v>
      </c>
      <c r="E49" s="189" t="s">
        <v>185</v>
      </c>
      <c r="F49" s="188" t="s">
        <v>186</v>
      </c>
      <c r="G49" s="190" t="s">
        <v>9</v>
      </c>
    </row>
    <row r="50" spans="1:7" ht="16.2" thickBot="1" x14ac:dyDescent="0.3">
      <c r="A50" s="203" t="s">
        <v>187</v>
      </c>
      <c r="B50" s="203" t="s">
        <v>171</v>
      </c>
      <c r="C50" s="204" t="s">
        <v>38</v>
      </c>
      <c r="D50" s="203" t="s">
        <v>188</v>
      </c>
      <c r="E50" s="204" t="s">
        <v>185</v>
      </c>
      <c r="F50" s="203" t="s">
        <v>189</v>
      </c>
      <c r="G50" s="205" t="s">
        <v>9</v>
      </c>
    </row>
    <row r="51" spans="1:7" ht="15.6" thickTop="1" x14ac:dyDescent="0.25">
      <c r="A51" s="194" t="s">
        <v>190</v>
      </c>
      <c r="B51" s="194" t="s">
        <v>191</v>
      </c>
      <c r="C51" s="195" t="s">
        <v>39</v>
      </c>
      <c r="D51" s="194" t="s">
        <v>156</v>
      </c>
      <c r="E51" s="195" t="s">
        <v>99</v>
      </c>
      <c r="F51" s="194" t="s">
        <v>157</v>
      </c>
      <c r="G51" s="196" t="s">
        <v>9</v>
      </c>
    </row>
    <row r="52" spans="1:7" ht="45" x14ac:dyDescent="0.25">
      <c r="A52" s="188" t="s">
        <v>192</v>
      </c>
      <c r="B52" s="188" t="s">
        <v>191</v>
      </c>
      <c r="C52" s="189" t="s">
        <v>39</v>
      </c>
      <c r="D52" s="188" t="s">
        <v>114</v>
      </c>
      <c r="E52" s="189" t="s">
        <v>99</v>
      </c>
      <c r="F52" s="188" t="s">
        <v>112</v>
      </c>
      <c r="G52" s="190" t="s">
        <v>112</v>
      </c>
    </row>
    <row r="53" spans="1:7" ht="15" x14ac:dyDescent="0.25">
      <c r="A53" s="188" t="s">
        <v>193</v>
      </c>
      <c r="B53" s="188" t="s">
        <v>191</v>
      </c>
      <c r="C53" s="189" t="s">
        <v>39</v>
      </c>
      <c r="D53" s="188" t="s">
        <v>194</v>
      </c>
      <c r="E53" s="189" t="s">
        <v>119</v>
      </c>
      <c r="F53" s="188" t="s">
        <v>195</v>
      </c>
      <c r="G53" s="190" t="s">
        <v>9</v>
      </c>
    </row>
    <row r="54" spans="1:7" ht="31.2" x14ac:dyDescent="0.25">
      <c r="A54" s="200" t="s">
        <v>196</v>
      </c>
      <c r="B54" s="200" t="s">
        <v>191</v>
      </c>
      <c r="C54" s="201" t="s">
        <v>38</v>
      </c>
      <c r="D54" s="200" t="s">
        <v>165</v>
      </c>
      <c r="E54" s="201" t="s">
        <v>119</v>
      </c>
      <c r="F54" s="200" t="s">
        <v>166</v>
      </c>
      <c r="G54" s="202" t="s">
        <v>9</v>
      </c>
    </row>
    <row r="55" spans="1:7" ht="15" x14ac:dyDescent="0.25">
      <c r="A55" s="188" t="s">
        <v>197</v>
      </c>
      <c r="B55" s="188" t="s">
        <v>191</v>
      </c>
      <c r="C55" s="189" t="s">
        <v>39</v>
      </c>
      <c r="D55" s="188" t="s">
        <v>168</v>
      </c>
      <c r="E55" s="189" t="s">
        <v>119</v>
      </c>
      <c r="F55" s="188" t="s">
        <v>198</v>
      </c>
      <c r="G55" s="190" t="s">
        <v>9</v>
      </c>
    </row>
    <row r="56" spans="1:7" ht="15" x14ac:dyDescent="0.25">
      <c r="A56" s="188" t="s">
        <v>199</v>
      </c>
      <c r="B56" s="188" t="s">
        <v>191</v>
      </c>
      <c r="C56" s="189" t="s">
        <v>39</v>
      </c>
      <c r="D56" s="188" t="s">
        <v>168</v>
      </c>
      <c r="E56" s="189" t="s">
        <v>119</v>
      </c>
      <c r="F56" s="188" t="s">
        <v>198</v>
      </c>
      <c r="G56" s="190" t="s">
        <v>9</v>
      </c>
    </row>
    <row r="57" spans="1:7" ht="15.6" thickBot="1" x14ac:dyDescent="0.3">
      <c r="A57" s="191" t="s">
        <v>200</v>
      </c>
      <c r="B57" s="191" t="s">
        <v>191</v>
      </c>
      <c r="C57" s="192" t="s">
        <v>39</v>
      </c>
      <c r="D57" s="191" t="s">
        <v>201</v>
      </c>
      <c r="E57" s="192" t="s">
        <v>119</v>
      </c>
      <c r="F57" s="191" t="s">
        <v>202</v>
      </c>
      <c r="G57" s="193" t="s">
        <v>9</v>
      </c>
    </row>
    <row r="58" spans="1:7" ht="15.6" thickTop="1" x14ac:dyDescent="0.25">
      <c r="A58" s="194" t="s">
        <v>203</v>
      </c>
      <c r="B58" s="194" t="s">
        <v>204</v>
      </c>
      <c r="C58" s="195" t="s">
        <v>39</v>
      </c>
      <c r="D58" s="194" t="s">
        <v>156</v>
      </c>
      <c r="E58" s="195" t="s">
        <v>99</v>
      </c>
      <c r="F58" s="194" t="s">
        <v>157</v>
      </c>
      <c r="G58" s="196" t="s">
        <v>9</v>
      </c>
    </row>
    <row r="59" spans="1:7" ht="15" x14ac:dyDescent="0.25">
      <c r="A59" s="188" t="s">
        <v>205</v>
      </c>
      <c r="B59" s="188" t="s">
        <v>204</v>
      </c>
      <c r="C59" s="189" t="s">
        <v>39</v>
      </c>
      <c r="D59" s="188" t="s">
        <v>156</v>
      </c>
      <c r="E59" s="189" t="s">
        <v>99</v>
      </c>
      <c r="F59" s="188" t="s">
        <v>157</v>
      </c>
      <c r="G59" s="190" t="s">
        <v>9</v>
      </c>
    </row>
    <row r="60" spans="1:7" ht="15" x14ac:dyDescent="0.25">
      <c r="A60" s="188" t="s">
        <v>206</v>
      </c>
      <c r="B60" s="188" t="s">
        <v>204</v>
      </c>
      <c r="C60" s="189" t="s">
        <v>39</v>
      </c>
      <c r="D60" s="188" t="s">
        <v>156</v>
      </c>
      <c r="E60" s="189" t="s">
        <v>99</v>
      </c>
      <c r="F60" s="188" t="s">
        <v>157</v>
      </c>
      <c r="G60" s="190" t="s">
        <v>9</v>
      </c>
    </row>
    <row r="61" spans="1:7" ht="15" x14ac:dyDescent="0.25">
      <c r="A61" s="188" t="s">
        <v>207</v>
      </c>
      <c r="B61" s="188" t="s">
        <v>204</v>
      </c>
      <c r="C61" s="189" t="s">
        <v>39</v>
      </c>
      <c r="D61" s="188" t="s">
        <v>184</v>
      </c>
      <c r="E61" s="189" t="s">
        <v>185</v>
      </c>
      <c r="F61" s="188" t="s">
        <v>186</v>
      </c>
      <c r="G61" s="190" t="s">
        <v>9</v>
      </c>
    </row>
    <row r="62" spans="1:7" ht="15" x14ac:dyDescent="0.25">
      <c r="A62" s="188" t="s">
        <v>208</v>
      </c>
      <c r="B62" s="188" t="s">
        <v>204</v>
      </c>
      <c r="C62" s="189" t="s">
        <v>39</v>
      </c>
      <c r="D62" s="188" t="s">
        <v>184</v>
      </c>
      <c r="E62" s="189" t="s">
        <v>185</v>
      </c>
      <c r="F62" s="188" t="s">
        <v>186</v>
      </c>
      <c r="G62" s="190" t="s">
        <v>9</v>
      </c>
    </row>
    <row r="63" spans="1:7" ht="15.6" thickBot="1" x14ac:dyDescent="0.3">
      <c r="A63" s="206" t="s">
        <v>209</v>
      </c>
      <c r="B63" s="206" t="s">
        <v>204</v>
      </c>
      <c r="C63" s="207" t="s">
        <v>39</v>
      </c>
      <c r="D63" s="206" t="s">
        <v>184</v>
      </c>
      <c r="E63" s="207" t="s">
        <v>185</v>
      </c>
      <c r="F63" s="206" t="s">
        <v>186</v>
      </c>
      <c r="G63" s="208" t="s">
        <v>9</v>
      </c>
    </row>
    <row r="64" spans="1:7" ht="30" x14ac:dyDescent="0.25">
      <c r="A64" s="189" t="s">
        <v>210</v>
      </c>
      <c r="B64" s="188" t="s">
        <v>109</v>
      </c>
      <c r="C64" s="189" t="s">
        <v>39</v>
      </c>
      <c r="D64" s="188" t="s">
        <v>110</v>
      </c>
      <c r="E64" s="189" t="s">
        <v>99</v>
      </c>
      <c r="F64" s="188" t="s">
        <v>111</v>
      </c>
      <c r="G64" s="189" t="s">
        <v>112</v>
      </c>
    </row>
    <row r="65" spans="1:7" ht="45" x14ac:dyDescent="0.25">
      <c r="A65" s="189" t="s">
        <v>211</v>
      </c>
      <c r="B65" s="188" t="s">
        <v>109</v>
      </c>
      <c r="C65" s="189" t="s">
        <v>39</v>
      </c>
      <c r="D65" s="188" t="s">
        <v>114</v>
      </c>
      <c r="E65" s="189" t="s">
        <v>99</v>
      </c>
      <c r="F65" s="188" t="s">
        <v>115</v>
      </c>
      <c r="G65" s="189" t="s">
        <v>9</v>
      </c>
    </row>
    <row r="66" spans="1:7" ht="30.6" thickBot="1" x14ac:dyDescent="0.3">
      <c r="A66" s="192" t="s">
        <v>212</v>
      </c>
      <c r="B66" s="191" t="s">
        <v>109</v>
      </c>
      <c r="C66" s="192" t="s">
        <v>39</v>
      </c>
      <c r="D66" s="191" t="s">
        <v>213</v>
      </c>
      <c r="E66" s="192" t="s">
        <v>119</v>
      </c>
      <c r="F66" s="191" t="s">
        <v>214</v>
      </c>
      <c r="G66" s="192" t="s">
        <v>9</v>
      </c>
    </row>
    <row r="67" spans="1:7" ht="30.6" thickTop="1" x14ac:dyDescent="0.25">
      <c r="A67" s="195" t="s">
        <v>215</v>
      </c>
      <c r="B67" s="194" t="s">
        <v>122</v>
      </c>
      <c r="C67" s="195" t="s">
        <v>39</v>
      </c>
      <c r="D67" s="194" t="s">
        <v>110</v>
      </c>
      <c r="E67" s="195" t="s">
        <v>99</v>
      </c>
      <c r="F67" s="194" t="s">
        <v>111</v>
      </c>
      <c r="G67" s="195" t="s">
        <v>112</v>
      </c>
    </row>
    <row r="68" spans="1:7" ht="30" x14ac:dyDescent="0.25">
      <c r="A68" s="189" t="s">
        <v>216</v>
      </c>
      <c r="B68" s="188" t="s">
        <v>122</v>
      </c>
      <c r="C68" s="189" t="s">
        <v>39</v>
      </c>
      <c r="D68" s="188" t="s">
        <v>110</v>
      </c>
      <c r="E68" s="189" t="s">
        <v>99</v>
      </c>
      <c r="F68" s="188" t="s">
        <v>111</v>
      </c>
      <c r="G68" s="189" t="s">
        <v>112</v>
      </c>
    </row>
    <row r="69" spans="1:7" ht="30" x14ac:dyDescent="0.25">
      <c r="A69" s="189" t="s">
        <v>217</v>
      </c>
      <c r="B69" s="188" t="s">
        <v>122</v>
      </c>
      <c r="C69" s="189" t="s">
        <v>39</v>
      </c>
      <c r="D69" s="188" t="s">
        <v>110</v>
      </c>
      <c r="E69" s="189" t="s">
        <v>99</v>
      </c>
      <c r="F69" s="188" t="s">
        <v>111</v>
      </c>
      <c r="G69" s="189" t="s">
        <v>112</v>
      </c>
    </row>
    <row r="70" spans="1:7" ht="45" x14ac:dyDescent="0.25">
      <c r="A70" s="189" t="s">
        <v>218</v>
      </c>
      <c r="B70" s="188" t="s">
        <v>122</v>
      </c>
      <c r="C70" s="189" t="s">
        <v>39</v>
      </c>
      <c r="D70" s="188" t="s">
        <v>114</v>
      </c>
      <c r="E70" s="189" t="s">
        <v>99</v>
      </c>
      <c r="F70" s="188" t="s">
        <v>115</v>
      </c>
      <c r="G70" s="189" t="s">
        <v>9</v>
      </c>
    </row>
    <row r="71" spans="1:7" ht="30" x14ac:dyDescent="0.25">
      <c r="A71" s="189" t="s">
        <v>219</v>
      </c>
      <c r="B71" s="188" t="s">
        <v>122</v>
      </c>
      <c r="C71" s="189" t="s">
        <v>39</v>
      </c>
      <c r="D71" s="188" t="s">
        <v>118</v>
      </c>
      <c r="E71" s="189" t="s">
        <v>119</v>
      </c>
      <c r="F71" s="188" t="s">
        <v>120</v>
      </c>
      <c r="G71" s="189" t="s">
        <v>9</v>
      </c>
    </row>
    <row r="72" spans="1:7" ht="30.6" thickBot="1" x14ac:dyDescent="0.3">
      <c r="A72" s="192" t="s">
        <v>220</v>
      </c>
      <c r="B72" s="191" t="s">
        <v>122</v>
      </c>
      <c r="C72" s="192" t="s">
        <v>39</v>
      </c>
      <c r="D72" s="191" t="s">
        <v>118</v>
      </c>
      <c r="E72" s="192" t="s">
        <v>119</v>
      </c>
      <c r="F72" s="191" t="s">
        <v>120</v>
      </c>
      <c r="G72" s="192" t="s">
        <v>9</v>
      </c>
    </row>
    <row r="73" spans="1:7" ht="30.6" thickTop="1" x14ac:dyDescent="0.25">
      <c r="A73" s="195" t="s">
        <v>221</v>
      </c>
      <c r="B73" s="194" t="s">
        <v>134</v>
      </c>
      <c r="C73" s="195" t="s">
        <v>39</v>
      </c>
      <c r="D73" s="194" t="s">
        <v>110</v>
      </c>
      <c r="E73" s="195" t="s">
        <v>99</v>
      </c>
      <c r="F73" s="194" t="s">
        <v>111</v>
      </c>
      <c r="G73" s="195" t="s">
        <v>112</v>
      </c>
    </row>
    <row r="74" spans="1:7" ht="30" x14ac:dyDescent="0.25">
      <c r="A74" s="189" t="s">
        <v>222</v>
      </c>
      <c r="B74" s="188" t="s">
        <v>134</v>
      </c>
      <c r="C74" s="189" t="s">
        <v>39</v>
      </c>
      <c r="D74" s="188" t="s">
        <v>110</v>
      </c>
      <c r="E74" s="189" t="s">
        <v>99</v>
      </c>
      <c r="F74" s="188" t="s">
        <v>111</v>
      </c>
      <c r="G74" s="189" t="s">
        <v>112</v>
      </c>
    </row>
    <row r="75" spans="1:7" ht="30" x14ac:dyDescent="0.25">
      <c r="A75" s="189" t="s">
        <v>223</v>
      </c>
      <c r="B75" s="188" t="s">
        <v>134</v>
      </c>
      <c r="C75" s="189" t="s">
        <v>39</v>
      </c>
      <c r="D75" s="188" t="s">
        <v>110</v>
      </c>
      <c r="E75" s="189" t="s">
        <v>99</v>
      </c>
      <c r="F75" s="188" t="s">
        <v>111</v>
      </c>
      <c r="G75" s="189" t="s">
        <v>112</v>
      </c>
    </row>
    <row r="76" spans="1:7" ht="30" x14ac:dyDescent="0.25">
      <c r="A76" s="189" t="s">
        <v>224</v>
      </c>
      <c r="B76" s="188" t="s">
        <v>134</v>
      </c>
      <c r="C76" s="189" t="s">
        <v>39</v>
      </c>
      <c r="D76" s="188" t="s">
        <v>110</v>
      </c>
      <c r="E76" s="189" t="s">
        <v>99</v>
      </c>
      <c r="F76" s="188" t="s">
        <v>111</v>
      </c>
      <c r="G76" s="189" t="s">
        <v>112</v>
      </c>
    </row>
    <row r="77" spans="1:7" ht="45" x14ac:dyDescent="0.25">
      <c r="A77" s="189" t="s">
        <v>225</v>
      </c>
      <c r="B77" s="188" t="s">
        <v>134</v>
      </c>
      <c r="C77" s="189" t="s">
        <v>39</v>
      </c>
      <c r="D77" s="188" t="s">
        <v>114</v>
      </c>
      <c r="E77" s="189" t="s">
        <v>99</v>
      </c>
      <c r="F77" s="188" t="s">
        <v>115</v>
      </c>
      <c r="G77" s="189" t="s">
        <v>9</v>
      </c>
    </row>
    <row r="78" spans="1:7" ht="45.6" thickBot="1" x14ac:dyDescent="0.3">
      <c r="A78" s="192" t="s">
        <v>226</v>
      </c>
      <c r="B78" s="191" t="s">
        <v>134</v>
      </c>
      <c r="C78" s="192" t="s">
        <v>39</v>
      </c>
      <c r="D78" s="191" t="s">
        <v>114</v>
      </c>
      <c r="E78" s="192" t="s">
        <v>99</v>
      </c>
      <c r="F78" s="191" t="s">
        <v>115</v>
      </c>
      <c r="G78" s="192" t="s">
        <v>9</v>
      </c>
    </row>
    <row r="79" spans="1:7" ht="15.6" thickTop="1" x14ac:dyDescent="0.25">
      <c r="A79" s="195" t="s">
        <v>227</v>
      </c>
      <c r="B79" s="194" t="s">
        <v>146</v>
      </c>
      <c r="C79" s="195" t="s">
        <v>39</v>
      </c>
      <c r="D79" s="194" t="s">
        <v>110</v>
      </c>
      <c r="E79" s="195" t="s">
        <v>99</v>
      </c>
      <c r="F79" s="194" t="s">
        <v>111</v>
      </c>
      <c r="G79" s="195" t="s">
        <v>112</v>
      </c>
    </row>
    <row r="80" spans="1:7" ht="45" x14ac:dyDescent="0.25">
      <c r="A80" s="189" t="s">
        <v>228</v>
      </c>
      <c r="B80" s="188" t="s">
        <v>146</v>
      </c>
      <c r="C80" s="189" t="s">
        <v>39</v>
      </c>
      <c r="D80" s="188" t="s">
        <v>114</v>
      </c>
      <c r="E80" s="189" t="s">
        <v>99</v>
      </c>
      <c r="F80" s="188" t="s">
        <v>115</v>
      </c>
      <c r="G80" s="189" t="s">
        <v>9</v>
      </c>
    </row>
    <row r="81" spans="1:7" ht="45" x14ac:dyDescent="0.25">
      <c r="A81" s="189" t="s">
        <v>229</v>
      </c>
      <c r="B81" s="188" t="s">
        <v>146</v>
      </c>
      <c r="C81" s="189" t="s">
        <v>39</v>
      </c>
      <c r="D81" s="188" t="s">
        <v>114</v>
      </c>
      <c r="E81" s="189" t="s">
        <v>99</v>
      </c>
      <c r="F81" s="188" t="s">
        <v>115</v>
      </c>
      <c r="G81" s="189" t="s">
        <v>9</v>
      </c>
    </row>
    <row r="82" spans="1:7" ht="46.8" x14ac:dyDescent="0.25">
      <c r="A82" s="201" t="s">
        <v>230</v>
      </c>
      <c r="B82" s="200" t="s">
        <v>146</v>
      </c>
      <c r="C82" s="201" t="s">
        <v>38</v>
      </c>
      <c r="D82" s="200" t="s">
        <v>114</v>
      </c>
      <c r="E82" s="201" t="s">
        <v>99</v>
      </c>
      <c r="F82" s="200" t="s">
        <v>115</v>
      </c>
      <c r="G82" s="201" t="s">
        <v>9</v>
      </c>
    </row>
    <row r="83" spans="1:7" ht="46.8" x14ac:dyDescent="0.25">
      <c r="A83" s="201" t="s">
        <v>231</v>
      </c>
      <c r="B83" s="200" t="s">
        <v>146</v>
      </c>
      <c r="C83" s="201" t="s">
        <v>38</v>
      </c>
      <c r="D83" s="200" t="s">
        <v>114</v>
      </c>
      <c r="E83" s="201" t="s">
        <v>99</v>
      </c>
      <c r="F83" s="200" t="s">
        <v>115</v>
      </c>
      <c r="G83" s="201" t="s">
        <v>9</v>
      </c>
    </row>
    <row r="84" spans="1:7" ht="46.8" x14ac:dyDescent="0.25">
      <c r="A84" s="201" t="s">
        <v>232</v>
      </c>
      <c r="B84" s="200" t="s">
        <v>146</v>
      </c>
      <c r="C84" s="201" t="s">
        <v>38</v>
      </c>
      <c r="D84" s="200" t="s">
        <v>114</v>
      </c>
      <c r="E84" s="201" t="s">
        <v>99</v>
      </c>
      <c r="F84" s="200" t="s">
        <v>115</v>
      </c>
      <c r="G84" s="201" t="s">
        <v>9</v>
      </c>
    </row>
    <row r="85" spans="1:7" ht="15" x14ac:dyDescent="0.25">
      <c r="A85" s="189" t="s">
        <v>233</v>
      </c>
      <c r="B85" s="188" t="s">
        <v>146</v>
      </c>
      <c r="C85" s="189" t="s">
        <v>39</v>
      </c>
      <c r="D85" s="188" t="s">
        <v>118</v>
      </c>
      <c r="E85" s="189" t="s">
        <v>119</v>
      </c>
      <c r="F85" s="188" t="s">
        <v>120</v>
      </c>
      <c r="G85" s="189" t="s">
        <v>9</v>
      </c>
    </row>
    <row r="86" spans="1:7" ht="15" x14ac:dyDescent="0.25">
      <c r="A86" s="189" t="s">
        <v>234</v>
      </c>
      <c r="B86" s="188" t="s">
        <v>146</v>
      </c>
      <c r="C86" s="189" t="s">
        <v>39</v>
      </c>
      <c r="D86" s="188" t="s">
        <v>118</v>
      </c>
      <c r="E86" s="189" t="s">
        <v>119</v>
      </c>
      <c r="F86" s="188" t="s">
        <v>120</v>
      </c>
      <c r="G86" s="189" t="s">
        <v>9</v>
      </c>
    </row>
    <row r="87" spans="1:7" ht="16.2" thickBot="1" x14ac:dyDescent="0.3">
      <c r="A87" s="209" t="s">
        <v>235</v>
      </c>
      <c r="B87" s="210" t="s">
        <v>146</v>
      </c>
      <c r="C87" s="209" t="s">
        <v>39</v>
      </c>
      <c r="D87" s="210" t="s">
        <v>118</v>
      </c>
      <c r="E87" s="209" t="s">
        <v>119</v>
      </c>
      <c r="F87" s="210" t="s">
        <v>120</v>
      </c>
      <c r="G87" s="209" t="s">
        <v>9</v>
      </c>
    </row>
    <row r="88" spans="1:7" ht="15.6" thickTop="1" x14ac:dyDescent="0.25">
      <c r="A88" s="195" t="s">
        <v>236</v>
      </c>
      <c r="B88" s="194" t="s">
        <v>152</v>
      </c>
      <c r="C88" s="195" t="s">
        <v>39</v>
      </c>
      <c r="D88" s="194" t="s">
        <v>110</v>
      </c>
      <c r="E88" s="195" t="s">
        <v>99</v>
      </c>
      <c r="F88" s="194" t="s">
        <v>111</v>
      </c>
      <c r="G88" s="195" t="s">
        <v>112</v>
      </c>
    </row>
    <row r="89" spans="1:7" ht="15" x14ac:dyDescent="0.25">
      <c r="A89" s="189" t="s">
        <v>237</v>
      </c>
      <c r="B89" s="188" t="s">
        <v>152</v>
      </c>
      <c r="C89" s="189" t="s">
        <v>39</v>
      </c>
      <c r="D89" s="188" t="s">
        <v>110</v>
      </c>
      <c r="E89" s="189" t="s">
        <v>99</v>
      </c>
      <c r="F89" s="188" t="s">
        <v>111</v>
      </c>
      <c r="G89" s="189" t="s">
        <v>112</v>
      </c>
    </row>
    <row r="90" spans="1:7" ht="15" x14ac:dyDescent="0.25">
      <c r="A90" s="189" t="s">
        <v>238</v>
      </c>
      <c r="B90" s="188" t="s">
        <v>152</v>
      </c>
      <c r="C90" s="189" t="s">
        <v>39</v>
      </c>
      <c r="D90" s="188" t="s">
        <v>110</v>
      </c>
      <c r="E90" s="189" t="s">
        <v>99</v>
      </c>
      <c r="F90" s="188" t="s">
        <v>111</v>
      </c>
      <c r="G90" s="189" t="s">
        <v>112</v>
      </c>
    </row>
    <row r="91" spans="1:7" ht="15.6" x14ac:dyDescent="0.25">
      <c r="A91" s="201" t="s">
        <v>239</v>
      </c>
      <c r="B91" s="200" t="s">
        <v>152</v>
      </c>
      <c r="C91" s="201" t="s">
        <v>38</v>
      </c>
      <c r="D91" s="200" t="s">
        <v>156</v>
      </c>
      <c r="E91" s="201" t="s">
        <v>99</v>
      </c>
      <c r="F91" s="200" t="s">
        <v>157</v>
      </c>
      <c r="G91" s="201" t="s">
        <v>9</v>
      </c>
    </row>
    <row r="92" spans="1:7" ht="15" x14ac:dyDescent="0.25">
      <c r="A92" s="189" t="s">
        <v>240</v>
      </c>
      <c r="B92" s="188" t="s">
        <v>152</v>
      </c>
      <c r="C92" s="189" t="s">
        <v>39</v>
      </c>
      <c r="D92" s="188" t="s">
        <v>156</v>
      </c>
      <c r="E92" s="189" t="s">
        <v>99</v>
      </c>
      <c r="F92" s="188" t="s">
        <v>157</v>
      </c>
      <c r="G92" s="189" t="s">
        <v>9</v>
      </c>
    </row>
    <row r="93" spans="1:7" ht="45" x14ac:dyDescent="0.25">
      <c r="A93" s="189" t="s">
        <v>241</v>
      </c>
      <c r="B93" s="188" t="s">
        <v>152</v>
      </c>
      <c r="C93" s="189" t="s">
        <v>39</v>
      </c>
      <c r="D93" s="188" t="s">
        <v>114</v>
      </c>
      <c r="E93" s="189" t="s">
        <v>99</v>
      </c>
      <c r="F93" s="188" t="s">
        <v>115</v>
      </c>
      <c r="G93" s="189" t="s">
        <v>9</v>
      </c>
    </row>
    <row r="94" spans="1:7" ht="15.6" x14ac:dyDescent="0.25">
      <c r="A94" s="201" t="s">
        <v>242</v>
      </c>
      <c r="B94" s="200" t="s">
        <v>152</v>
      </c>
      <c r="C94" s="201" t="s">
        <v>38</v>
      </c>
      <c r="D94" s="200" t="s">
        <v>118</v>
      </c>
      <c r="E94" s="201" t="s">
        <v>119</v>
      </c>
      <c r="F94" s="200" t="s">
        <v>243</v>
      </c>
      <c r="G94" s="201" t="s">
        <v>9</v>
      </c>
    </row>
    <row r="95" spans="1:7" ht="16.2" thickBot="1" x14ac:dyDescent="0.3">
      <c r="A95" s="209" t="s">
        <v>244</v>
      </c>
      <c r="B95" s="210" t="s">
        <v>152</v>
      </c>
      <c r="C95" s="209" t="s">
        <v>39</v>
      </c>
      <c r="D95" s="210" t="s">
        <v>118</v>
      </c>
      <c r="E95" s="209" t="s">
        <v>119</v>
      </c>
      <c r="F95" s="210" t="s">
        <v>120</v>
      </c>
      <c r="G95" s="209" t="s">
        <v>9</v>
      </c>
    </row>
    <row r="96" spans="1:7" ht="15.6" thickTop="1" x14ac:dyDescent="0.25">
      <c r="A96" s="195" t="s">
        <v>245</v>
      </c>
      <c r="B96" s="194" t="s">
        <v>171</v>
      </c>
      <c r="C96" s="195" t="s">
        <v>39</v>
      </c>
      <c r="D96" s="194" t="s">
        <v>110</v>
      </c>
      <c r="E96" s="195" t="s">
        <v>99</v>
      </c>
      <c r="F96" s="194" t="s">
        <v>111</v>
      </c>
      <c r="G96" s="195" t="s">
        <v>112</v>
      </c>
    </row>
    <row r="97" spans="1:7" ht="15.6" thickBot="1" x14ac:dyDescent="0.3">
      <c r="A97" s="192" t="s">
        <v>246</v>
      </c>
      <c r="B97" s="191" t="s">
        <v>171</v>
      </c>
      <c r="C97" s="192" t="s">
        <v>39</v>
      </c>
      <c r="D97" s="191" t="s">
        <v>194</v>
      </c>
      <c r="E97" s="192" t="s">
        <v>119</v>
      </c>
      <c r="F97" s="191" t="s">
        <v>247</v>
      </c>
      <c r="G97" s="192" t="s">
        <v>9</v>
      </c>
    </row>
    <row r="98" spans="1:7" ht="15.6" thickTop="1" x14ac:dyDescent="0.25">
      <c r="A98" s="195" t="s">
        <v>248</v>
      </c>
      <c r="B98" s="194" t="s">
        <v>191</v>
      </c>
      <c r="C98" s="195" t="s">
        <v>39</v>
      </c>
      <c r="D98" s="194" t="s">
        <v>156</v>
      </c>
      <c r="E98" s="195" t="s">
        <v>99</v>
      </c>
      <c r="F98" s="194" t="s">
        <v>157</v>
      </c>
      <c r="G98" s="195" t="s">
        <v>9</v>
      </c>
    </row>
    <row r="99" spans="1:7" ht="15" x14ac:dyDescent="0.25">
      <c r="A99" s="189" t="s">
        <v>249</v>
      </c>
      <c r="B99" s="188" t="s">
        <v>191</v>
      </c>
      <c r="C99" s="189" t="s">
        <v>39</v>
      </c>
      <c r="D99" s="188" t="s">
        <v>156</v>
      </c>
      <c r="E99" s="189" t="s">
        <v>99</v>
      </c>
      <c r="F99" s="188" t="s">
        <v>157</v>
      </c>
      <c r="G99" s="189" t="s">
        <v>9</v>
      </c>
    </row>
    <row r="100" spans="1:7" ht="45" x14ac:dyDescent="0.25">
      <c r="A100" s="189" t="s">
        <v>250</v>
      </c>
      <c r="B100" s="188" t="s">
        <v>191</v>
      </c>
      <c r="C100" s="189" t="s">
        <v>39</v>
      </c>
      <c r="D100" s="188" t="s">
        <v>114</v>
      </c>
      <c r="E100" s="189" t="s">
        <v>99</v>
      </c>
      <c r="F100" s="188" t="s">
        <v>112</v>
      </c>
      <c r="G100" s="189" t="s">
        <v>9</v>
      </c>
    </row>
    <row r="101" spans="1:7" ht="15.6" x14ac:dyDescent="0.25">
      <c r="A101" s="201" t="s">
        <v>251</v>
      </c>
      <c r="B101" s="200" t="s">
        <v>191</v>
      </c>
      <c r="C101" s="201" t="s">
        <v>38</v>
      </c>
      <c r="D101" s="200" t="s">
        <v>194</v>
      </c>
      <c r="E101" s="201" t="s">
        <v>119</v>
      </c>
      <c r="F101" s="200" t="s">
        <v>252</v>
      </c>
      <c r="G101" s="201" t="s">
        <v>112</v>
      </c>
    </row>
    <row r="102" spans="1:7" ht="15" x14ac:dyDescent="0.25">
      <c r="A102" s="189" t="s">
        <v>253</v>
      </c>
      <c r="B102" s="188" t="s">
        <v>191</v>
      </c>
      <c r="C102" s="189" t="s">
        <v>39</v>
      </c>
      <c r="D102" s="188" t="s">
        <v>184</v>
      </c>
      <c r="E102" s="189" t="s">
        <v>185</v>
      </c>
      <c r="F102" s="188" t="s">
        <v>186</v>
      </c>
      <c r="G102" s="189" t="s">
        <v>9</v>
      </c>
    </row>
    <row r="103" spans="1:7" ht="16.2" thickBot="1" x14ac:dyDescent="0.3">
      <c r="A103" s="209" t="s">
        <v>254</v>
      </c>
      <c r="B103" s="210" t="s">
        <v>191</v>
      </c>
      <c r="C103" s="209" t="s">
        <v>39</v>
      </c>
      <c r="D103" s="210" t="s">
        <v>184</v>
      </c>
      <c r="E103" s="209" t="s">
        <v>185</v>
      </c>
      <c r="F103" s="210" t="s">
        <v>186</v>
      </c>
      <c r="G103" s="209" t="s">
        <v>9</v>
      </c>
    </row>
    <row r="104" spans="1:7" ht="45.6" thickTop="1" x14ac:dyDescent="0.25">
      <c r="A104" s="195" t="s">
        <v>255</v>
      </c>
      <c r="B104" s="194" t="s">
        <v>204</v>
      </c>
      <c r="C104" s="195" t="s">
        <v>39</v>
      </c>
      <c r="D104" s="194" t="s">
        <v>114</v>
      </c>
      <c r="E104" s="195" t="s">
        <v>99</v>
      </c>
      <c r="F104" s="194" t="s">
        <v>112</v>
      </c>
      <c r="G104" s="195" t="s">
        <v>9</v>
      </c>
    </row>
    <row r="105" spans="1:7" ht="45" x14ac:dyDescent="0.25">
      <c r="A105" s="189" t="s">
        <v>256</v>
      </c>
      <c r="B105" s="188" t="s">
        <v>204</v>
      </c>
      <c r="C105" s="189" t="s">
        <v>39</v>
      </c>
      <c r="D105" s="188" t="s">
        <v>114</v>
      </c>
      <c r="E105" s="189" t="s">
        <v>99</v>
      </c>
      <c r="F105" s="188" t="s">
        <v>112</v>
      </c>
      <c r="G105" s="189" t="s">
        <v>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Munka36">
    <tabColor indexed="11"/>
  </sheetPr>
  <dimension ref="A1:AK41"/>
  <sheetViews>
    <sheetView workbookViewId="0">
      <selection activeCell="J9" sqref="J9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10.5546875" customWidth="1"/>
    <col min="10" max="10" width="7.88671875" customWidth="1"/>
    <col min="11" max="12" width="8.5546875" customWidth="1"/>
    <col min="13" max="13" width="7.88671875" customWidth="1"/>
    <col min="15" max="15" width="5.109375" customWidth="1"/>
    <col min="16" max="16" width="11.5546875" customWidth="1"/>
    <col min="17" max="17" width="9.33203125" customWidth="1"/>
    <col min="25" max="37" width="0" hidden="1" customWidth="1"/>
  </cols>
  <sheetData>
    <row r="1" spans="1:37" ht="24.6" x14ac:dyDescent="0.25">
      <c r="A1" s="414" t="str">
        <f>Altalanos!$A$6</f>
        <v>Tenisz Diákolimpia B-A-Z. Vármegyei Döntő</v>
      </c>
      <c r="B1" s="414"/>
      <c r="C1" s="414"/>
      <c r="D1" s="414"/>
      <c r="E1" s="414"/>
      <c r="F1" s="414"/>
      <c r="G1" s="79"/>
      <c r="H1" s="82" t="s">
        <v>29</v>
      </c>
      <c r="I1" s="80"/>
      <c r="J1" s="81"/>
      <c r="L1" s="83"/>
      <c r="M1" s="84"/>
      <c r="N1" s="41"/>
      <c r="O1" s="41" t="s">
        <v>9</v>
      </c>
      <c r="P1" s="41"/>
      <c r="Q1" s="40"/>
      <c r="R1" s="41"/>
      <c r="AB1" s="169" t="str">
        <f>IF(Y5=1,CONCATENATE(VLOOKUP(Y3,AA16:AH27,2)),CONCATENATE(VLOOKUP(Y3,AA2:AK13,2)))</f>
        <v>150</v>
      </c>
      <c r="AC1" s="169" t="str">
        <f>IF(Y5=1,CONCATENATE(VLOOKUP(Y3,AA16:AK27,3)),CONCATENATE(VLOOKUP(Y3,AA2:AK13,3)))</f>
        <v>120</v>
      </c>
      <c r="AD1" s="169" t="str">
        <f>IF(Y5=1,CONCATENATE(VLOOKUP(Y3,AA16:AK27,4)),CONCATENATE(VLOOKUP(Y3,AA2:AK13,4)))</f>
        <v>100</v>
      </c>
      <c r="AE1" s="169" t="str">
        <f>IF(Y5=1,CONCATENATE(VLOOKUP(Y3,AA16:AK27,5)),CONCATENATE(VLOOKUP(Y3,AA2:AK13,5)))</f>
        <v>80</v>
      </c>
      <c r="AF1" s="169" t="str">
        <f>IF(Y5=1,CONCATENATE(VLOOKUP(Y3,AA16:AK27,6)),CONCATENATE(VLOOKUP(Y3,AA2:AK13,6)))</f>
        <v>70</v>
      </c>
      <c r="AG1" s="169" t="str">
        <f>IF(Y5=1,CONCATENATE(VLOOKUP(Y3,AA16:AK27,7)),CONCATENATE(VLOOKUP(Y3,AA2:AK13,7)))</f>
        <v>60</v>
      </c>
      <c r="AH1" s="169" t="str">
        <f>IF(Y5=1,CONCATENATE(VLOOKUP(Y3,AA16:AK27,8)),CONCATENATE(VLOOKUP(Y3,AA2:AK13,8)))</f>
        <v>55</v>
      </c>
      <c r="AI1" s="169" t="str">
        <f>IF(Y5=1,CONCATENATE(VLOOKUP(Y3,AA16:AK27,9)),CONCATENATE(VLOOKUP(Y3,AA2:AK13,9)))</f>
        <v>50</v>
      </c>
      <c r="AJ1" s="169" t="str">
        <f>IF(Y5=1,CONCATENATE(VLOOKUP(Y3,AA16:AK27,10)),CONCATENATE(VLOOKUP(Y3,AA2:AK13,10)))</f>
        <v>45</v>
      </c>
      <c r="AK1" s="169" t="str">
        <f>IF(Y5=1,CONCATENATE(VLOOKUP(Y3,AA16:AK27,11)),CONCATENATE(VLOOKUP(Y3,AA2:AK13,11)))</f>
        <v>40</v>
      </c>
    </row>
    <row r="2" spans="1:37" x14ac:dyDescent="0.25">
      <c r="A2" s="85" t="s">
        <v>28</v>
      </c>
      <c r="B2" s="86"/>
      <c r="C2" s="86"/>
      <c r="D2" s="86"/>
      <c r="E2" s="185" t="str">
        <f>Altalanos!$D$8</f>
        <v>VI.-VII.</v>
      </c>
      <c r="F2" s="86"/>
      <c r="G2" s="87"/>
      <c r="H2" s="88"/>
      <c r="I2" s="88"/>
      <c r="J2" s="89"/>
      <c r="K2" s="83"/>
      <c r="L2" s="83"/>
      <c r="M2" s="83"/>
      <c r="N2" s="42"/>
      <c r="O2" s="39"/>
      <c r="P2" s="42"/>
      <c r="Q2" s="39"/>
      <c r="R2" s="42"/>
      <c r="Y2" s="164"/>
      <c r="Z2" s="163"/>
      <c r="AA2" s="163" t="s">
        <v>38</v>
      </c>
      <c r="AB2" s="154">
        <v>150</v>
      </c>
      <c r="AC2" s="154">
        <v>120</v>
      </c>
      <c r="AD2" s="154">
        <v>100</v>
      </c>
      <c r="AE2" s="154">
        <v>80</v>
      </c>
      <c r="AF2" s="154">
        <v>70</v>
      </c>
      <c r="AG2" s="154">
        <v>60</v>
      </c>
      <c r="AH2" s="154">
        <v>55</v>
      </c>
      <c r="AI2" s="154">
        <v>50</v>
      </c>
      <c r="AJ2" s="154">
        <v>45</v>
      </c>
      <c r="AK2" s="154">
        <v>40</v>
      </c>
    </row>
    <row r="3" spans="1:37" x14ac:dyDescent="0.25">
      <c r="A3" s="34" t="s">
        <v>16</v>
      </c>
      <c r="B3" s="34"/>
      <c r="C3" s="34"/>
      <c r="D3" s="34"/>
      <c r="E3" s="34" t="s">
        <v>14</v>
      </c>
      <c r="F3" s="34"/>
      <c r="G3" s="34"/>
      <c r="H3" s="34" t="s">
        <v>18</v>
      </c>
      <c r="I3" s="34"/>
      <c r="J3" s="43"/>
      <c r="K3" s="34"/>
      <c r="L3" s="35" t="s">
        <v>19</v>
      </c>
      <c r="M3" s="34"/>
      <c r="N3" s="112"/>
      <c r="O3" s="111"/>
      <c r="P3" s="112"/>
      <c r="Q3" s="111"/>
      <c r="R3" s="113"/>
      <c r="Y3" s="163" t="str">
        <f>IF(H4="OB","A",IF(H4="IX","W",H4))</f>
        <v>B</v>
      </c>
      <c r="Z3" s="163"/>
      <c r="AA3" s="163" t="s">
        <v>68</v>
      </c>
      <c r="AB3" s="154">
        <v>120</v>
      </c>
      <c r="AC3" s="154">
        <v>90</v>
      </c>
      <c r="AD3" s="154">
        <v>65</v>
      </c>
      <c r="AE3" s="154">
        <v>55</v>
      </c>
      <c r="AF3" s="154">
        <v>50</v>
      </c>
      <c r="AG3" s="154">
        <v>45</v>
      </c>
      <c r="AH3" s="154">
        <v>40</v>
      </c>
      <c r="AI3" s="154">
        <v>35</v>
      </c>
      <c r="AJ3" s="154">
        <v>25</v>
      </c>
      <c r="AK3" s="154">
        <v>20</v>
      </c>
    </row>
    <row r="4" spans="1:37" ht="13.8" thickBot="1" x14ac:dyDescent="0.3">
      <c r="A4" s="417" t="str">
        <f>Altalanos!$A$10</f>
        <v>2024.05.02-03.</v>
      </c>
      <c r="B4" s="417"/>
      <c r="C4" s="417"/>
      <c r="D4" s="90"/>
      <c r="E4" s="91" t="str">
        <f>Altalanos!$C$10</f>
        <v>Kazincbarcika</v>
      </c>
      <c r="F4" s="91"/>
      <c r="G4" s="91"/>
      <c r="H4" s="93" t="s">
        <v>39</v>
      </c>
      <c r="I4" s="91"/>
      <c r="J4" s="92"/>
      <c r="K4" s="93"/>
      <c r="L4" s="94">
        <f>Altalanos!$E$10</f>
        <v>0</v>
      </c>
      <c r="M4" s="93"/>
      <c r="N4" s="114"/>
      <c r="O4" s="115"/>
      <c r="P4" s="153" t="s">
        <v>52</v>
      </c>
      <c r="Q4" s="154" t="s">
        <v>61</v>
      </c>
      <c r="R4" s="154" t="s">
        <v>57</v>
      </c>
      <c r="S4" s="33"/>
      <c r="Y4" s="163"/>
      <c r="Z4" s="163"/>
      <c r="AA4" s="163" t="s">
        <v>69</v>
      </c>
      <c r="AB4" s="154">
        <v>90</v>
      </c>
      <c r="AC4" s="154">
        <v>60</v>
      </c>
      <c r="AD4" s="154">
        <v>45</v>
      </c>
      <c r="AE4" s="154">
        <v>34</v>
      </c>
      <c r="AF4" s="154">
        <v>27</v>
      </c>
      <c r="AG4" s="154">
        <v>22</v>
      </c>
      <c r="AH4" s="154">
        <v>18</v>
      </c>
      <c r="AI4" s="154">
        <v>15</v>
      </c>
      <c r="AJ4" s="154">
        <v>12</v>
      </c>
      <c r="AK4" s="154">
        <v>9</v>
      </c>
    </row>
    <row r="5" spans="1:37" x14ac:dyDescent="0.25">
      <c r="A5" s="29"/>
      <c r="B5" s="29" t="s">
        <v>27</v>
      </c>
      <c r="C5" s="107" t="s">
        <v>36</v>
      </c>
      <c r="D5" s="29" t="s">
        <v>22</v>
      </c>
      <c r="E5" s="29" t="s">
        <v>41</v>
      </c>
      <c r="F5" s="29"/>
      <c r="G5" s="29" t="s">
        <v>17</v>
      </c>
      <c r="H5" s="29"/>
      <c r="I5" s="29" t="s">
        <v>20</v>
      </c>
      <c r="J5" s="29"/>
      <c r="K5" s="140" t="s">
        <v>42</v>
      </c>
      <c r="L5" s="140" t="s">
        <v>43</v>
      </c>
      <c r="M5" s="140" t="s">
        <v>44</v>
      </c>
      <c r="P5" s="155" t="s">
        <v>59</v>
      </c>
      <c r="Q5" s="156" t="s">
        <v>55</v>
      </c>
      <c r="R5" s="156" t="s">
        <v>62</v>
      </c>
      <c r="S5" s="33"/>
      <c r="Y5" s="163">
        <f>IF(OR(Altalanos!$A$8="F1",Altalanos!$A$8="F2",Altalanos!$A$8="N1",Altalanos!$A$8="N2"),1,2)</f>
        <v>2</v>
      </c>
      <c r="Z5" s="163"/>
      <c r="AA5" s="163" t="s">
        <v>70</v>
      </c>
      <c r="AB5" s="154">
        <v>60</v>
      </c>
      <c r="AC5" s="154">
        <v>40</v>
      </c>
      <c r="AD5" s="154">
        <v>30</v>
      </c>
      <c r="AE5" s="154">
        <v>20</v>
      </c>
      <c r="AF5" s="154">
        <v>18</v>
      </c>
      <c r="AG5" s="154">
        <v>15</v>
      </c>
      <c r="AH5" s="154">
        <v>12</v>
      </c>
      <c r="AI5" s="154">
        <v>10</v>
      </c>
      <c r="AJ5" s="154">
        <v>8</v>
      </c>
      <c r="AK5" s="154">
        <v>6</v>
      </c>
    </row>
    <row r="6" spans="1:37" x14ac:dyDescent="0.25">
      <c r="A6" s="96"/>
      <c r="B6" s="96"/>
      <c r="C6" s="139"/>
      <c r="D6" s="96"/>
      <c r="E6" s="96"/>
      <c r="F6" s="96"/>
      <c r="G6" s="96"/>
      <c r="H6" s="96"/>
      <c r="I6" s="96"/>
      <c r="J6" s="96"/>
      <c r="K6" s="96"/>
      <c r="L6" s="96"/>
      <c r="M6" s="96"/>
      <c r="P6" s="157" t="s">
        <v>60</v>
      </c>
      <c r="Q6" s="158" t="s">
        <v>63</v>
      </c>
      <c r="R6" s="158" t="s">
        <v>58</v>
      </c>
      <c r="S6" s="33"/>
      <c r="Y6" s="163"/>
      <c r="Z6" s="163"/>
      <c r="AA6" s="163" t="s">
        <v>71</v>
      </c>
      <c r="AB6" s="154">
        <v>40</v>
      </c>
      <c r="AC6" s="154">
        <v>25</v>
      </c>
      <c r="AD6" s="154">
        <v>18</v>
      </c>
      <c r="AE6" s="154">
        <v>13</v>
      </c>
      <c r="AF6" s="154">
        <v>10</v>
      </c>
      <c r="AG6" s="154">
        <v>8</v>
      </c>
      <c r="AH6" s="154">
        <v>6</v>
      </c>
      <c r="AI6" s="154">
        <v>5</v>
      </c>
      <c r="AJ6" s="154">
        <v>4</v>
      </c>
      <c r="AK6" s="154">
        <v>3</v>
      </c>
    </row>
    <row r="7" spans="1:37" x14ac:dyDescent="0.25">
      <c r="A7" s="116" t="s">
        <v>38</v>
      </c>
      <c r="B7" s="141"/>
      <c r="C7" s="143" t="str">
        <f>IF($B7="","",VLOOKUP($B7,#REF!,5))</f>
        <v/>
      </c>
      <c r="D7" s="143" t="str">
        <f>IF($B7="","",VLOOKUP($B7,#REF!,15))</f>
        <v/>
      </c>
      <c r="E7" s="418" t="s">
        <v>393</v>
      </c>
      <c r="F7" s="419"/>
      <c r="G7" s="418" t="s">
        <v>360</v>
      </c>
      <c r="H7" s="419"/>
      <c r="I7" s="144" t="str">
        <f>IF($B7="","",VLOOKUP($B7,#REF!,4))</f>
        <v/>
      </c>
      <c r="J7" s="96"/>
      <c r="K7" s="170"/>
      <c r="L7" s="165" t="str">
        <f>IF(K7="","",CONCATENATE(VLOOKUP($Y$3,$AB$1:$AK$1,K7)," pont"))</f>
        <v/>
      </c>
      <c r="M7" s="171"/>
      <c r="P7" s="153" t="s">
        <v>66</v>
      </c>
      <c r="Q7" s="154" t="s">
        <v>54</v>
      </c>
      <c r="R7" s="154" t="s">
        <v>64</v>
      </c>
      <c r="Y7" s="163"/>
      <c r="Z7" s="163"/>
      <c r="AA7" s="163" t="s">
        <v>72</v>
      </c>
      <c r="AB7" s="154">
        <v>25</v>
      </c>
      <c r="AC7" s="154">
        <v>15</v>
      </c>
      <c r="AD7" s="154">
        <v>13</v>
      </c>
      <c r="AE7" s="154">
        <v>8</v>
      </c>
      <c r="AF7" s="154">
        <v>6</v>
      </c>
      <c r="AG7" s="154">
        <v>4</v>
      </c>
      <c r="AH7" s="154">
        <v>3</v>
      </c>
      <c r="AI7" s="154">
        <v>2</v>
      </c>
      <c r="AJ7" s="154">
        <v>1</v>
      </c>
      <c r="AK7" s="154">
        <v>0</v>
      </c>
    </row>
    <row r="8" spans="1:37" x14ac:dyDescent="0.25">
      <c r="A8" s="116"/>
      <c r="B8" s="142"/>
      <c r="C8" s="145"/>
      <c r="D8" s="145"/>
      <c r="E8" s="145"/>
      <c r="F8" s="145"/>
      <c r="G8" s="145"/>
      <c r="H8" s="145"/>
      <c r="I8" s="145"/>
      <c r="J8" s="96"/>
      <c r="K8" s="116"/>
      <c r="L8" s="116"/>
      <c r="M8" s="172"/>
      <c r="P8" s="155" t="s">
        <v>67</v>
      </c>
      <c r="Q8" s="156" t="s">
        <v>56</v>
      </c>
      <c r="R8" s="156" t="s">
        <v>65</v>
      </c>
      <c r="Y8" s="163"/>
      <c r="Z8" s="163"/>
      <c r="AA8" s="163" t="s">
        <v>73</v>
      </c>
      <c r="AB8" s="154">
        <v>15</v>
      </c>
      <c r="AC8" s="154">
        <v>10</v>
      </c>
      <c r="AD8" s="154">
        <v>7</v>
      </c>
      <c r="AE8" s="154">
        <v>5</v>
      </c>
      <c r="AF8" s="154">
        <v>4</v>
      </c>
      <c r="AG8" s="154">
        <v>3</v>
      </c>
      <c r="AH8" s="154">
        <v>2</v>
      </c>
      <c r="AI8" s="154">
        <v>1</v>
      </c>
      <c r="AJ8" s="154">
        <v>0</v>
      </c>
      <c r="AK8" s="154">
        <v>0</v>
      </c>
    </row>
    <row r="9" spans="1:37" x14ac:dyDescent="0.25">
      <c r="A9" s="116" t="s">
        <v>39</v>
      </c>
      <c r="B9" s="141"/>
      <c r="C9" s="143" t="str">
        <f>IF($B9="","",VLOOKUP($B9,#REF!,5))</f>
        <v/>
      </c>
      <c r="D9" s="143" t="str">
        <f>IF($B9="","",VLOOKUP($B9,#REF!,15))</f>
        <v/>
      </c>
      <c r="E9" s="418" t="s">
        <v>385</v>
      </c>
      <c r="F9" s="419"/>
      <c r="G9" s="418" t="s">
        <v>394</v>
      </c>
      <c r="H9" s="419"/>
      <c r="I9" s="144" t="str">
        <f>IF($B9="","",VLOOKUP($B9,#REF!,4))</f>
        <v/>
      </c>
      <c r="J9" s="96"/>
      <c r="K9" s="170"/>
      <c r="L9" s="165" t="str">
        <f>IF(K9="","",CONCATENATE(VLOOKUP($Y$3,$AB$1:$AK$1,K9)," pont"))</f>
        <v/>
      </c>
      <c r="M9" s="171"/>
      <c r="Y9" s="163"/>
      <c r="Z9" s="163"/>
      <c r="AA9" s="163" t="s">
        <v>74</v>
      </c>
      <c r="AB9" s="154">
        <v>10</v>
      </c>
      <c r="AC9" s="154">
        <v>6</v>
      </c>
      <c r="AD9" s="154">
        <v>4</v>
      </c>
      <c r="AE9" s="154">
        <v>2</v>
      </c>
      <c r="AF9" s="154">
        <v>1</v>
      </c>
      <c r="AG9" s="154">
        <v>0</v>
      </c>
      <c r="AH9" s="154">
        <v>0</v>
      </c>
      <c r="AI9" s="154">
        <v>0</v>
      </c>
      <c r="AJ9" s="154">
        <v>0</v>
      </c>
      <c r="AK9" s="154">
        <v>0</v>
      </c>
    </row>
    <row r="10" spans="1:37" x14ac:dyDescent="0.25">
      <c r="A10" s="116"/>
      <c r="B10" s="142"/>
      <c r="C10" s="145"/>
      <c r="D10" s="145"/>
      <c r="E10" s="145"/>
      <c r="F10" s="145"/>
      <c r="G10" s="145"/>
      <c r="H10" s="145"/>
      <c r="I10" s="145"/>
      <c r="J10" s="96"/>
      <c r="K10" s="116"/>
      <c r="L10" s="116"/>
      <c r="M10" s="172"/>
      <c r="Y10" s="163"/>
      <c r="Z10" s="163"/>
      <c r="AA10" s="163" t="s">
        <v>75</v>
      </c>
      <c r="AB10" s="154">
        <v>6</v>
      </c>
      <c r="AC10" s="154">
        <v>3</v>
      </c>
      <c r="AD10" s="154">
        <v>2</v>
      </c>
      <c r="AE10" s="154">
        <v>1</v>
      </c>
      <c r="AF10" s="154">
        <v>0</v>
      </c>
      <c r="AG10" s="154">
        <v>0</v>
      </c>
      <c r="AH10" s="154">
        <v>0</v>
      </c>
      <c r="AI10" s="154">
        <v>0</v>
      </c>
      <c r="AJ10" s="154">
        <v>0</v>
      </c>
      <c r="AK10" s="154">
        <v>0</v>
      </c>
    </row>
    <row r="11" spans="1:37" x14ac:dyDescent="0.25">
      <c r="A11" s="116" t="s">
        <v>40</v>
      </c>
      <c r="B11" s="141"/>
      <c r="C11" s="143" t="str">
        <f>IF($B11="","",VLOOKUP($B11,#REF!,5))</f>
        <v/>
      </c>
      <c r="D11" s="143" t="str">
        <f>IF($B11="","",VLOOKUP($B11,#REF!,15))</f>
        <v/>
      </c>
      <c r="E11" s="418" t="s">
        <v>395</v>
      </c>
      <c r="F11" s="419"/>
      <c r="G11" s="418" t="s">
        <v>396</v>
      </c>
      <c r="H11" s="419"/>
      <c r="I11" s="144" t="str">
        <f>IF($B11="","",VLOOKUP($B11,#REF!,4))</f>
        <v/>
      </c>
      <c r="J11" s="96"/>
      <c r="K11" s="170"/>
      <c r="L11" s="165" t="str">
        <f>IF(K11="","",CONCATENATE(VLOOKUP($Y$3,$AB$1:$AK$1,K11)," pont"))</f>
        <v/>
      </c>
      <c r="M11" s="171"/>
      <c r="Y11" s="163"/>
      <c r="Z11" s="163"/>
      <c r="AA11" s="163" t="s">
        <v>80</v>
      </c>
      <c r="AB11" s="154">
        <v>3</v>
      </c>
      <c r="AC11" s="154">
        <v>2</v>
      </c>
      <c r="AD11" s="154">
        <v>1</v>
      </c>
      <c r="AE11" s="154">
        <v>0</v>
      </c>
      <c r="AF11" s="154">
        <v>0</v>
      </c>
      <c r="AG11" s="154">
        <v>0</v>
      </c>
      <c r="AH11" s="154">
        <v>0</v>
      </c>
      <c r="AI11" s="154">
        <v>0</v>
      </c>
      <c r="AJ11" s="154">
        <v>0</v>
      </c>
      <c r="AK11" s="154">
        <v>0</v>
      </c>
    </row>
    <row r="12" spans="1:37" x14ac:dyDescent="0.25">
      <c r="A12" s="116"/>
      <c r="B12" s="142"/>
      <c r="C12" s="145"/>
      <c r="D12" s="145"/>
      <c r="E12" s="145"/>
      <c r="F12" s="145"/>
      <c r="G12" s="145"/>
      <c r="H12" s="145"/>
      <c r="I12" s="145"/>
      <c r="J12" s="96"/>
      <c r="K12" s="139"/>
      <c r="L12" s="139"/>
      <c r="M12" s="172"/>
      <c r="Y12" s="163"/>
      <c r="Z12" s="163"/>
      <c r="AA12" s="163" t="s">
        <v>76</v>
      </c>
      <c r="AB12" s="168">
        <v>0</v>
      </c>
      <c r="AC12" s="168">
        <v>0</v>
      </c>
      <c r="AD12" s="168">
        <v>0</v>
      </c>
      <c r="AE12" s="168">
        <v>0</v>
      </c>
      <c r="AF12" s="168">
        <v>0</v>
      </c>
      <c r="AG12" s="168">
        <v>0</v>
      </c>
      <c r="AH12" s="168">
        <v>0</v>
      </c>
      <c r="AI12" s="168">
        <v>0</v>
      </c>
      <c r="AJ12" s="168">
        <v>0</v>
      </c>
      <c r="AK12" s="168">
        <v>0</v>
      </c>
    </row>
    <row r="13" spans="1:37" x14ac:dyDescent="0.25">
      <c r="A13" s="116" t="s">
        <v>45</v>
      </c>
      <c r="B13" s="141"/>
      <c r="C13" s="143" t="str">
        <f>IF($B13="","",VLOOKUP($B13,#REF!,5))</f>
        <v/>
      </c>
      <c r="D13" s="143" t="str">
        <f>IF($B13="","",VLOOKUP($B13,#REF!,15))</f>
        <v/>
      </c>
      <c r="E13" s="418" t="s">
        <v>359</v>
      </c>
      <c r="F13" s="419"/>
      <c r="G13" s="418" t="s">
        <v>327</v>
      </c>
      <c r="H13" s="419"/>
      <c r="I13" s="144" t="str">
        <f>IF($B13="","",VLOOKUP($B13,#REF!,4))</f>
        <v/>
      </c>
      <c r="J13" s="96"/>
      <c r="K13" s="170"/>
      <c r="L13" s="165" t="str">
        <f>IF(K13="","",CONCATENATE(VLOOKUP($Y$3,$AB$1:$AK$1,K13)," pont"))</f>
        <v/>
      </c>
      <c r="M13" s="171"/>
      <c r="Y13" s="163"/>
      <c r="Z13" s="163"/>
      <c r="AA13" s="163" t="s">
        <v>77</v>
      </c>
      <c r="AB13" s="168">
        <v>0</v>
      </c>
      <c r="AC13" s="168">
        <v>0</v>
      </c>
      <c r="AD13" s="168">
        <v>0</v>
      </c>
      <c r="AE13" s="168">
        <v>0</v>
      </c>
      <c r="AF13" s="168">
        <v>0</v>
      </c>
      <c r="AG13" s="168">
        <v>0</v>
      </c>
      <c r="AH13" s="168">
        <v>0</v>
      </c>
      <c r="AI13" s="168">
        <v>0</v>
      </c>
      <c r="AJ13" s="168">
        <v>0</v>
      </c>
      <c r="AK13" s="168">
        <v>0</v>
      </c>
    </row>
    <row r="14" spans="1:37" x14ac:dyDescent="0.25">
      <c r="A14" s="116"/>
      <c r="B14" s="142"/>
      <c r="C14" s="145"/>
      <c r="D14" s="145"/>
      <c r="E14" s="145"/>
      <c r="F14" s="145"/>
      <c r="G14" s="145"/>
      <c r="H14" s="145"/>
      <c r="I14" s="145"/>
      <c r="J14" s="96"/>
      <c r="K14" s="116"/>
      <c r="L14" s="116"/>
      <c r="M14" s="172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</row>
    <row r="15" spans="1:37" x14ac:dyDescent="0.25">
      <c r="A15" s="116" t="s">
        <v>46</v>
      </c>
      <c r="B15" s="141"/>
      <c r="C15" s="143" t="str">
        <f>IF($B15="","",VLOOKUP($B15,#REF!,5))</f>
        <v/>
      </c>
      <c r="D15" s="143" t="str">
        <f>IF($B15="","",VLOOKUP($B15,#REF!,15))</f>
        <v/>
      </c>
      <c r="E15" s="418" t="s">
        <v>397</v>
      </c>
      <c r="F15" s="419"/>
      <c r="G15" s="418" t="s">
        <v>398</v>
      </c>
      <c r="H15" s="419"/>
      <c r="I15" s="144" t="str">
        <f>IF($B15="","",VLOOKUP($B15,#REF!,4))</f>
        <v/>
      </c>
      <c r="J15" s="96"/>
      <c r="K15" s="170"/>
      <c r="L15" s="165" t="str">
        <f>IF(K15="","",CONCATENATE(VLOOKUP($Y$3,$AB$1:$AK$1,K15)," pont"))</f>
        <v/>
      </c>
      <c r="M15" s="171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</row>
    <row r="16" spans="1:37" x14ac:dyDescent="0.25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Y16" s="163"/>
      <c r="Z16" s="163"/>
      <c r="AA16" s="163" t="s">
        <v>38</v>
      </c>
      <c r="AB16" s="163">
        <v>300</v>
      </c>
      <c r="AC16" s="163">
        <v>250</v>
      </c>
      <c r="AD16" s="163">
        <v>220</v>
      </c>
      <c r="AE16" s="163">
        <v>180</v>
      </c>
      <c r="AF16" s="163">
        <v>160</v>
      </c>
      <c r="AG16" s="163">
        <v>150</v>
      </c>
      <c r="AH16" s="163">
        <v>140</v>
      </c>
      <c r="AI16" s="163">
        <v>130</v>
      </c>
      <c r="AJ16" s="163">
        <v>120</v>
      </c>
      <c r="AK16" s="163">
        <v>110</v>
      </c>
    </row>
    <row r="17" spans="1:37" x14ac:dyDescent="0.25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Y17" s="163"/>
      <c r="Z17" s="163"/>
      <c r="AA17" s="163" t="s">
        <v>68</v>
      </c>
      <c r="AB17" s="163">
        <v>250</v>
      </c>
      <c r="AC17" s="163">
        <v>200</v>
      </c>
      <c r="AD17" s="163">
        <v>160</v>
      </c>
      <c r="AE17" s="163">
        <v>140</v>
      </c>
      <c r="AF17" s="163">
        <v>120</v>
      </c>
      <c r="AG17" s="163">
        <v>110</v>
      </c>
      <c r="AH17" s="163">
        <v>100</v>
      </c>
      <c r="AI17" s="163">
        <v>90</v>
      </c>
      <c r="AJ17" s="163">
        <v>80</v>
      </c>
      <c r="AK17" s="163">
        <v>70</v>
      </c>
    </row>
    <row r="18" spans="1:37" ht="18.75" customHeight="1" x14ac:dyDescent="0.25">
      <c r="A18" s="96"/>
      <c r="B18" s="413"/>
      <c r="C18" s="413"/>
      <c r="D18" s="412" t="str">
        <f>E7</f>
        <v>Szabó</v>
      </c>
      <c r="E18" s="412"/>
      <c r="F18" s="412" t="str">
        <f>E9</f>
        <v>Kovács</v>
      </c>
      <c r="G18" s="412"/>
      <c r="H18" s="412" t="str">
        <f>E11</f>
        <v xml:space="preserve">Pásztor </v>
      </c>
      <c r="I18" s="412"/>
      <c r="J18" s="412" t="str">
        <f>E13</f>
        <v>Dobák</v>
      </c>
      <c r="K18" s="412"/>
      <c r="L18" s="412" t="str">
        <f>E15</f>
        <v>Gulyás</v>
      </c>
      <c r="M18" s="412"/>
      <c r="Y18" s="163"/>
      <c r="Z18" s="163"/>
      <c r="AA18" s="163" t="s">
        <v>69</v>
      </c>
      <c r="AB18" s="163">
        <v>200</v>
      </c>
      <c r="AC18" s="163">
        <v>150</v>
      </c>
      <c r="AD18" s="163">
        <v>130</v>
      </c>
      <c r="AE18" s="163">
        <v>110</v>
      </c>
      <c r="AF18" s="163">
        <v>95</v>
      </c>
      <c r="AG18" s="163">
        <v>80</v>
      </c>
      <c r="AH18" s="163">
        <v>70</v>
      </c>
      <c r="AI18" s="163">
        <v>60</v>
      </c>
      <c r="AJ18" s="163">
        <v>55</v>
      </c>
      <c r="AK18" s="163">
        <v>50</v>
      </c>
    </row>
    <row r="19" spans="1:37" ht="18.75" customHeight="1" x14ac:dyDescent="0.25">
      <c r="A19" s="146" t="s">
        <v>38</v>
      </c>
      <c r="B19" s="416" t="str">
        <f>E7</f>
        <v>Szabó</v>
      </c>
      <c r="C19" s="416"/>
      <c r="D19" s="411"/>
      <c r="E19" s="411"/>
      <c r="F19" s="409"/>
      <c r="G19" s="409"/>
      <c r="H19" s="409"/>
      <c r="I19" s="409"/>
      <c r="J19" s="412"/>
      <c r="K19" s="412"/>
      <c r="L19" s="412"/>
      <c r="M19" s="412"/>
      <c r="Y19" s="163"/>
      <c r="Z19" s="163"/>
      <c r="AA19" s="163" t="s">
        <v>70</v>
      </c>
      <c r="AB19" s="163">
        <v>150</v>
      </c>
      <c r="AC19" s="163">
        <v>120</v>
      </c>
      <c r="AD19" s="163">
        <v>100</v>
      </c>
      <c r="AE19" s="163">
        <v>80</v>
      </c>
      <c r="AF19" s="163">
        <v>70</v>
      </c>
      <c r="AG19" s="163">
        <v>60</v>
      </c>
      <c r="AH19" s="163">
        <v>55</v>
      </c>
      <c r="AI19" s="163">
        <v>50</v>
      </c>
      <c r="AJ19" s="163">
        <v>45</v>
      </c>
      <c r="AK19" s="163">
        <v>40</v>
      </c>
    </row>
    <row r="20" spans="1:37" ht="18.75" customHeight="1" x14ac:dyDescent="0.25">
      <c r="A20" s="146" t="s">
        <v>39</v>
      </c>
      <c r="B20" s="416" t="str">
        <f>E9</f>
        <v>Kovács</v>
      </c>
      <c r="C20" s="416"/>
      <c r="D20" s="409"/>
      <c r="E20" s="409"/>
      <c r="F20" s="411"/>
      <c r="G20" s="411"/>
      <c r="H20" s="409"/>
      <c r="I20" s="409"/>
      <c r="J20" s="409"/>
      <c r="K20" s="409"/>
      <c r="L20" s="412"/>
      <c r="M20" s="412"/>
      <c r="Y20" s="163"/>
      <c r="Z20" s="163"/>
      <c r="AA20" s="163" t="s">
        <v>71</v>
      </c>
      <c r="AB20" s="163">
        <v>120</v>
      </c>
      <c r="AC20" s="163">
        <v>90</v>
      </c>
      <c r="AD20" s="163">
        <v>65</v>
      </c>
      <c r="AE20" s="163">
        <v>55</v>
      </c>
      <c r="AF20" s="163">
        <v>50</v>
      </c>
      <c r="AG20" s="163">
        <v>45</v>
      </c>
      <c r="AH20" s="163">
        <v>40</v>
      </c>
      <c r="AI20" s="163">
        <v>35</v>
      </c>
      <c r="AJ20" s="163">
        <v>25</v>
      </c>
      <c r="AK20" s="163">
        <v>20</v>
      </c>
    </row>
    <row r="21" spans="1:37" ht="18.75" customHeight="1" x14ac:dyDescent="0.25">
      <c r="A21" s="146" t="s">
        <v>40</v>
      </c>
      <c r="B21" s="416" t="str">
        <f>E11</f>
        <v xml:space="preserve">Pásztor </v>
      </c>
      <c r="C21" s="416"/>
      <c r="D21" s="409"/>
      <c r="E21" s="409"/>
      <c r="F21" s="409"/>
      <c r="G21" s="409"/>
      <c r="H21" s="411"/>
      <c r="I21" s="411"/>
      <c r="J21" s="409"/>
      <c r="K21" s="409"/>
      <c r="L21" s="409"/>
      <c r="M21" s="409"/>
      <c r="Y21" s="163"/>
      <c r="Z21" s="163"/>
      <c r="AA21" s="163" t="s">
        <v>72</v>
      </c>
      <c r="AB21" s="163">
        <v>90</v>
      </c>
      <c r="AC21" s="163">
        <v>60</v>
      </c>
      <c r="AD21" s="163">
        <v>45</v>
      </c>
      <c r="AE21" s="163">
        <v>34</v>
      </c>
      <c r="AF21" s="163">
        <v>27</v>
      </c>
      <c r="AG21" s="163">
        <v>22</v>
      </c>
      <c r="AH21" s="163">
        <v>18</v>
      </c>
      <c r="AI21" s="163">
        <v>15</v>
      </c>
      <c r="AJ21" s="163">
        <v>12</v>
      </c>
      <c r="AK21" s="163">
        <v>9</v>
      </c>
    </row>
    <row r="22" spans="1:37" ht="18.75" customHeight="1" x14ac:dyDescent="0.25">
      <c r="A22" s="146" t="s">
        <v>45</v>
      </c>
      <c r="B22" s="416" t="str">
        <f>E13</f>
        <v>Dobák</v>
      </c>
      <c r="C22" s="416"/>
      <c r="D22" s="409"/>
      <c r="E22" s="409"/>
      <c r="F22" s="409"/>
      <c r="G22" s="409"/>
      <c r="H22" s="412"/>
      <c r="I22" s="412"/>
      <c r="J22" s="411"/>
      <c r="K22" s="411"/>
      <c r="L22" s="409"/>
      <c r="M22" s="409"/>
      <c r="Y22" s="163"/>
      <c r="Z22" s="163"/>
      <c r="AA22" s="163" t="s">
        <v>73</v>
      </c>
      <c r="AB22" s="163">
        <v>60</v>
      </c>
      <c r="AC22" s="163">
        <v>40</v>
      </c>
      <c r="AD22" s="163">
        <v>30</v>
      </c>
      <c r="AE22" s="163">
        <v>20</v>
      </c>
      <c r="AF22" s="163">
        <v>18</v>
      </c>
      <c r="AG22" s="163">
        <v>15</v>
      </c>
      <c r="AH22" s="163">
        <v>12</v>
      </c>
      <c r="AI22" s="163">
        <v>10</v>
      </c>
      <c r="AJ22" s="163">
        <v>8</v>
      </c>
      <c r="AK22" s="163">
        <v>6</v>
      </c>
    </row>
    <row r="23" spans="1:37" ht="18.75" customHeight="1" x14ac:dyDescent="0.25">
      <c r="A23" s="146" t="s">
        <v>46</v>
      </c>
      <c r="B23" s="416" t="str">
        <f>E15</f>
        <v>Gulyás</v>
      </c>
      <c r="C23" s="416"/>
      <c r="D23" s="409"/>
      <c r="E23" s="409"/>
      <c r="F23" s="409"/>
      <c r="G23" s="409"/>
      <c r="H23" s="412"/>
      <c r="I23" s="412"/>
      <c r="J23" s="412"/>
      <c r="K23" s="412"/>
      <c r="L23" s="411"/>
      <c r="M23" s="411"/>
      <c r="Y23" s="163"/>
      <c r="Z23" s="163"/>
      <c r="AA23" s="163" t="s">
        <v>74</v>
      </c>
      <c r="AB23" s="163">
        <v>40</v>
      </c>
      <c r="AC23" s="163">
        <v>25</v>
      </c>
      <c r="AD23" s="163">
        <v>18</v>
      </c>
      <c r="AE23" s="163">
        <v>13</v>
      </c>
      <c r="AF23" s="163">
        <v>8</v>
      </c>
      <c r="AG23" s="163">
        <v>7</v>
      </c>
      <c r="AH23" s="163">
        <v>6</v>
      </c>
      <c r="AI23" s="163">
        <v>5</v>
      </c>
      <c r="AJ23" s="163">
        <v>4</v>
      </c>
      <c r="AK23" s="163">
        <v>3</v>
      </c>
    </row>
    <row r="24" spans="1:37" x14ac:dyDescent="0.25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Y24" s="163"/>
      <c r="Z24" s="163"/>
      <c r="AA24" s="163" t="s">
        <v>75</v>
      </c>
      <c r="AB24" s="163">
        <v>25</v>
      </c>
      <c r="AC24" s="163">
        <v>15</v>
      </c>
      <c r="AD24" s="163">
        <v>13</v>
      </c>
      <c r="AE24" s="163">
        <v>7</v>
      </c>
      <c r="AF24" s="163">
        <v>6</v>
      </c>
      <c r="AG24" s="163">
        <v>5</v>
      </c>
      <c r="AH24" s="163">
        <v>4</v>
      </c>
      <c r="AI24" s="163">
        <v>3</v>
      </c>
      <c r="AJ24" s="163">
        <v>2</v>
      </c>
      <c r="AK24" s="163">
        <v>1</v>
      </c>
    </row>
    <row r="25" spans="1:37" x14ac:dyDescent="0.25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Y25" s="163"/>
      <c r="Z25" s="163"/>
      <c r="AA25" s="163" t="s">
        <v>80</v>
      </c>
      <c r="AB25" s="163">
        <v>15</v>
      </c>
      <c r="AC25" s="163">
        <v>10</v>
      </c>
      <c r="AD25" s="163">
        <v>8</v>
      </c>
      <c r="AE25" s="163">
        <v>4</v>
      </c>
      <c r="AF25" s="163">
        <v>3</v>
      </c>
      <c r="AG25" s="163">
        <v>2</v>
      </c>
      <c r="AH25" s="163">
        <v>1</v>
      </c>
      <c r="AI25" s="163">
        <v>0</v>
      </c>
      <c r="AJ25" s="163">
        <v>0</v>
      </c>
      <c r="AK25" s="163">
        <v>0</v>
      </c>
    </row>
    <row r="26" spans="1:37" x14ac:dyDescent="0.25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Y26" s="163"/>
      <c r="Z26" s="163"/>
      <c r="AA26" s="163" t="s">
        <v>76</v>
      </c>
      <c r="AB26" s="163">
        <v>10</v>
      </c>
      <c r="AC26" s="163">
        <v>6</v>
      </c>
      <c r="AD26" s="163">
        <v>4</v>
      </c>
      <c r="AE26" s="163">
        <v>2</v>
      </c>
      <c r="AF26" s="163">
        <v>1</v>
      </c>
      <c r="AG26" s="163">
        <v>0</v>
      </c>
      <c r="AH26" s="163">
        <v>0</v>
      </c>
      <c r="AI26" s="163">
        <v>0</v>
      </c>
      <c r="AJ26" s="163">
        <v>0</v>
      </c>
      <c r="AK26" s="163">
        <v>0</v>
      </c>
    </row>
    <row r="27" spans="1:37" x14ac:dyDescent="0.25">
      <c r="A27" s="96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Y27" s="163"/>
      <c r="Z27" s="163"/>
      <c r="AA27" s="163" t="s">
        <v>77</v>
      </c>
      <c r="AB27" s="163">
        <v>3</v>
      </c>
      <c r="AC27" s="163">
        <v>2</v>
      </c>
      <c r="AD27" s="163">
        <v>1</v>
      </c>
      <c r="AE27" s="163">
        <v>0</v>
      </c>
      <c r="AF27" s="163">
        <v>0</v>
      </c>
      <c r="AG27" s="163">
        <v>0</v>
      </c>
      <c r="AH27" s="163">
        <v>0</v>
      </c>
      <c r="AI27" s="163">
        <v>0</v>
      </c>
      <c r="AJ27" s="163">
        <v>0</v>
      </c>
      <c r="AK27" s="163">
        <v>0</v>
      </c>
    </row>
    <row r="28" spans="1:37" x14ac:dyDescent="0.25">
      <c r="A28" s="96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</row>
    <row r="29" spans="1:37" x14ac:dyDescent="0.25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</row>
    <row r="30" spans="1:37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37" x14ac:dyDescent="0.25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</row>
    <row r="32" spans="1:37" x14ac:dyDescent="0.25">
      <c r="A32" s="96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5"/>
      <c r="M32" s="96"/>
    </row>
    <row r="33" spans="1:18" x14ac:dyDescent="0.25">
      <c r="A33" s="45" t="s">
        <v>22</v>
      </c>
      <c r="B33" s="46"/>
      <c r="C33" s="75"/>
      <c r="D33" s="122" t="s">
        <v>0</v>
      </c>
      <c r="E33" s="123" t="s">
        <v>24</v>
      </c>
      <c r="F33" s="137"/>
      <c r="G33" s="122" t="s">
        <v>0</v>
      </c>
      <c r="H33" s="123" t="s">
        <v>31</v>
      </c>
      <c r="I33" s="56"/>
      <c r="J33" s="123" t="s">
        <v>32</v>
      </c>
      <c r="K33" s="55" t="s">
        <v>33</v>
      </c>
      <c r="L33" s="29"/>
      <c r="M33" s="137"/>
      <c r="P33" s="118"/>
      <c r="Q33" s="118"/>
      <c r="R33" s="119"/>
    </row>
    <row r="34" spans="1:18" x14ac:dyDescent="0.25">
      <c r="A34" s="100" t="s">
        <v>23</v>
      </c>
      <c r="B34" s="101"/>
      <c r="C34" s="102"/>
      <c r="D34" s="124"/>
      <c r="E34" s="415"/>
      <c r="F34" s="415"/>
      <c r="G34" s="131" t="s">
        <v>1</v>
      </c>
      <c r="H34" s="101"/>
      <c r="I34" s="125"/>
      <c r="J34" s="132"/>
      <c r="K34" s="98" t="s">
        <v>25</v>
      </c>
      <c r="L34" s="138"/>
      <c r="M34" s="126"/>
      <c r="P34" s="120"/>
      <c r="Q34" s="120"/>
      <c r="R34" s="48"/>
    </row>
    <row r="35" spans="1:18" x14ac:dyDescent="0.25">
      <c r="A35" s="103" t="s">
        <v>30</v>
      </c>
      <c r="B35" s="54"/>
      <c r="C35" s="104"/>
      <c r="D35" s="127"/>
      <c r="E35" s="410"/>
      <c r="F35" s="410"/>
      <c r="G35" s="133" t="s">
        <v>2</v>
      </c>
      <c r="H35" s="36"/>
      <c r="I35" s="97"/>
      <c r="J35" s="37"/>
      <c r="K35" s="135"/>
      <c r="L35" s="95"/>
      <c r="M35" s="130"/>
      <c r="P35" s="48"/>
      <c r="Q35" s="47"/>
      <c r="R35" s="48"/>
    </row>
    <row r="36" spans="1:18" x14ac:dyDescent="0.25">
      <c r="A36" s="67"/>
      <c r="B36" s="68"/>
      <c r="C36" s="69"/>
      <c r="D36" s="127"/>
      <c r="E36" s="38"/>
      <c r="F36" s="96"/>
      <c r="G36" s="133" t="s">
        <v>3</v>
      </c>
      <c r="H36" s="36"/>
      <c r="I36" s="97"/>
      <c r="J36" s="37"/>
      <c r="K36" s="98" t="s">
        <v>26</v>
      </c>
      <c r="L36" s="138"/>
      <c r="M36" s="126"/>
      <c r="P36" s="120"/>
      <c r="Q36" s="120"/>
      <c r="R36" s="48"/>
    </row>
    <row r="37" spans="1:18" x14ac:dyDescent="0.25">
      <c r="A37" s="49"/>
      <c r="B37" s="44"/>
      <c r="C37" s="50"/>
      <c r="D37" s="127"/>
      <c r="E37" s="38"/>
      <c r="F37" s="96"/>
      <c r="G37" s="133" t="s">
        <v>4</v>
      </c>
      <c r="H37" s="36"/>
      <c r="I37" s="97"/>
      <c r="J37" s="37"/>
      <c r="K37" s="136"/>
      <c r="L37" s="96"/>
      <c r="M37" s="128"/>
      <c r="P37" s="48"/>
      <c r="Q37" s="47"/>
      <c r="R37" s="48"/>
    </row>
    <row r="38" spans="1:18" x14ac:dyDescent="0.25">
      <c r="A38" s="58"/>
      <c r="B38" s="70"/>
      <c r="C38" s="74"/>
      <c r="D38" s="127"/>
      <c r="E38" s="38"/>
      <c r="F38" s="96"/>
      <c r="G38" s="133" t="s">
        <v>5</v>
      </c>
      <c r="H38" s="36"/>
      <c r="I38" s="97"/>
      <c r="J38" s="37"/>
      <c r="K38" s="103"/>
      <c r="L38" s="95"/>
      <c r="M38" s="130"/>
      <c r="P38" s="48"/>
      <c r="Q38" s="47"/>
      <c r="R38" s="48"/>
    </row>
    <row r="39" spans="1:18" x14ac:dyDescent="0.25">
      <c r="A39" s="59"/>
      <c r="B39" s="20"/>
      <c r="C39" s="50"/>
      <c r="D39" s="127"/>
      <c r="E39" s="38"/>
      <c r="F39" s="96"/>
      <c r="G39" s="133" t="s">
        <v>6</v>
      </c>
      <c r="H39" s="36"/>
      <c r="I39" s="97"/>
      <c r="J39" s="37"/>
      <c r="K39" s="98" t="s">
        <v>21</v>
      </c>
      <c r="L39" s="138"/>
      <c r="M39" s="126"/>
      <c r="P39" s="120"/>
      <c r="Q39" s="120"/>
      <c r="R39" s="48"/>
    </row>
    <row r="40" spans="1:18" x14ac:dyDescent="0.25">
      <c r="A40" s="59"/>
      <c r="B40" s="20"/>
      <c r="C40" s="65"/>
      <c r="D40" s="127"/>
      <c r="E40" s="38"/>
      <c r="F40" s="96"/>
      <c r="G40" s="133" t="s">
        <v>7</v>
      </c>
      <c r="H40" s="36"/>
      <c r="I40" s="97"/>
      <c r="J40" s="37"/>
      <c r="K40" s="136"/>
      <c r="L40" s="96"/>
      <c r="M40" s="128"/>
      <c r="P40" s="48"/>
      <c r="Q40" s="47"/>
      <c r="R40" s="48"/>
    </row>
    <row r="41" spans="1:18" x14ac:dyDescent="0.25">
      <c r="A41" s="60"/>
      <c r="B41" s="57"/>
      <c r="C41" s="66"/>
      <c r="D41" s="129"/>
      <c r="E41" s="51"/>
      <c r="F41" s="95"/>
      <c r="G41" s="134" t="s">
        <v>8</v>
      </c>
      <c r="H41" s="54"/>
      <c r="I41" s="99"/>
      <c r="J41" s="52"/>
      <c r="K41" s="103">
        <f>L4</f>
        <v>0</v>
      </c>
      <c r="L41" s="95"/>
      <c r="M41" s="130"/>
      <c r="P41" s="48"/>
      <c r="Q41" s="47"/>
      <c r="R41" s="121"/>
    </row>
  </sheetData>
  <mergeCells count="50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E15:F15"/>
    <mergeCell ref="G15:H15"/>
    <mergeCell ref="L19:M19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21:M21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H23:I23"/>
    <mergeCell ref="J23:K23"/>
    <mergeCell ref="L23:M23"/>
    <mergeCell ref="B22:C22"/>
    <mergeCell ref="D22:E22"/>
    <mergeCell ref="F22:G22"/>
    <mergeCell ref="H22:I22"/>
    <mergeCell ref="J22:K22"/>
    <mergeCell ref="L22:M22"/>
    <mergeCell ref="E34:F34"/>
    <mergeCell ref="E35:F35"/>
    <mergeCell ref="B23:C23"/>
    <mergeCell ref="D23:E23"/>
    <mergeCell ref="F23:G23"/>
  </mergeCells>
  <conditionalFormatting sqref="E7 E9 E11 E13 E15">
    <cfRule type="cellIs" dxfId="7" priority="2" stopIfTrue="1" operator="equal">
      <formula>"Bye"</formula>
    </cfRule>
  </conditionalFormatting>
  <conditionalFormatting sqref="R41">
    <cfRule type="expression" dxfId="6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 codeName="Munka37">
    <tabColor indexed="11"/>
  </sheetPr>
  <dimension ref="A1:AK47"/>
  <sheetViews>
    <sheetView workbookViewId="0">
      <selection activeCell="Q24" sqref="Q24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8.77734375" customWidth="1"/>
    <col min="5" max="5" width="8.109375" customWidth="1"/>
    <col min="6" max="6" width="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 x14ac:dyDescent="0.25">
      <c r="A1" s="414" t="str">
        <f>Altalanos!$A$6</f>
        <v>Tenisz Diákolimpia B-A-Z. Vármegyei Döntő</v>
      </c>
      <c r="B1" s="414"/>
      <c r="C1" s="414"/>
      <c r="D1" s="414"/>
      <c r="E1" s="414"/>
      <c r="F1" s="414"/>
      <c r="G1" s="79"/>
      <c r="H1" s="82" t="s">
        <v>29</v>
      </c>
      <c r="I1" s="80"/>
      <c r="J1" s="81"/>
      <c r="L1" s="83"/>
      <c r="M1" s="84"/>
      <c r="N1" s="41"/>
      <c r="O1" s="41" t="s">
        <v>9</v>
      </c>
      <c r="P1" s="41"/>
      <c r="Q1" s="40"/>
      <c r="R1" s="41"/>
      <c r="AB1" s="169" t="str">
        <f>IF(Y5=1,CONCATENATE(VLOOKUP(Y3,AA16:AH27,2)),CONCATENATE(VLOOKUP(Y3,AA2:AK13,2)))</f>
        <v>150</v>
      </c>
      <c r="AC1" s="169" t="str">
        <f>IF(Y5=1,CONCATENATE(VLOOKUP(Y3,AA16:AK27,3)),CONCATENATE(VLOOKUP(Y3,AA2:AK13,3)))</f>
        <v>120</v>
      </c>
      <c r="AD1" s="169" t="str">
        <f>IF(Y5=1,CONCATENATE(VLOOKUP(Y3,AA16:AK27,4)),CONCATENATE(VLOOKUP(Y3,AA2:AK13,4)))</f>
        <v>100</v>
      </c>
      <c r="AE1" s="169" t="str">
        <f>IF(Y5=1,CONCATENATE(VLOOKUP(Y3,AA16:AK27,5)),CONCATENATE(VLOOKUP(Y3,AA2:AK13,5)))</f>
        <v>80</v>
      </c>
      <c r="AF1" s="169" t="str">
        <f>IF(Y5=1,CONCATENATE(VLOOKUP(Y3,AA16:AK27,6)),CONCATENATE(VLOOKUP(Y3,AA2:AK13,6)))</f>
        <v>70</v>
      </c>
      <c r="AG1" s="169" t="str">
        <f>IF(Y5=1,CONCATENATE(VLOOKUP(Y3,AA16:AK27,7)),CONCATENATE(VLOOKUP(Y3,AA2:AK13,7)))</f>
        <v>60</v>
      </c>
      <c r="AH1" s="169" t="str">
        <f>IF(Y5=1,CONCATENATE(VLOOKUP(Y3,AA16:AK27,8)),CONCATENATE(VLOOKUP(Y3,AA2:AK13,8)))</f>
        <v>55</v>
      </c>
      <c r="AI1" s="169" t="str">
        <f>IF(Y5=1,CONCATENATE(VLOOKUP(Y3,AA16:AK27,9)),CONCATENATE(VLOOKUP(Y3,AA2:AK13,9)))</f>
        <v>50</v>
      </c>
      <c r="AJ1" s="169" t="str">
        <f>IF(Y5=1,CONCATENATE(VLOOKUP(Y3,AA16:AK27,10)),CONCATENATE(VLOOKUP(Y3,AA2:AK13,10)))</f>
        <v>45</v>
      </c>
      <c r="AK1" s="169" t="str">
        <f>IF(Y5=1,CONCATENATE(VLOOKUP(Y3,AA16:AK27,11)),CONCATENATE(VLOOKUP(Y3,AA2:AK13,11)))</f>
        <v>40</v>
      </c>
    </row>
    <row r="2" spans="1:37" x14ac:dyDescent="0.25">
      <c r="A2" s="85" t="s">
        <v>28</v>
      </c>
      <c r="B2" s="86"/>
      <c r="C2" s="86"/>
      <c r="D2" s="86"/>
      <c r="E2" s="185" t="str">
        <f>Altalanos!$D$8</f>
        <v>VI.-VII.</v>
      </c>
      <c r="F2" s="86"/>
      <c r="G2" s="87"/>
      <c r="H2" s="88"/>
      <c r="I2" s="88"/>
      <c r="J2" s="89"/>
      <c r="K2" s="83"/>
      <c r="L2" s="83"/>
      <c r="M2" s="83"/>
      <c r="N2" s="42"/>
      <c r="O2" s="39"/>
      <c r="P2" s="42"/>
      <c r="Q2" s="39"/>
      <c r="R2" s="42"/>
      <c r="Y2" s="164"/>
      <c r="Z2" s="163"/>
      <c r="AA2" s="163" t="s">
        <v>38</v>
      </c>
      <c r="AB2" s="154">
        <v>150</v>
      </c>
      <c r="AC2" s="154">
        <v>120</v>
      </c>
      <c r="AD2" s="154">
        <v>100</v>
      </c>
      <c r="AE2" s="154">
        <v>80</v>
      </c>
      <c r="AF2" s="154">
        <v>70</v>
      </c>
      <c r="AG2" s="154">
        <v>60</v>
      </c>
      <c r="AH2" s="154">
        <v>55</v>
      </c>
      <c r="AI2" s="154">
        <v>50</v>
      </c>
      <c r="AJ2" s="154">
        <v>45</v>
      </c>
      <c r="AK2" s="154">
        <v>40</v>
      </c>
    </row>
    <row r="3" spans="1:37" x14ac:dyDescent="0.25">
      <c r="A3" s="34" t="s">
        <v>16</v>
      </c>
      <c r="B3" s="34"/>
      <c r="C3" s="34"/>
      <c r="D3" s="34"/>
      <c r="E3" s="34" t="s">
        <v>14</v>
      </c>
      <c r="F3" s="34"/>
      <c r="G3" s="34"/>
      <c r="H3" s="34" t="s">
        <v>18</v>
      </c>
      <c r="I3" s="34"/>
      <c r="J3" s="43"/>
      <c r="K3" s="34"/>
      <c r="L3" s="35" t="s">
        <v>19</v>
      </c>
      <c r="M3" s="34"/>
      <c r="N3" s="112"/>
      <c r="O3" s="111"/>
      <c r="P3" s="112"/>
      <c r="Y3" s="163" t="str">
        <f>IF(H4="OB","A",IF(H4="IX","W",H4))</f>
        <v>B</v>
      </c>
      <c r="Z3" s="163"/>
      <c r="AA3" s="163" t="s">
        <v>68</v>
      </c>
      <c r="AB3" s="154">
        <v>120</v>
      </c>
      <c r="AC3" s="154">
        <v>90</v>
      </c>
      <c r="AD3" s="154">
        <v>65</v>
      </c>
      <c r="AE3" s="154">
        <v>55</v>
      </c>
      <c r="AF3" s="154">
        <v>50</v>
      </c>
      <c r="AG3" s="154">
        <v>45</v>
      </c>
      <c r="AH3" s="154">
        <v>40</v>
      </c>
      <c r="AI3" s="154">
        <v>35</v>
      </c>
      <c r="AJ3" s="154">
        <v>25</v>
      </c>
      <c r="AK3" s="154">
        <v>20</v>
      </c>
    </row>
    <row r="4" spans="1:37" ht="13.8" thickBot="1" x14ac:dyDescent="0.3">
      <c r="A4" s="417" t="str">
        <f>Altalanos!$A$10</f>
        <v>2024.05.02-03.</v>
      </c>
      <c r="B4" s="417"/>
      <c r="C4" s="417"/>
      <c r="D4" s="90"/>
      <c r="E4" s="91" t="str">
        <f>Altalanos!$C$10</f>
        <v>Kazincbarcika</v>
      </c>
      <c r="F4" s="91"/>
      <c r="G4" s="91"/>
      <c r="H4" s="93" t="s">
        <v>39</v>
      </c>
      <c r="I4" s="91"/>
      <c r="J4" s="92"/>
      <c r="K4" s="93"/>
      <c r="L4" s="94">
        <f>Altalanos!$E$10</f>
        <v>0</v>
      </c>
      <c r="M4" s="93"/>
      <c r="N4" s="114"/>
      <c r="O4" s="115"/>
      <c r="P4" s="114"/>
      <c r="Y4" s="163"/>
      <c r="Z4" s="163"/>
      <c r="AA4" s="163" t="s">
        <v>69</v>
      </c>
      <c r="AB4" s="154">
        <v>90</v>
      </c>
      <c r="AC4" s="154">
        <v>60</v>
      </c>
      <c r="AD4" s="154">
        <v>45</v>
      </c>
      <c r="AE4" s="154">
        <v>34</v>
      </c>
      <c r="AF4" s="154">
        <v>27</v>
      </c>
      <c r="AG4" s="154">
        <v>22</v>
      </c>
      <c r="AH4" s="154">
        <v>18</v>
      </c>
      <c r="AI4" s="154">
        <v>15</v>
      </c>
      <c r="AJ4" s="154">
        <v>12</v>
      </c>
      <c r="AK4" s="154">
        <v>9</v>
      </c>
    </row>
    <row r="5" spans="1:37" x14ac:dyDescent="0.25">
      <c r="A5" s="29"/>
      <c r="B5" s="29" t="s">
        <v>27</v>
      </c>
      <c r="C5" s="107" t="s">
        <v>36</v>
      </c>
      <c r="D5" s="29" t="s">
        <v>22</v>
      </c>
      <c r="E5" s="29" t="s">
        <v>41</v>
      </c>
      <c r="F5" s="29"/>
      <c r="G5" s="29" t="s">
        <v>17</v>
      </c>
      <c r="H5" s="29"/>
      <c r="I5" s="29" t="s">
        <v>20</v>
      </c>
      <c r="J5" s="29"/>
      <c r="K5" s="140" t="s">
        <v>42</v>
      </c>
      <c r="L5" s="140" t="s">
        <v>43</v>
      </c>
      <c r="M5" s="140" t="s">
        <v>44</v>
      </c>
      <c r="O5" s="153" t="s">
        <v>52</v>
      </c>
      <c r="P5" s="154" t="s">
        <v>58</v>
      </c>
      <c r="R5" s="153" t="s">
        <v>52</v>
      </c>
      <c r="S5" s="182" t="s">
        <v>89</v>
      </c>
      <c r="Y5" s="163">
        <f>IF(OR(Altalanos!$A$8="F1",Altalanos!$A$8="F2",Altalanos!$A$8="N1",Altalanos!$A$8="N2"),1,2)</f>
        <v>2</v>
      </c>
      <c r="Z5" s="163"/>
      <c r="AA5" s="163" t="s">
        <v>70</v>
      </c>
      <c r="AB5" s="154">
        <v>60</v>
      </c>
      <c r="AC5" s="154">
        <v>40</v>
      </c>
      <c r="AD5" s="154">
        <v>30</v>
      </c>
      <c r="AE5" s="154">
        <v>20</v>
      </c>
      <c r="AF5" s="154">
        <v>18</v>
      </c>
      <c r="AG5" s="154">
        <v>15</v>
      </c>
      <c r="AH5" s="154">
        <v>12</v>
      </c>
      <c r="AI5" s="154">
        <v>10</v>
      </c>
      <c r="AJ5" s="154">
        <v>8</v>
      </c>
      <c r="AK5" s="154">
        <v>6</v>
      </c>
    </row>
    <row r="6" spans="1:37" x14ac:dyDescent="0.25">
      <c r="A6" s="96"/>
      <c r="B6" s="96"/>
      <c r="C6" s="139"/>
      <c r="D6" s="96"/>
      <c r="E6" s="96"/>
      <c r="F6" s="96"/>
      <c r="G6" s="96"/>
      <c r="H6" s="96"/>
      <c r="I6" s="96"/>
      <c r="J6" s="96"/>
      <c r="K6" s="96"/>
      <c r="L6" s="96"/>
      <c r="M6" s="96"/>
      <c r="O6" s="155" t="s">
        <v>59</v>
      </c>
      <c r="P6" s="156" t="s">
        <v>54</v>
      </c>
      <c r="R6" s="155" t="s">
        <v>59</v>
      </c>
      <c r="S6" s="183" t="s">
        <v>90</v>
      </c>
      <c r="Y6" s="163"/>
      <c r="Z6" s="163"/>
      <c r="AA6" s="163" t="s">
        <v>71</v>
      </c>
      <c r="AB6" s="154">
        <v>40</v>
      </c>
      <c r="AC6" s="154">
        <v>25</v>
      </c>
      <c r="AD6" s="154">
        <v>18</v>
      </c>
      <c r="AE6" s="154">
        <v>13</v>
      </c>
      <c r="AF6" s="154">
        <v>10</v>
      </c>
      <c r="AG6" s="154">
        <v>8</v>
      </c>
      <c r="AH6" s="154">
        <v>6</v>
      </c>
      <c r="AI6" s="154">
        <v>5</v>
      </c>
      <c r="AJ6" s="154">
        <v>4</v>
      </c>
      <c r="AK6" s="154">
        <v>3</v>
      </c>
    </row>
    <row r="7" spans="1:37" x14ac:dyDescent="0.25">
      <c r="A7" s="147" t="s">
        <v>38</v>
      </c>
      <c r="B7" s="159"/>
      <c r="C7" s="109" t="str">
        <f>IF($B7="","",VLOOKUP($B7,#REF!,5))</f>
        <v/>
      </c>
      <c r="D7" s="109" t="str">
        <f>IF($B7="","",VLOOKUP($B7,#REF!,15))</f>
        <v/>
      </c>
      <c r="E7" s="106" t="s">
        <v>399</v>
      </c>
      <c r="F7" s="108"/>
      <c r="G7" s="106" t="s">
        <v>358</v>
      </c>
      <c r="H7" s="108"/>
      <c r="I7" s="106" t="str">
        <f>IF($B7="","",VLOOKUP($B7,#REF!,4))</f>
        <v/>
      </c>
      <c r="J7" s="96"/>
      <c r="K7" s="170"/>
      <c r="L7" s="165" t="str">
        <f>IF(K7="","",CONCATENATE(VLOOKUP($Y$3,$AB$1:$AK$1,K7)," pont"))</f>
        <v/>
      </c>
      <c r="M7" s="171"/>
      <c r="O7" s="157" t="s">
        <v>60</v>
      </c>
      <c r="P7" s="158" t="s">
        <v>56</v>
      </c>
      <c r="R7" s="157" t="s">
        <v>60</v>
      </c>
      <c r="S7" s="184" t="s">
        <v>64</v>
      </c>
      <c r="Y7" s="163"/>
      <c r="Z7" s="163"/>
      <c r="AA7" s="163" t="s">
        <v>72</v>
      </c>
      <c r="AB7" s="154">
        <v>25</v>
      </c>
      <c r="AC7" s="154">
        <v>15</v>
      </c>
      <c r="AD7" s="154">
        <v>13</v>
      </c>
      <c r="AE7" s="154">
        <v>8</v>
      </c>
      <c r="AF7" s="154">
        <v>6</v>
      </c>
      <c r="AG7" s="154">
        <v>4</v>
      </c>
      <c r="AH7" s="154">
        <v>3</v>
      </c>
      <c r="AI7" s="154">
        <v>2</v>
      </c>
      <c r="AJ7" s="154">
        <v>1</v>
      </c>
      <c r="AK7" s="154">
        <v>0</v>
      </c>
    </row>
    <row r="8" spans="1:37" x14ac:dyDescent="0.25">
      <c r="A8" s="116"/>
      <c r="B8" s="160"/>
      <c r="C8" s="117"/>
      <c r="D8" s="117"/>
      <c r="E8" s="117"/>
      <c r="F8" s="117"/>
      <c r="G8" s="117"/>
      <c r="H8" s="117"/>
      <c r="I8" s="117"/>
      <c r="J8" s="96"/>
      <c r="K8" s="116"/>
      <c r="L8" s="116"/>
      <c r="M8" s="172"/>
      <c r="Y8" s="163"/>
      <c r="Z8" s="163"/>
      <c r="AA8" s="163" t="s">
        <v>73</v>
      </c>
      <c r="AB8" s="154">
        <v>15</v>
      </c>
      <c r="AC8" s="154">
        <v>10</v>
      </c>
      <c r="AD8" s="154">
        <v>7</v>
      </c>
      <c r="AE8" s="154">
        <v>5</v>
      </c>
      <c r="AF8" s="154">
        <v>4</v>
      </c>
      <c r="AG8" s="154">
        <v>3</v>
      </c>
      <c r="AH8" s="154">
        <v>2</v>
      </c>
      <c r="AI8" s="154">
        <v>1</v>
      </c>
      <c r="AJ8" s="154">
        <v>0</v>
      </c>
      <c r="AK8" s="154">
        <v>0</v>
      </c>
    </row>
    <row r="9" spans="1:37" x14ac:dyDescent="0.25">
      <c r="A9" s="116" t="s">
        <v>39</v>
      </c>
      <c r="B9" s="161"/>
      <c r="C9" s="109" t="str">
        <f>IF($B9="","",VLOOKUP($B9,#REF!,5))</f>
        <v/>
      </c>
      <c r="D9" s="109" t="str">
        <f>IF($B9="","",VLOOKUP($B9,#REF!,15))</f>
        <v/>
      </c>
      <c r="E9" s="105" t="s">
        <v>400</v>
      </c>
      <c r="F9" s="221"/>
      <c r="G9" s="105" t="s">
        <v>401</v>
      </c>
      <c r="H9" s="110"/>
      <c r="I9" s="105" t="str">
        <f>IF($B9="","",VLOOKUP($B9,#REF!,4))</f>
        <v/>
      </c>
      <c r="J9" s="96"/>
      <c r="K9" s="170"/>
      <c r="L9" s="165" t="str">
        <f>IF(K9="","",CONCATENATE(VLOOKUP($Y$3,$AB$1:$AK$1,K9)," pont"))</f>
        <v/>
      </c>
      <c r="M9" s="171"/>
      <c r="Y9" s="163"/>
      <c r="Z9" s="163"/>
      <c r="AA9" s="163" t="s">
        <v>74</v>
      </c>
      <c r="AB9" s="154">
        <v>10</v>
      </c>
      <c r="AC9" s="154">
        <v>6</v>
      </c>
      <c r="AD9" s="154">
        <v>4</v>
      </c>
      <c r="AE9" s="154">
        <v>2</v>
      </c>
      <c r="AF9" s="154">
        <v>1</v>
      </c>
      <c r="AG9" s="154">
        <v>0</v>
      </c>
      <c r="AH9" s="154">
        <v>0</v>
      </c>
      <c r="AI9" s="154">
        <v>0</v>
      </c>
      <c r="AJ9" s="154">
        <v>0</v>
      </c>
      <c r="AK9" s="154">
        <v>0</v>
      </c>
    </row>
    <row r="10" spans="1:37" x14ac:dyDescent="0.25">
      <c r="A10" s="116"/>
      <c r="B10" s="160"/>
      <c r="C10" s="117"/>
      <c r="D10" s="117"/>
      <c r="E10" s="117"/>
      <c r="F10" s="117"/>
      <c r="G10" s="117"/>
      <c r="H10" s="117"/>
      <c r="I10" s="117"/>
      <c r="J10" s="96"/>
      <c r="K10" s="116"/>
      <c r="L10" s="116"/>
      <c r="M10" s="172"/>
      <c r="Y10" s="163"/>
      <c r="Z10" s="163"/>
      <c r="AA10" s="163" t="s">
        <v>75</v>
      </c>
      <c r="AB10" s="154">
        <v>6</v>
      </c>
      <c r="AC10" s="154">
        <v>3</v>
      </c>
      <c r="AD10" s="154">
        <v>2</v>
      </c>
      <c r="AE10" s="154">
        <v>1</v>
      </c>
      <c r="AF10" s="154">
        <v>0</v>
      </c>
      <c r="AG10" s="154">
        <v>0</v>
      </c>
      <c r="AH10" s="154">
        <v>0</v>
      </c>
      <c r="AI10" s="154">
        <v>0</v>
      </c>
      <c r="AJ10" s="154">
        <v>0</v>
      </c>
      <c r="AK10" s="154">
        <v>0</v>
      </c>
    </row>
    <row r="11" spans="1:37" x14ac:dyDescent="0.25">
      <c r="A11" s="116" t="s">
        <v>40</v>
      </c>
      <c r="B11" s="161"/>
      <c r="C11" s="109" t="str">
        <f>IF($B11="","",VLOOKUP($B11,#REF!,5))</f>
        <v/>
      </c>
      <c r="D11" s="109" t="str">
        <f>IF($B11="","",VLOOKUP($B11,#REF!,15))</f>
        <v/>
      </c>
      <c r="E11" s="105" t="s">
        <v>402</v>
      </c>
      <c r="F11" s="221"/>
      <c r="G11" s="105" t="s">
        <v>403</v>
      </c>
      <c r="H11" s="110"/>
      <c r="I11" s="105" t="str">
        <f>IF($B11="","",VLOOKUP($B11,#REF!,4))</f>
        <v/>
      </c>
      <c r="J11" s="96"/>
      <c r="K11" s="170"/>
      <c r="L11" s="165" t="str">
        <f>IF(K11="","",CONCATENATE(VLOOKUP($Y$3,$AB$1:$AK$1,K11)," pont"))</f>
        <v/>
      </c>
      <c r="M11" s="171"/>
      <c r="Y11" s="163"/>
      <c r="Z11" s="163"/>
      <c r="AA11" s="163" t="s">
        <v>80</v>
      </c>
      <c r="AB11" s="154">
        <v>3</v>
      </c>
      <c r="AC11" s="154">
        <v>2</v>
      </c>
      <c r="AD11" s="154">
        <v>1</v>
      </c>
      <c r="AE11" s="154">
        <v>0</v>
      </c>
      <c r="AF11" s="154">
        <v>0</v>
      </c>
      <c r="AG11" s="154">
        <v>0</v>
      </c>
      <c r="AH11" s="154">
        <v>0</v>
      </c>
      <c r="AI11" s="154">
        <v>0</v>
      </c>
      <c r="AJ11" s="154">
        <v>0</v>
      </c>
      <c r="AK11" s="154">
        <v>0</v>
      </c>
    </row>
    <row r="12" spans="1:37" x14ac:dyDescent="0.25">
      <c r="A12" s="96"/>
      <c r="B12" s="147"/>
      <c r="C12" s="139"/>
      <c r="D12" s="96"/>
      <c r="E12" s="96"/>
      <c r="F12" s="96"/>
      <c r="G12" s="96"/>
      <c r="H12" s="96"/>
      <c r="I12" s="96"/>
      <c r="J12" s="96"/>
      <c r="K12" s="139"/>
      <c r="L12" s="139"/>
      <c r="M12" s="172"/>
      <c r="Y12" s="163"/>
      <c r="Z12" s="163"/>
      <c r="AA12" s="163" t="s">
        <v>76</v>
      </c>
      <c r="AB12" s="168">
        <v>0</v>
      </c>
      <c r="AC12" s="168">
        <v>0</v>
      </c>
      <c r="AD12" s="168">
        <v>0</v>
      </c>
      <c r="AE12" s="168">
        <v>0</v>
      </c>
      <c r="AF12" s="168">
        <v>0</v>
      </c>
      <c r="AG12" s="168">
        <v>0</v>
      </c>
      <c r="AH12" s="168">
        <v>0</v>
      </c>
      <c r="AI12" s="168">
        <v>0</v>
      </c>
      <c r="AJ12" s="168">
        <v>0</v>
      </c>
      <c r="AK12" s="168">
        <v>0</v>
      </c>
    </row>
    <row r="13" spans="1:37" x14ac:dyDescent="0.25">
      <c r="A13" s="147" t="s">
        <v>45</v>
      </c>
      <c r="B13" s="159"/>
      <c r="C13" s="109" t="str">
        <f>IF($B13="","",VLOOKUP($B13,#REF!,5))</f>
        <v/>
      </c>
      <c r="D13" s="109" t="str">
        <f>IF($B13="","",VLOOKUP($B13,#REF!,15))</f>
        <v/>
      </c>
      <c r="E13" s="106" t="s">
        <v>404</v>
      </c>
      <c r="F13" s="370"/>
      <c r="G13" s="106" t="s">
        <v>405</v>
      </c>
      <c r="H13" s="108"/>
      <c r="I13" s="106" t="str">
        <f>IF($B13="","",VLOOKUP($B13,#REF!,4))</f>
        <v/>
      </c>
      <c r="J13" s="96"/>
      <c r="K13" s="170"/>
      <c r="L13" s="165" t="str">
        <f>IF(K13="","",CONCATENATE(VLOOKUP($Y$3,$AB$1:$AK$1,K13)," pont"))</f>
        <v/>
      </c>
      <c r="M13" s="171"/>
      <c r="Y13" s="163"/>
      <c r="Z13" s="163"/>
      <c r="AA13" s="163" t="s">
        <v>77</v>
      </c>
      <c r="AB13" s="168">
        <v>0</v>
      </c>
      <c r="AC13" s="168">
        <v>0</v>
      </c>
      <c r="AD13" s="168">
        <v>0</v>
      </c>
      <c r="AE13" s="168">
        <v>0</v>
      </c>
      <c r="AF13" s="168">
        <v>0</v>
      </c>
      <c r="AG13" s="168">
        <v>0</v>
      </c>
      <c r="AH13" s="168">
        <v>0</v>
      </c>
      <c r="AI13" s="168">
        <v>0</v>
      </c>
      <c r="AJ13" s="168">
        <v>0</v>
      </c>
      <c r="AK13" s="168">
        <v>0</v>
      </c>
    </row>
    <row r="14" spans="1:37" x14ac:dyDescent="0.25">
      <c r="A14" s="116"/>
      <c r="B14" s="160"/>
      <c r="C14" s="117"/>
      <c r="D14" s="117"/>
      <c r="E14" s="117"/>
      <c r="F14" s="117"/>
      <c r="G14" s="117"/>
      <c r="H14" s="117"/>
      <c r="I14" s="117"/>
      <c r="J14" s="96"/>
      <c r="K14" s="116"/>
      <c r="L14" s="116"/>
      <c r="M14" s="172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</row>
    <row r="15" spans="1:37" x14ac:dyDescent="0.25">
      <c r="A15" s="116" t="s">
        <v>46</v>
      </c>
      <c r="B15" s="161"/>
      <c r="C15" s="109" t="str">
        <f>IF($B15="","",VLOOKUP($B15,#REF!,5))</f>
        <v/>
      </c>
      <c r="D15" s="109" t="str">
        <f>IF($B15="","",VLOOKUP($B15,#REF!,15))</f>
        <v/>
      </c>
      <c r="E15" s="105" t="s">
        <v>406</v>
      </c>
      <c r="F15" s="221"/>
      <c r="G15" s="105" t="s">
        <v>407</v>
      </c>
      <c r="H15" s="110"/>
      <c r="I15" s="105" t="str">
        <f>IF($B15="","",VLOOKUP($B15,#REF!,4))</f>
        <v/>
      </c>
      <c r="J15" s="96"/>
      <c r="K15" s="170"/>
      <c r="L15" s="165" t="str">
        <f>IF(K15="","",CONCATENATE(VLOOKUP($Y$3,$AB$1:$AK$1,K15)," pont"))</f>
        <v/>
      </c>
      <c r="M15" s="171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</row>
    <row r="16" spans="1:37" x14ac:dyDescent="0.25">
      <c r="A16" s="116"/>
      <c r="B16" s="160"/>
      <c r="C16" s="117"/>
      <c r="D16" s="117"/>
      <c r="E16" s="117"/>
      <c r="F16" s="117"/>
      <c r="G16" s="117"/>
      <c r="H16" s="117"/>
      <c r="I16" s="117"/>
      <c r="J16" s="96"/>
      <c r="K16" s="116"/>
      <c r="L16" s="116"/>
      <c r="M16" s="172"/>
      <c r="Y16" s="163"/>
      <c r="Z16" s="163"/>
      <c r="AA16" s="163" t="s">
        <v>38</v>
      </c>
      <c r="AB16" s="163">
        <v>300</v>
      </c>
      <c r="AC16" s="163">
        <v>250</v>
      </c>
      <c r="AD16" s="163">
        <v>220</v>
      </c>
      <c r="AE16" s="163">
        <v>180</v>
      </c>
      <c r="AF16" s="163">
        <v>160</v>
      </c>
      <c r="AG16" s="163">
        <v>150</v>
      </c>
      <c r="AH16" s="163">
        <v>140</v>
      </c>
      <c r="AI16" s="163">
        <v>130</v>
      </c>
      <c r="AJ16" s="163">
        <v>120</v>
      </c>
      <c r="AK16" s="163">
        <v>110</v>
      </c>
    </row>
    <row r="17" spans="1:37" x14ac:dyDescent="0.25">
      <c r="A17" s="116" t="s">
        <v>47</v>
      </c>
      <c r="B17" s="161"/>
      <c r="C17" s="109" t="str">
        <f>IF($B17="","",VLOOKUP($B17,#REF!,5))</f>
        <v/>
      </c>
      <c r="D17" s="109" t="str">
        <f>IF($B17="","",VLOOKUP($B17,#REF!,15))</f>
        <v/>
      </c>
      <c r="E17" s="105" t="s">
        <v>393</v>
      </c>
      <c r="F17" s="221"/>
      <c r="G17" s="105" t="s">
        <v>307</v>
      </c>
      <c r="H17" s="110"/>
      <c r="I17" s="105" t="str">
        <f>IF($B17="","",VLOOKUP($B17,#REF!,4))</f>
        <v/>
      </c>
      <c r="J17" s="96"/>
      <c r="K17" s="170"/>
      <c r="L17" s="165" t="str">
        <f>IF(K17="","",CONCATENATE(VLOOKUP($Y$3,$AB$1:$AK$1,K17)," pont"))</f>
        <v/>
      </c>
      <c r="M17" s="171"/>
      <c r="Y17" s="163"/>
      <c r="Z17" s="163"/>
      <c r="AA17" s="163" t="s">
        <v>68</v>
      </c>
      <c r="AB17" s="163">
        <v>250</v>
      </c>
      <c r="AC17" s="163">
        <v>200</v>
      </c>
      <c r="AD17" s="163">
        <v>160</v>
      </c>
      <c r="AE17" s="163">
        <v>140</v>
      </c>
      <c r="AF17" s="163">
        <v>120</v>
      </c>
      <c r="AG17" s="163">
        <v>110</v>
      </c>
      <c r="AH17" s="163">
        <v>100</v>
      </c>
      <c r="AI17" s="163">
        <v>90</v>
      </c>
      <c r="AJ17" s="163">
        <v>80</v>
      </c>
      <c r="AK17" s="163">
        <v>70</v>
      </c>
    </row>
    <row r="18" spans="1:37" x14ac:dyDescent="0.25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Y18" s="163"/>
      <c r="Z18" s="163"/>
      <c r="AA18" s="163" t="s">
        <v>69</v>
      </c>
      <c r="AB18" s="163">
        <v>200</v>
      </c>
      <c r="AC18" s="163">
        <v>150</v>
      </c>
      <c r="AD18" s="163">
        <v>130</v>
      </c>
      <c r="AE18" s="163">
        <v>110</v>
      </c>
      <c r="AF18" s="163">
        <v>95</v>
      </c>
      <c r="AG18" s="163">
        <v>80</v>
      </c>
      <c r="AH18" s="163">
        <v>70</v>
      </c>
      <c r="AI18" s="163">
        <v>60</v>
      </c>
      <c r="AJ18" s="163">
        <v>55</v>
      </c>
      <c r="AK18" s="163">
        <v>50</v>
      </c>
    </row>
    <row r="19" spans="1:37" x14ac:dyDescent="0.25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Y19" s="163"/>
      <c r="Z19" s="163"/>
      <c r="AA19" s="163" t="s">
        <v>70</v>
      </c>
      <c r="AB19" s="163">
        <v>150</v>
      </c>
      <c r="AC19" s="163">
        <v>120</v>
      </c>
      <c r="AD19" s="163">
        <v>100</v>
      </c>
      <c r="AE19" s="163">
        <v>80</v>
      </c>
      <c r="AF19" s="163">
        <v>70</v>
      </c>
      <c r="AG19" s="163">
        <v>60</v>
      </c>
      <c r="AH19" s="163">
        <v>55</v>
      </c>
      <c r="AI19" s="163">
        <v>50</v>
      </c>
      <c r="AJ19" s="163">
        <v>45</v>
      </c>
      <c r="AK19" s="163">
        <v>40</v>
      </c>
    </row>
    <row r="20" spans="1:37" x14ac:dyDescent="0.25">
      <c r="A20" s="96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Y20" s="163"/>
      <c r="Z20" s="163"/>
      <c r="AA20" s="163" t="s">
        <v>71</v>
      </c>
      <c r="AB20" s="163">
        <v>120</v>
      </c>
      <c r="AC20" s="163">
        <v>90</v>
      </c>
      <c r="AD20" s="163">
        <v>65</v>
      </c>
      <c r="AE20" s="163">
        <v>55</v>
      </c>
      <c r="AF20" s="163">
        <v>50</v>
      </c>
      <c r="AG20" s="163">
        <v>45</v>
      </c>
      <c r="AH20" s="163">
        <v>40</v>
      </c>
      <c r="AI20" s="163">
        <v>35</v>
      </c>
      <c r="AJ20" s="163">
        <v>25</v>
      </c>
      <c r="AK20" s="163">
        <v>20</v>
      </c>
    </row>
    <row r="21" spans="1:37" x14ac:dyDescent="0.25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Y21" s="163"/>
      <c r="Z21" s="163"/>
      <c r="AA21" s="163" t="s">
        <v>72</v>
      </c>
      <c r="AB21" s="163">
        <v>90</v>
      </c>
      <c r="AC21" s="163">
        <v>60</v>
      </c>
      <c r="AD21" s="163">
        <v>45</v>
      </c>
      <c r="AE21" s="163">
        <v>34</v>
      </c>
      <c r="AF21" s="163">
        <v>27</v>
      </c>
      <c r="AG21" s="163">
        <v>22</v>
      </c>
      <c r="AH21" s="163">
        <v>18</v>
      </c>
      <c r="AI21" s="163">
        <v>15</v>
      </c>
      <c r="AJ21" s="163">
        <v>12</v>
      </c>
      <c r="AK21" s="163">
        <v>9</v>
      </c>
    </row>
    <row r="22" spans="1:37" ht="18.75" customHeight="1" x14ac:dyDescent="0.25">
      <c r="A22" s="96"/>
      <c r="B22" s="413"/>
      <c r="C22" s="413"/>
      <c r="D22" s="412" t="str">
        <f>E7</f>
        <v>Makrai</v>
      </c>
      <c r="E22" s="412"/>
      <c r="F22" s="412" t="str">
        <f>E9</f>
        <v>Kaáli</v>
      </c>
      <c r="G22" s="412"/>
      <c r="H22" s="412" t="str">
        <f>E11</f>
        <v>Heinrich</v>
      </c>
      <c r="I22" s="412"/>
      <c r="J22" s="96"/>
      <c r="K22" s="96"/>
      <c r="L22" s="96"/>
      <c r="M22" s="148" t="s">
        <v>42</v>
      </c>
      <c r="Y22" s="163"/>
      <c r="Z22" s="163"/>
      <c r="AA22" s="163" t="s">
        <v>73</v>
      </c>
      <c r="AB22" s="163">
        <v>60</v>
      </c>
      <c r="AC22" s="163">
        <v>40</v>
      </c>
      <c r="AD22" s="163">
        <v>30</v>
      </c>
      <c r="AE22" s="163">
        <v>20</v>
      </c>
      <c r="AF22" s="163">
        <v>18</v>
      </c>
      <c r="AG22" s="163">
        <v>15</v>
      </c>
      <c r="AH22" s="163">
        <v>12</v>
      </c>
      <c r="AI22" s="163">
        <v>10</v>
      </c>
      <c r="AJ22" s="163">
        <v>8</v>
      </c>
      <c r="AK22" s="163">
        <v>6</v>
      </c>
    </row>
    <row r="23" spans="1:37" ht="18.75" customHeight="1" x14ac:dyDescent="0.25">
      <c r="A23" s="146" t="s">
        <v>38</v>
      </c>
      <c r="B23" s="416" t="str">
        <f>E7</f>
        <v>Makrai</v>
      </c>
      <c r="C23" s="416"/>
      <c r="D23" s="411"/>
      <c r="E23" s="411"/>
      <c r="F23" s="409"/>
      <c r="G23" s="409"/>
      <c r="H23" s="409"/>
      <c r="I23" s="409"/>
      <c r="J23" s="96"/>
      <c r="K23" s="96"/>
      <c r="L23" s="96"/>
      <c r="M23" s="149"/>
      <c r="Y23" s="163"/>
      <c r="Z23" s="163"/>
      <c r="AA23" s="163" t="s">
        <v>74</v>
      </c>
      <c r="AB23" s="163">
        <v>40</v>
      </c>
      <c r="AC23" s="163">
        <v>25</v>
      </c>
      <c r="AD23" s="163">
        <v>18</v>
      </c>
      <c r="AE23" s="163">
        <v>13</v>
      </c>
      <c r="AF23" s="163">
        <v>8</v>
      </c>
      <c r="AG23" s="163">
        <v>7</v>
      </c>
      <c r="AH23" s="163">
        <v>6</v>
      </c>
      <c r="AI23" s="163">
        <v>5</v>
      </c>
      <c r="AJ23" s="163">
        <v>4</v>
      </c>
      <c r="AK23" s="163">
        <v>3</v>
      </c>
    </row>
    <row r="24" spans="1:37" ht="18.75" customHeight="1" x14ac:dyDescent="0.25">
      <c r="A24" s="146" t="s">
        <v>39</v>
      </c>
      <c r="B24" s="416" t="str">
        <f>E9</f>
        <v>Kaáli</v>
      </c>
      <c r="C24" s="416"/>
      <c r="D24" s="409"/>
      <c r="E24" s="409"/>
      <c r="F24" s="411"/>
      <c r="G24" s="411"/>
      <c r="H24" s="409"/>
      <c r="I24" s="409"/>
      <c r="J24" s="96"/>
      <c r="K24" s="96"/>
      <c r="L24" s="96"/>
      <c r="M24" s="149"/>
      <c r="Y24" s="163"/>
      <c r="Z24" s="163"/>
      <c r="AA24" s="163" t="s">
        <v>75</v>
      </c>
      <c r="AB24" s="163">
        <v>25</v>
      </c>
      <c r="AC24" s="163">
        <v>15</v>
      </c>
      <c r="AD24" s="163">
        <v>13</v>
      </c>
      <c r="AE24" s="163">
        <v>7</v>
      </c>
      <c r="AF24" s="163">
        <v>6</v>
      </c>
      <c r="AG24" s="163">
        <v>5</v>
      </c>
      <c r="AH24" s="163">
        <v>4</v>
      </c>
      <c r="AI24" s="163">
        <v>3</v>
      </c>
      <c r="AJ24" s="163">
        <v>2</v>
      </c>
      <c r="AK24" s="163">
        <v>1</v>
      </c>
    </row>
    <row r="25" spans="1:37" ht="18.75" customHeight="1" x14ac:dyDescent="0.25">
      <c r="A25" s="146" t="s">
        <v>40</v>
      </c>
      <c r="B25" s="416" t="str">
        <f>E11</f>
        <v>Heinrich</v>
      </c>
      <c r="C25" s="416"/>
      <c r="D25" s="409"/>
      <c r="E25" s="409"/>
      <c r="F25" s="409"/>
      <c r="G25" s="409"/>
      <c r="H25" s="411"/>
      <c r="I25" s="411"/>
      <c r="J25" s="96"/>
      <c r="K25" s="96"/>
      <c r="L25" s="96"/>
      <c r="M25" s="149"/>
      <c r="Y25" s="163"/>
      <c r="Z25" s="163"/>
      <c r="AA25" s="163" t="s">
        <v>80</v>
      </c>
      <c r="AB25" s="163">
        <v>15</v>
      </c>
      <c r="AC25" s="163">
        <v>10</v>
      </c>
      <c r="AD25" s="163">
        <v>8</v>
      </c>
      <c r="AE25" s="163">
        <v>4</v>
      </c>
      <c r="AF25" s="163">
        <v>3</v>
      </c>
      <c r="AG25" s="163">
        <v>2</v>
      </c>
      <c r="AH25" s="163">
        <v>1</v>
      </c>
      <c r="AI25" s="163">
        <v>0</v>
      </c>
      <c r="AJ25" s="163">
        <v>0</v>
      </c>
      <c r="AK25" s="163">
        <v>0</v>
      </c>
    </row>
    <row r="26" spans="1:37" x14ac:dyDescent="0.25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150"/>
      <c r="Y26" s="163"/>
      <c r="Z26" s="163"/>
      <c r="AA26" s="163" t="s">
        <v>76</v>
      </c>
      <c r="AB26" s="163">
        <v>10</v>
      </c>
      <c r="AC26" s="163">
        <v>6</v>
      </c>
      <c r="AD26" s="163">
        <v>4</v>
      </c>
      <c r="AE26" s="163">
        <v>2</v>
      </c>
      <c r="AF26" s="163">
        <v>1</v>
      </c>
      <c r="AG26" s="163">
        <v>0</v>
      </c>
      <c r="AH26" s="163">
        <v>0</v>
      </c>
      <c r="AI26" s="163">
        <v>0</v>
      </c>
      <c r="AJ26" s="163">
        <v>0</v>
      </c>
      <c r="AK26" s="163">
        <v>0</v>
      </c>
    </row>
    <row r="27" spans="1:37" ht="18.75" customHeight="1" x14ac:dyDescent="0.25">
      <c r="A27" s="96"/>
      <c r="B27" s="413"/>
      <c r="C27" s="413"/>
      <c r="D27" s="412" t="str">
        <f>E13</f>
        <v>Kosztyu</v>
      </c>
      <c r="E27" s="412"/>
      <c r="F27" s="412" t="str">
        <f>E15</f>
        <v xml:space="preserve">Csiky </v>
      </c>
      <c r="G27" s="412"/>
      <c r="H27" s="412" t="str">
        <f>E17</f>
        <v>Szabó</v>
      </c>
      <c r="I27" s="412"/>
      <c r="J27" s="96"/>
      <c r="K27" s="96"/>
      <c r="L27" s="96"/>
      <c r="M27" s="150"/>
      <c r="Y27" s="163"/>
      <c r="Z27" s="163"/>
      <c r="AA27" s="163" t="s">
        <v>77</v>
      </c>
      <c r="AB27" s="163">
        <v>3</v>
      </c>
      <c r="AC27" s="163">
        <v>2</v>
      </c>
      <c r="AD27" s="163">
        <v>1</v>
      </c>
      <c r="AE27" s="163">
        <v>0</v>
      </c>
      <c r="AF27" s="163">
        <v>0</v>
      </c>
      <c r="AG27" s="163">
        <v>0</v>
      </c>
      <c r="AH27" s="163">
        <v>0</v>
      </c>
      <c r="AI27" s="163">
        <v>0</v>
      </c>
      <c r="AJ27" s="163">
        <v>0</v>
      </c>
      <c r="AK27" s="163">
        <v>0</v>
      </c>
    </row>
    <row r="28" spans="1:37" ht="18.75" customHeight="1" x14ac:dyDescent="0.25">
      <c r="A28" s="146" t="s">
        <v>45</v>
      </c>
      <c r="B28" s="416" t="str">
        <f>E13</f>
        <v>Kosztyu</v>
      </c>
      <c r="C28" s="416"/>
      <c r="D28" s="411"/>
      <c r="E28" s="411"/>
      <c r="F28" s="409"/>
      <c r="G28" s="409"/>
      <c r="H28" s="409"/>
      <c r="I28" s="409"/>
      <c r="J28" s="96"/>
      <c r="K28" s="96"/>
      <c r="L28" s="96"/>
      <c r="M28" s="149"/>
    </row>
    <row r="29" spans="1:37" ht="18.75" customHeight="1" x14ac:dyDescent="0.25">
      <c r="A29" s="146" t="s">
        <v>46</v>
      </c>
      <c r="B29" s="416" t="str">
        <f>E15</f>
        <v xml:space="preserve">Csiky </v>
      </c>
      <c r="C29" s="416"/>
      <c r="D29" s="409"/>
      <c r="E29" s="409"/>
      <c r="F29" s="411"/>
      <c r="G29" s="411"/>
      <c r="H29" s="409"/>
      <c r="I29" s="409"/>
      <c r="J29" s="96"/>
      <c r="K29" s="96"/>
      <c r="L29" s="96"/>
      <c r="M29" s="149"/>
    </row>
    <row r="30" spans="1:37" ht="18.75" customHeight="1" x14ac:dyDescent="0.25">
      <c r="A30" s="146" t="s">
        <v>47</v>
      </c>
      <c r="B30" s="416" t="str">
        <f>E17</f>
        <v>Szabó</v>
      </c>
      <c r="C30" s="416"/>
      <c r="D30" s="409"/>
      <c r="E30" s="409"/>
      <c r="F30" s="409"/>
      <c r="G30" s="409"/>
      <c r="H30" s="411"/>
      <c r="I30" s="411"/>
      <c r="J30" s="96"/>
      <c r="K30" s="96"/>
      <c r="L30" s="96"/>
      <c r="M30" s="149"/>
    </row>
    <row r="31" spans="1:37" x14ac:dyDescent="0.25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</row>
    <row r="32" spans="1:37" x14ac:dyDescent="0.25">
      <c r="A32" s="96" t="s">
        <v>34</v>
      </c>
      <c r="B32" s="96"/>
      <c r="C32" s="420" t="str">
        <f>IF(M23=1,B23,IF(M24=1,B24,IF(M25=1,B25,"")))</f>
        <v/>
      </c>
      <c r="D32" s="420"/>
      <c r="E32" s="116" t="s">
        <v>49</v>
      </c>
      <c r="F32" s="420" t="str">
        <f>IF(M28=1,B28,IF(M29=1,B29,IF(M30=1,B30,"")))</f>
        <v/>
      </c>
      <c r="G32" s="420"/>
      <c r="H32" s="96"/>
      <c r="I32" s="95"/>
      <c r="J32" s="96"/>
      <c r="K32" s="96"/>
      <c r="L32" s="96"/>
      <c r="M32" s="96"/>
    </row>
    <row r="33" spans="1:18" x14ac:dyDescent="0.25">
      <c r="A33" s="96"/>
      <c r="B33" s="96"/>
      <c r="C33" s="96"/>
      <c r="D33" s="96"/>
      <c r="E33" s="96"/>
      <c r="F33" s="116"/>
      <c r="G33" s="116"/>
      <c r="H33" s="96"/>
      <c r="I33" s="96"/>
      <c r="J33" s="96"/>
      <c r="K33" s="96"/>
      <c r="L33" s="96"/>
      <c r="M33" s="96"/>
    </row>
    <row r="34" spans="1:18" x14ac:dyDescent="0.25">
      <c r="A34" s="96" t="s">
        <v>48</v>
      </c>
      <c r="B34" s="96"/>
      <c r="C34" s="420" t="str">
        <f>IF(M23=2,B23,IF(M24=2,B24,IF(M25=2,B25,"")))</f>
        <v/>
      </c>
      <c r="D34" s="420"/>
      <c r="E34" s="116" t="s">
        <v>49</v>
      </c>
      <c r="F34" s="420" t="str">
        <f>IF(M28=2,B28,IF(M29=2,B29,IF(M30=2,B30,"")))</f>
        <v/>
      </c>
      <c r="G34" s="420"/>
      <c r="H34" s="96"/>
      <c r="I34" s="95"/>
      <c r="J34" s="96"/>
      <c r="K34" s="96"/>
      <c r="L34" s="96"/>
      <c r="M34" s="96"/>
    </row>
    <row r="35" spans="1:18" x14ac:dyDescent="0.25">
      <c r="A35" s="96"/>
      <c r="B35" s="96"/>
      <c r="C35" s="116"/>
      <c r="D35" s="116"/>
      <c r="E35" s="116"/>
      <c r="F35" s="116"/>
      <c r="G35" s="116"/>
      <c r="H35" s="96"/>
      <c r="I35" s="96"/>
      <c r="J35" s="96"/>
      <c r="K35" s="96"/>
      <c r="L35" s="96"/>
      <c r="M35" s="96"/>
    </row>
    <row r="36" spans="1:18" x14ac:dyDescent="0.25">
      <c r="A36" s="96" t="s">
        <v>50</v>
      </c>
      <c r="B36" s="96"/>
      <c r="C36" s="420" t="str">
        <f>IF(M23=3,B23,IF(M24=3,B24,IF(M25=3,B25,"")))</f>
        <v/>
      </c>
      <c r="D36" s="420"/>
      <c r="E36" s="116" t="s">
        <v>49</v>
      </c>
      <c r="F36" s="420" t="str">
        <f>IF(M28=3,B28,IF(M29=3,B29,IF(M30=3,B30,"")))</f>
        <v/>
      </c>
      <c r="G36" s="420"/>
      <c r="H36" s="96"/>
      <c r="I36" s="95"/>
      <c r="J36" s="96"/>
      <c r="K36" s="96"/>
      <c r="L36" s="96"/>
      <c r="M36" s="96"/>
    </row>
    <row r="37" spans="1:18" x14ac:dyDescent="0.25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</row>
    <row r="38" spans="1:18" x14ac:dyDescent="0.25">
      <c r="A38" s="96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5"/>
      <c r="M38" s="96"/>
    </row>
    <row r="39" spans="1:18" x14ac:dyDescent="0.25">
      <c r="A39" s="45" t="s">
        <v>22</v>
      </c>
      <c r="B39" s="46"/>
      <c r="C39" s="75"/>
      <c r="D39" s="122" t="s">
        <v>0</v>
      </c>
      <c r="E39" s="123" t="s">
        <v>24</v>
      </c>
      <c r="F39" s="137"/>
      <c r="G39" s="122" t="s">
        <v>0</v>
      </c>
      <c r="H39" s="123" t="s">
        <v>31</v>
      </c>
      <c r="I39" s="56"/>
      <c r="J39" s="123" t="s">
        <v>32</v>
      </c>
      <c r="K39" s="55" t="s">
        <v>33</v>
      </c>
      <c r="L39" s="29"/>
      <c r="M39" s="137"/>
      <c r="P39" s="118"/>
      <c r="Q39" s="118"/>
      <c r="R39" s="119"/>
    </row>
    <row r="40" spans="1:18" x14ac:dyDescent="0.25">
      <c r="A40" s="100" t="s">
        <v>23</v>
      </c>
      <c r="B40" s="101"/>
      <c r="C40" s="102"/>
      <c r="D40" s="124">
        <v>1</v>
      </c>
      <c r="E40" s="415" t="e">
        <f>IF(D40&gt;$R$47,,UPPER(VLOOKUP(D40,#REF!,2)))</f>
        <v>#REF!</v>
      </c>
      <c r="F40" s="415"/>
      <c r="G40" s="131" t="s">
        <v>1</v>
      </c>
      <c r="H40" s="101"/>
      <c r="I40" s="125"/>
      <c r="J40" s="132"/>
      <c r="K40" s="98" t="s">
        <v>25</v>
      </c>
      <c r="L40" s="138"/>
      <c r="M40" s="126"/>
      <c r="P40" s="120"/>
      <c r="Q40" s="120"/>
      <c r="R40" s="48"/>
    </row>
    <row r="41" spans="1:18" x14ac:dyDescent="0.25">
      <c r="A41" s="103" t="s">
        <v>30</v>
      </c>
      <c r="B41" s="54"/>
      <c r="C41" s="104"/>
      <c r="D41" s="127">
        <v>2</v>
      </c>
      <c r="E41" s="410" t="e">
        <f>IF(D41&gt;$R$47,,UPPER(VLOOKUP(D41,#REF!,2)))</f>
        <v>#REF!</v>
      </c>
      <c r="F41" s="410"/>
      <c r="G41" s="133" t="s">
        <v>2</v>
      </c>
      <c r="H41" s="36"/>
      <c r="I41" s="97"/>
      <c r="J41" s="37"/>
      <c r="K41" s="135"/>
      <c r="L41" s="95"/>
      <c r="M41" s="130"/>
      <c r="P41" s="48"/>
      <c r="Q41" s="47"/>
      <c r="R41" s="48"/>
    </row>
    <row r="42" spans="1:18" x14ac:dyDescent="0.25">
      <c r="A42" s="67"/>
      <c r="B42" s="68"/>
      <c r="C42" s="69"/>
      <c r="D42" s="127"/>
      <c r="E42" s="38"/>
      <c r="F42" s="96"/>
      <c r="G42" s="133" t="s">
        <v>3</v>
      </c>
      <c r="H42" s="36"/>
      <c r="I42" s="97"/>
      <c r="J42" s="37"/>
      <c r="K42" s="98" t="s">
        <v>26</v>
      </c>
      <c r="L42" s="138"/>
      <c r="M42" s="126"/>
      <c r="P42" s="120"/>
      <c r="Q42" s="120"/>
      <c r="R42" s="48"/>
    </row>
    <row r="43" spans="1:18" x14ac:dyDescent="0.25">
      <c r="A43" s="49"/>
      <c r="B43" s="44"/>
      <c r="C43" s="50"/>
      <c r="D43" s="127"/>
      <c r="E43" s="38"/>
      <c r="F43" s="96"/>
      <c r="G43" s="133" t="s">
        <v>4</v>
      </c>
      <c r="H43" s="36"/>
      <c r="I43" s="97"/>
      <c r="J43" s="37"/>
      <c r="K43" s="136"/>
      <c r="L43" s="96"/>
      <c r="M43" s="128"/>
      <c r="P43" s="48"/>
      <c r="Q43" s="47"/>
      <c r="R43" s="48"/>
    </row>
    <row r="44" spans="1:18" x14ac:dyDescent="0.25">
      <c r="A44" s="58"/>
      <c r="B44" s="70"/>
      <c r="C44" s="74"/>
      <c r="D44" s="127"/>
      <c r="E44" s="38"/>
      <c r="F44" s="96"/>
      <c r="G44" s="133" t="s">
        <v>5</v>
      </c>
      <c r="H44" s="36"/>
      <c r="I44" s="97"/>
      <c r="J44" s="37"/>
      <c r="K44" s="103"/>
      <c r="L44" s="95"/>
      <c r="M44" s="130"/>
      <c r="P44" s="48"/>
      <c r="Q44" s="47"/>
      <c r="R44" s="48"/>
    </row>
    <row r="45" spans="1:18" x14ac:dyDescent="0.25">
      <c r="A45" s="59"/>
      <c r="B45" s="20"/>
      <c r="C45" s="50"/>
      <c r="D45" s="127"/>
      <c r="E45" s="38"/>
      <c r="F45" s="96"/>
      <c r="G45" s="133" t="s">
        <v>6</v>
      </c>
      <c r="H45" s="36"/>
      <c r="I45" s="97"/>
      <c r="J45" s="37"/>
      <c r="K45" s="98" t="s">
        <v>21</v>
      </c>
      <c r="L45" s="138"/>
      <c r="M45" s="126"/>
      <c r="P45" s="120"/>
      <c r="Q45" s="120"/>
      <c r="R45" s="48"/>
    </row>
    <row r="46" spans="1:18" x14ac:dyDescent="0.25">
      <c r="A46" s="59"/>
      <c r="B46" s="20"/>
      <c r="C46" s="65"/>
      <c r="D46" s="127"/>
      <c r="E46" s="38"/>
      <c r="F46" s="96"/>
      <c r="G46" s="133" t="s">
        <v>7</v>
      </c>
      <c r="H46" s="36"/>
      <c r="I46" s="97"/>
      <c r="J46" s="37"/>
      <c r="K46" s="136"/>
      <c r="L46" s="96"/>
      <c r="M46" s="128"/>
      <c r="P46" s="48"/>
      <c r="Q46" s="47"/>
      <c r="R46" s="48"/>
    </row>
    <row r="47" spans="1:18" x14ac:dyDescent="0.25">
      <c r="A47" s="60"/>
      <c r="B47" s="57"/>
      <c r="C47" s="66"/>
      <c r="D47" s="129"/>
      <c r="E47" s="51"/>
      <c r="F47" s="95"/>
      <c r="G47" s="134" t="s">
        <v>8</v>
      </c>
      <c r="H47" s="54"/>
      <c r="I47" s="99"/>
      <c r="J47" s="52"/>
      <c r="K47" s="103">
        <f>L4</f>
        <v>0</v>
      </c>
      <c r="L47" s="95"/>
      <c r="M47" s="130"/>
      <c r="P47" s="48"/>
      <c r="Q47" s="47"/>
      <c r="R47" s="121" t="e">
        <f>MIN(4,#REF!)</f>
        <v>#REF!</v>
      </c>
    </row>
  </sheetData>
  <mergeCells count="42">
    <mergeCell ref="H22:I22"/>
    <mergeCell ref="A1:F1"/>
    <mergeCell ref="A4:C4"/>
    <mergeCell ref="B22:C22"/>
    <mergeCell ref="D22:E22"/>
    <mergeCell ref="F22:G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E41:F41"/>
    <mergeCell ref="B30:C30"/>
    <mergeCell ref="D30:E30"/>
    <mergeCell ref="F30:G30"/>
    <mergeCell ref="H30:I30"/>
    <mergeCell ref="C32:D32"/>
    <mergeCell ref="F32:G32"/>
    <mergeCell ref="C34:D34"/>
    <mergeCell ref="F34:G34"/>
    <mergeCell ref="C36:D36"/>
    <mergeCell ref="F36:G36"/>
    <mergeCell ref="E40:F40"/>
  </mergeCells>
  <conditionalFormatting sqref="E7 E9 E11 E13 E15 E17">
    <cfRule type="cellIs" dxfId="5" priority="1" stopIfTrue="1" operator="equal">
      <formula>"Bye"</formula>
    </cfRule>
  </conditionalFormatting>
  <conditionalFormatting sqref="R47">
    <cfRule type="expression" dxfId="4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Munka34">
    <tabColor indexed="11"/>
  </sheetPr>
  <dimension ref="A1:AK41"/>
  <sheetViews>
    <sheetView workbookViewId="0">
      <selection activeCell="H4" sqref="H4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414" t="str">
        <f>Altalanos!$A$6</f>
        <v>Tenisz Diákolimpia B-A-Z. Vármegyei Döntő</v>
      </c>
      <c r="B1" s="414"/>
      <c r="C1" s="414"/>
      <c r="D1" s="414"/>
      <c r="E1" s="414"/>
      <c r="F1" s="414"/>
      <c r="G1" s="79"/>
      <c r="H1" s="82" t="s">
        <v>29</v>
      </c>
      <c r="I1" s="80"/>
      <c r="J1" s="81"/>
      <c r="L1" s="83"/>
      <c r="M1" s="84"/>
      <c r="N1" s="41"/>
      <c r="O1" s="41" t="s">
        <v>9</v>
      </c>
      <c r="P1" s="41"/>
      <c r="Q1" s="40"/>
      <c r="R1" s="41"/>
      <c r="AB1" s="169" t="str">
        <f>IF(Y5=1,CONCATENATE(VLOOKUP(Y3,AA16:AH27,2)),CONCATENATE(VLOOKUP(Y3,AA2:AK13,2)))</f>
        <v>150</v>
      </c>
      <c r="AC1" s="169" t="str">
        <f>IF(Y5=1,CONCATENATE(VLOOKUP(Y3,AA16:AK27,3)),CONCATENATE(VLOOKUP(Y3,AA2:AK13,3)))</f>
        <v>120</v>
      </c>
      <c r="AD1" s="169" t="str">
        <f>IF(Y5=1,CONCATENATE(VLOOKUP(Y3,AA16:AK27,4)),CONCATENATE(VLOOKUP(Y3,AA2:AK13,4)))</f>
        <v>100</v>
      </c>
      <c r="AE1" s="169" t="str">
        <f>IF(Y5=1,CONCATENATE(VLOOKUP(Y3,AA16:AK27,5)),CONCATENATE(VLOOKUP(Y3,AA2:AK13,5)))</f>
        <v>80</v>
      </c>
      <c r="AF1" s="169" t="str">
        <f>IF(Y5=1,CONCATENATE(VLOOKUP(Y3,AA16:AK27,6)),CONCATENATE(VLOOKUP(Y3,AA2:AK13,6)))</f>
        <v>70</v>
      </c>
      <c r="AG1" s="169" t="str">
        <f>IF(Y5=1,CONCATENATE(VLOOKUP(Y3,AA16:AK27,7)),CONCATENATE(VLOOKUP(Y3,AA2:AK13,7)))</f>
        <v>60</v>
      </c>
      <c r="AH1" s="169" t="str">
        <f>IF(Y5=1,CONCATENATE(VLOOKUP(Y3,AA16:AK27,8)),CONCATENATE(VLOOKUP(Y3,AA2:AK13,8)))</f>
        <v>55</v>
      </c>
      <c r="AI1" s="169" t="str">
        <f>IF(Y5=1,CONCATENATE(VLOOKUP(Y3,AA16:AK27,9)),CONCATENATE(VLOOKUP(Y3,AA2:AK13,9)))</f>
        <v>50</v>
      </c>
      <c r="AJ1" s="169" t="str">
        <f>IF(Y5=1,CONCATENATE(VLOOKUP(Y3,AA16:AK27,10)),CONCATENATE(VLOOKUP(Y3,AA2:AK13,10)))</f>
        <v>45</v>
      </c>
      <c r="AK1" s="169" t="str">
        <f>IF(Y5=1,CONCATENATE(VLOOKUP(Y3,AA16:AK27,11)),CONCATENATE(VLOOKUP(Y3,AA2:AK13,11)))</f>
        <v>40</v>
      </c>
    </row>
    <row r="2" spans="1:37" x14ac:dyDescent="0.25">
      <c r="A2" s="85" t="s">
        <v>28</v>
      </c>
      <c r="B2" s="86"/>
      <c r="C2" s="86"/>
      <c r="D2" s="86"/>
      <c r="E2" s="185" t="str">
        <f>Altalanos!$E$8</f>
        <v>VIII.</v>
      </c>
      <c r="F2" s="86"/>
      <c r="G2" s="87"/>
      <c r="H2" s="88"/>
      <c r="I2" s="88"/>
      <c r="J2" s="89"/>
      <c r="K2" s="83"/>
      <c r="L2" s="83"/>
      <c r="M2" s="83"/>
      <c r="N2" s="42"/>
      <c r="O2" s="39"/>
      <c r="P2" s="42"/>
      <c r="Q2" s="39"/>
      <c r="R2" s="42"/>
      <c r="Y2" s="164"/>
      <c r="Z2" s="163"/>
      <c r="AA2" s="163" t="s">
        <v>38</v>
      </c>
      <c r="AB2" s="154">
        <v>150</v>
      </c>
      <c r="AC2" s="154">
        <v>120</v>
      </c>
      <c r="AD2" s="154">
        <v>100</v>
      </c>
      <c r="AE2" s="154">
        <v>80</v>
      </c>
      <c r="AF2" s="154">
        <v>70</v>
      </c>
      <c r="AG2" s="154">
        <v>60</v>
      </c>
      <c r="AH2" s="154">
        <v>55</v>
      </c>
      <c r="AI2" s="154">
        <v>50</v>
      </c>
      <c r="AJ2" s="154">
        <v>45</v>
      </c>
      <c r="AK2" s="154">
        <v>40</v>
      </c>
    </row>
    <row r="3" spans="1:37" x14ac:dyDescent="0.25">
      <c r="A3" s="34" t="s">
        <v>16</v>
      </c>
      <c r="B3" s="34"/>
      <c r="C3" s="34"/>
      <c r="D3" s="34"/>
      <c r="E3" s="34" t="s">
        <v>14</v>
      </c>
      <c r="F3" s="34"/>
      <c r="G3" s="34"/>
      <c r="H3" s="34" t="s">
        <v>18</v>
      </c>
      <c r="I3" s="34"/>
      <c r="J3" s="43"/>
      <c r="K3" s="34"/>
      <c r="L3" s="35" t="s">
        <v>19</v>
      </c>
      <c r="M3" s="34"/>
      <c r="N3" s="112"/>
      <c r="O3" s="111"/>
      <c r="P3" s="112"/>
      <c r="Q3" s="153" t="s">
        <v>52</v>
      </c>
      <c r="R3" s="154" t="s">
        <v>58</v>
      </c>
      <c r="Y3" s="163" t="str">
        <f>IF(H4="OB","A",IF(H4="IX","W",H4))</f>
        <v>B</v>
      </c>
      <c r="Z3" s="163"/>
      <c r="AA3" s="163" t="s">
        <v>68</v>
      </c>
      <c r="AB3" s="154">
        <v>120</v>
      </c>
      <c r="AC3" s="154">
        <v>90</v>
      </c>
      <c r="AD3" s="154">
        <v>65</v>
      </c>
      <c r="AE3" s="154">
        <v>55</v>
      </c>
      <c r="AF3" s="154">
        <v>50</v>
      </c>
      <c r="AG3" s="154">
        <v>45</v>
      </c>
      <c r="AH3" s="154">
        <v>40</v>
      </c>
      <c r="AI3" s="154">
        <v>35</v>
      </c>
      <c r="AJ3" s="154">
        <v>25</v>
      </c>
      <c r="AK3" s="154">
        <v>20</v>
      </c>
    </row>
    <row r="4" spans="1:37" ht="13.8" thickBot="1" x14ac:dyDescent="0.3">
      <c r="A4" s="417" t="str">
        <f>Altalanos!$A$10</f>
        <v>2024.05.02-03.</v>
      </c>
      <c r="B4" s="417"/>
      <c r="C4" s="417"/>
      <c r="D4" s="90"/>
      <c r="E4" s="91" t="str">
        <f>Altalanos!$C$10</f>
        <v>Kazincbarcika</v>
      </c>
      <c r="F4" s="91"/>
      <c r="G4" s="91"/>
      <c r="H4" s="93" t="s">
        <v>39</v>
      </c>
      <c r="I4" s="91"/>
      <c r="J4" s="92"/>
      <c r="K4" s="93"/>
      <c r="L4" s="94">
        <f>Altalanos!$E$10</f>
        <v>0</v>
      </c>
      <c r="M4" s="93"/>
      <c r="N4" s="114"/>
      <c r="O4" s="115"/>
      <c r="P4" s="114"/>
      <c r="Q4" s="155" t="s">
        <v>59</v>
      </c>
      <c r="R4" s="156" t="s">
        <v>54</v>
      </c>
      <c r="Y4" s="163"/>
      <c r="Z4" s="163"/>
      <c r="AA4" s="163" t="s">
        <v>69</v>
      </c>
      <c r="AB4" s="154">
        <v>90</v>
      </c>
      <c r="AC4" s="154">
        <v>60</v>
      </c>
      <c r="AD4" s="154">
        <v>45</v>
      </c>
      <c r="AE4" s="154">
        <v>34</v>
      </c>
      <c r="AF4" s="154">
        <v>27</v>
      </c>
      <c r="AG4" s="154">
        <v>22</v>
      </c>
      <c r="AH4" s="154">
        <v>18</v>
      </c>
      <c r="AI4" s="154">
        <v>15</v>
      </c>
      <c r="AJ4" s="154">
        <v>12</v>
      </c>
      <c r="AK4" s="154">
        <v>9</v>
      </c>
    </row>
    <row r="5" spans="1:37" x14ac:dyDescent="0.25">
      <c r="A5" s="29"/>
      <c r="B5" s="29" t="s">
        <v>27</v>
      </c>
      <c r="C5" s="107" t="s">
        <v>36</v>
      </c>
      <c r="D5" s="29" t="s">
        <v>22</v>
      </c>
      <c r="E5" s="29" t="s">
        <v>41</v>
      </c>
      <c r="F5" s="29"/>
      <c r="G5" s="29" t="s">
        <v>17</v>
      </c>
      <c r="H5" s="29"/>
      <c r="I5" s="29" t="s">
        <v>20</v>
      </c>
      <c r="J5" s="29"/>
      <c r="K5" s="140" t="s">
        <v>42</v>
      </c>
      <c r="L5" s="140" t="s">
        <v>43</v>
      </c>
      <c r="M5" s="140" t="s">
        <v>44</v>
      </c>
      <c r="Q5" s="157" t="s">
        <v>60</v>
      </c>
      <c r="R5" s="158" t="s">
        <v>56</v>
      </c>
      <c r="Y5" s="163">
        <f>IF(OR(Altalanos!$A$8="F1",Altalanos!$A$8="F2",Altalanos!$A$8="N1",Altalanos!$A$8="N2"),1,2)</f>
        <v>2</v>
      </c>
      <c r="Z5" s="163"/>
      <c r="AA5" s="163" t="s">
        <v>70</v>
      </c>
      <c r="AB5" s="154">
        <v>60</v>
      </c>
      <c r="AC5" s="154">
        <v>40</v>
      </c>
      <c r="AD5" s="154">
        <v>30</v>
      </c>
      <c r="AE5" s="154">
        <v>20</v>
      </c>
      <c r="AF5" s="154">
        <v>18</v>
      </c>
      <c r="AG5" s="154">
        <v>15</v>
      </c>
      <c r="AH5" s="154">
        <v>12</v>
      </c>
      <c r="AI5" s="154">
        <v>10</v>
      </c>
      <c r="AJ5" s="154">
        <v>8</v>
      </c>
      <c r="AK5" s="154">
        <v>6</v>
      </c>
    </row>
    <row r="6" spans="1:37" x14ac:dyDescent="0.25">
      <c r="A6" s="96"/>
      <c r="B6" s="96"/>
      <c r="C6" s="139"/>
      <c r="D6" s="96"/>
      <c r="E6" s="96"/>
      <c r="F6" s="96"/>
      <c r="G6" s="96"/>
      <c r="H6" s="96"/>
      <c r="I6" s="96"/>
      <c r="J6" s="96"/>
      <c r="K6" s="96"/>
      <c r="L6" s="96"/>
      <c r="M6" s="96"/>
      <c r="Y6" s="163"/>
      <c r="Z6" s="163"/>
      <c r="AA6" s="163" t="s">
        <v>71</v>
      </c>
      <c r="AB6" s="154">
        <v>40</v>
      </c>
      <c r="AC6" s="154">
        <v>25</v>
      </c>
      <c r="AD6" s="154">
        <v>18</v>
      </c>
      <c r="AE6" s="154">
        <v>13</v>
      </c>
      <c r="AF6" s="154">
        <v>10</v>
      </c>
      <c r="AG6" s="154">
        <v>8</v>
      </c>
      <c r="AH6" s="154">
        <v>6</v>
      </c>
      <c r="AI6" s="154">
        <v>5</v>
      </c>
      <c r="AJ6" s="154">
        <v>4</v>
      </c>
      <c r="AK6" s="154">
        <v>3</v>
      </c>
    </row>
    <row r="7" spans="1:37" x14ac:dyDescent="0.25">
      <c r="A7" s="116" t="s">
        <v>38</v>
      </c>
      <c r="B7" s="141"/>
      <c r="C7" s="109" t="str">
        <f>IF($B7="","",VLOOKUP($B7,#REF!,5))</f>
        <v/>
      </c>
      <c r="D7" s="109" t="str">
        <f>IF($B7="","",VLOOKUP($B7,#REF!,15))</f>
        <v/>
      </c>
      <c r="E7" s="105" t="s">
        <v>408</v>
      </c>
      <c r="F7" s="110"/>
      <c r="G7" s="105" t="s">
        <v>409</v>
      </c>
      <c r="H7" s="110"/>
      <c r="I7" s="105" t="str">
        <f>IF($B7="","",VLOOKUP($B7,#REF!,4))</f>
        <v/>
      </c>
      <c r="J7" s="96"/>
      <c r="K7" s="170"/>
      <c r="L7" s="165" t="str">
        <f>IF(K7="","",CONCATENATE(VLOOKUP($Y$3,$AB$1:$AK$1,K7)," pont"))</f>
        <v/>
      </c>
      <c r="M7" s="171"/>
      <c r="Y7" s="163"/>
      <c r="Z7" s="163"/>
      <c r="AA7" s="163" t="s">
        <v>72</v>
      </c>
      <c r="AB7" s="154">
        <v>25</v>
      </c>
      <c r="AC7" s="154">
        <v>15</v>
      </c>
      <c r="AD7" s="154">
        <v>13</v>
      </c>
      <c r="AE7" s="154">
        <v>8</v>
      </c>
      <c r="AF7" s="154">
        <v>6</v>
      </c>
      <c r="AG7" s="154">
        <v>4</v>
      </c>
      <c r="AH7" s="154">
        <v>3</v>
      </c>
      <c r="AI7" s="154">
        <v>2</v>
      </c>
      <c r="AJ7" s="154">
        <v>1</v>
      </c>
      <c r="AK7" s="154">
        <v>0</v>
      </c>
    </row>
    <row r="8" spans="1:37" x14ac:dyDescent="0.25">
      <c r="A8" s="116"/>
      <c r="B8" s="142"/>
      <c r="C8" s="117"/>
      <c r="D8" s="117"/>
      <c r="E8" s="117"/>
      <c r="F8" s="117"/>
      <c r="G8" s="117"/>
      <c r="H8" s="117"/>
      <c r="I8" s="117"/>
      <c r="J8" s="96"/>
      <c r="K8" s="116"/>
      <c r="L8" s="116"/>
      <c r="M8" s="172"/>
      <c r="Y8" s="163"/>
      <c r="Z8" s="163"/>
      <c r="AA8" s="163" t="s">
        <v>73</v>
      </c>
      <c r="AB8" s="154">
        <v>15</v>
      </c>
      <c r="AC8" s="154">
        <v>10</v>
      </c>
      <c r="AD8" s="154">
        <v>7</v>
      </c>
      <c r="AE8" s="154">
        <v>5</v>
      </c>
      <c r="AF8" s="154">
        <v>4</v>
      </c>
      <c r="AG8" s="154">
        <v>3</v>
      </c>
      <c r="AH8" s="154">
        <v>2</v>
      </c>
      <c r="AI8" s="154">
        <v>1</v>
      </c>
      <c r="AJ8" s="154">
        <v>0</v>
      </c>
      <c r="AK8" s="154">
        <v>0</v>
      </c>
    </row>
    <row r="9" spans="1:37" x14ac:dyDescent="0.25">
      <c r="A9" s="116" t="s">
        <v>39</v>
      </c>
      <c r="B9" s="141"/>
      <c r="C9" s="109" t="str">
        <f>IF($B9="","",VLOOKUP($B9,#REF!,5))</f>
        <v/>
      </c>
      <c r="D9" s="109" t="str">
        <f>IF($B9="","",VLOOKUP($B9,#REF!,15))</f>
        <v/>
      </c>
      <c r="E9" s="105" t="s">
        <v>410</v>
      </c>
      <c r="F9" s="110"/>
      <c r="G9" s="105" t="s">
        <v>337</v>
      </c>
      <c r="H9" s="110"/>
      <c r="I9" s="105" t="str">
        <f>IF($B9="","",VLOOKUP($B9,#REF!,4))</f>
        <v/>
      </c>
      <c r="J9" s="96"/>
      <c r="K9" s="170"/>
      <c r="L9" s="165" t="str">
        <f>IF(K9="","",CONCATENATE(VLOOKUP($Y$3,$AB$1:$AK$1,K9)," pont"))</f>
        <v/>
      </c>
      <c r="M9" s="171"/>
      <c r="Y9" s="163"/>
      <c r="Z9" s="163"/>
      <c r="AA9" s="163" t="s">
        <v>74</v>
      </c>
      <c r="AB9" s="154">
        <v>10</v>
      </c>
      <c r="AC9" s="154">
        <v>6</v>
      </c>
      <c r="AD9" s="154">
        <v>4</v>
      </c>
      <c r="AE9" s="154">
        <v>2</v>
      </c>
      <c r="AF9" s="154">
        <v>1</v>
      </c>
      <c r="AG9" s="154">
        <v>0</v>
      </c>
      <c r="AH9" s="154">
        <v>0</v>
      </c>
      <c r="AI9" s="154">
        <v>0</v>
      </c>
      <c r="AJ9" s="154">
        <v>0</v>
      </c>
      <c r="AK9" s="154">
        <v>0</v>
      </c>
    </row>
    <row r="10" spans="1:37" x14ac:dyDescent="0.25">
      <c r="A10" s="116"/>
      <c r="B10" s="142"/>
      <c r="C10" s="117"/>
      <c r="D10" s="117"/>
      <c r="E10" s="117"/>
      <c r="F10" s="117"/>
      <c r="G10" s="117"/>
      <c r="H10" s="117"/>
      <c r="I10" s="117"/>
      <c r="J10" s="96"/>
      <c r="K10" s="116"/>
      <c r="L10" s="116"/>
      <c r="M10" s="172"/>
      <c r="Y10" s="163"/>
      <c r="Z10" s="163"/>
      <c r="AA10" s="163" t="s">
        <v>75</v>
      </c>
      <c r="AB10" s="154">
        <v>6</v>
      </c>
      <c r="AC10" s="154">
        <v>3</v>
      </c>
      <c r="AD10" s="154">
        <v>2</v>
      </c>
      <c r="AE10" s="154">
        <v>1</v>
      </c>
      <c r="AF10" s="154">
        <v>0</v>
      </c>
      <c r="AG10" s="154">
        <v>0</v>
      </c>
      <c r="AH10" s="154">
        <v>0</v>
      </c>
      <c r="AI10" s="154">
        <v>0</v>
      </c>
      <c r="AJ10" s="154">
        <v>0</v>
      </c>
      <c r="AK10" s="154">
        <v>0</v>
      </c>
    </row>
    <row r="11" spans="1:37" x14ac:dyDescent="0.25">
      <c r="A11" s="116" t="s">
        <v>40</v>
      </c>
      <c r="B11" s="141"/>
      <c r="C11" s="109" t="str">
        <f>IF($B11="","",VLOOKUP($B11,#REF!,5))</f>
        <v/>
      </c>
      <c r="D11" s="109" t="str">
        <f>IF($B11="","",VLOOKUP($B11,#REF!,15))</f>
        <v/>
      </c>
      <c r="E11" s="105" t="str">
        <f>UPPER(IF($B11="","",VLOOKUP($B11,#REF!,2)))</f>
        <v/>
      </c>
      <c r="F11" s="110"/>
      <c r="G11" s="105" t="str">
        <f>IF($B11="","",VLOOKUP($B11,#REF!,3))</f>
        <v/>
      </c>
      <c r="H11" s="110"/>
      <c r="I11" s="105" t="str">
        <f>IF($B11="","",VLOOKUP($B11,#REF!,4))</f>
        <v/>
      </c>
      <c r="J11" s="96"/>
      <c r="K11" s="170"/>
      <c r="L11" s="165" t="str">
        <f>IF(K11="","",CONCATENATE(VLOOKUP($Y$3,$AB$1:$AK$1,K11)," pont"))</f>
        <v/>
      </c>
      <c r="M11" s="171"/>
      <c r="Y11" s="163"/>
      <c r="Z11" s="163"/>
      <c r="AA11" s="163" t="s">
        <v>80</v>
      </c>
      <c r="AB11" s="154">
        <v>3</v>
      </c>
      <c r="AC11" s="154">
        <v>2</v>
      </c>
      <c r="AD11" s="154">
        <v>1</v>
      </c>
      <c r="AE11" s="154">
        <v>0</v>
      </c>
      <c r="AF11" s="154">
        <v>0</v>
      </c>
      <c r="AG11" s="154">
        <v>0</v>
      </c>
      <c r="AH11" s="154">
        <v>0</v>
      </c>
      <c r="AI11" s="154">
        <v>0</v>
      </c>
      <c r="AJ11" s="154">
        <v>0</v>
      </c>
      <c r="AK11" s="154">
        <v>0</v>
      </c>
    </row>
    <row r="12" spans="1:37" x14ac:dyDescent="0.25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Y12" s="163"/>
      <c r="Z12" s="163"/>
      <c r="AA12" s="163" t="s">
        <v>76</v>
      </c>
      <c r="AB12" s="168">
        <v>0</v>
      </c>
      <c r="AC12" s="168">
        <v>0</v>
      </c>
      <c r="AD12" s="168">
        <v>0</v>
      </c>
      <c r="AE12" s="168">
        <v>0</v>
      </c>
      <c r="AF12" s="168">
        <v>0</v>
      </c>
      <c r="AG12" s="168">
        <v>0</v>
      </c>
      <c r="AH12" s="168">
        <v>0</v>
      </c>
      <c r="AI12" s="168">
        <v>0</v>
      </c>
      <c r="AJ12" s="168">
        <v>0</v>
      </c>
      <c r="AK12" s="168">
        <v>0</v>
      </c>
    </row>
    <row r="13" spans="1:37" x14ac:dyDescent="0.25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Y13" s="163"/>
      <c r="Z13" s="163"/>
      <c r="AA13" s="163" t="s">
        <v>77</v>
      </c>
      <c r="AB13" s="168">
        <v>0</v>
      </c>
      <c r="AC13" s="168">
        <v>0</v>
      </c>
      <c r="AD13" s="168">
        <v>0</v>
      </c>
      <c r="AE13" s="168">
        <v>0</v>
      </c>
      <c r="AF13" s="168">
        <v>0</v>
      </c>
      <c r="AG13" s="168">
        <v>0</v>
      </c>
      <c r="AH13" s="168">
        <v>0</v>
      </c>
      <c r="AI13" s="168">
        <v>0</v>
      </c>
      <c r="AJ13" s="168">
        <v>0</v>
      </c>
      <c r="AK13" s="168">
        <v>0</v>
      </c>
    </row>
    <row r="14" spans="1:37" x14ac:dyDescent="0.25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</row>
    <row r="15" spans="1:37" x14ac:dyDescent="0.25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</row>
    <row r="16" spans="1:37" x14ac:dyDescent="0.25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Y16" s="163"/>
      <c r="Z16" s="163"/>
      <c r="AA16" s="163" t="s">
        <v>38</v>
      </c>
      <c r="AB16" s="163">
        <v>300</v>
      </c>
      <c r="AC16" s="163">
        <v>250</v>
      </c>
      <c r="AD16" s="163">
        <v>220</v>
      </c>
      <c r="AE16" s="163">
        <v>180</v>
      </c>
      <c r="AF16" s="163">
        <v>160</v>
      </c>
      <c r="AG16" s="163">
        <v>150</v>
      </c>
      <c r="AH16" s="163">
        <v>140</v>
      </c>
      <c r="AI16" s="163">
        <v>130</v>
      </c>
      <c r="AJ16" s="163">
        <v>120</v>
      </c>
      <c r="AK16" s="163">
        <v>110</v>
      </c>
    </row>
    <row r="17" spans="1:37" x14ac:dyDescent="0.25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Y17" s="163"/>
      <c r="Z17" s="163"/>
      <c r="AA17" s="163" t="s">
        <v>68</v>
      </c>
      <c r="AB17" s="163">
        <v>250</v>
      </c>
      <c r="AC17" s="163">
        <v>200</v>
      </c>
      <c r="AD17" s="163">
        <v>160</v>
      </c>
      <c r="AE17" s="163">
        <v>140</v>
      </c>
      <c r="AF17" s="163">
        <v>120</v>
      </c>
      <c r="AG17" s="163">
        <v>110</v>
      </c>
      <c r="AH17" s="163">
        <v>100</v>
      </c>
      <c r="AI17" s="163">
        <v>90</v>
      </c>
      <c r="AJ17" s="163">
        <v>80</v>
      </c>
      <c r="AK17" s="163">
        <v>70</v>
      </c>
    </row>
    <row r="18" spans="1:37" ht="18.75" customHeight="1" x14ac:dyDescent="0.25">
      <c r="A18" s="96"/>
      <c r="B18" s="413"/>
      <c r="C18" s="413"/>
      <c r="D18" s="412" t="str">
        <f>E7</f>
        <v>Mihók</v>
      </c>
      <c r="E18" s="412"/>
      <c r="F18" s="412" t="str">
        <f>E9</f>
        <v>Varga</v>
      </c>
      <c r="G18" s="412"/>
      <c r="H18" s="412" t="str">
        <f>E11</f>
        <v/>
      </c>
      <c r="I18" s="412"/>
      <c r="J18" s="96"/>
      <c r="K18" s="96"/>
      <c r="L18" s="96"/>
      <c r="M18" s="96"/>
      <c r="Y18" s="163"/>
      <c r="Z18" s="163"/>
      <c r="AA18" s="163" t="s">
        <v>69</v>
      </c>
      <c r="AB18" s="163">
        <v>200</v>
      </c>
      <c r="AC18" s="163">
        <v>150</v>
      </c>
      <c r="AD18" s="163">
        <v>130</v>
      </c>
      <c r="AE18" s="163">
        <v>110</v>
      </c>
      <c r="AF18" s="163">
        <v>95</v>
      </c>
      <c r="AG18" s="163">
        <v>80</v>
      </c>
      <c r="AH18" s="163">
        <v>70</v>
      </c>
      <c r="AI18" s="163">
        <v>60</v>
      </c>
      <c r="AJ18" s="163">
        <v>55</v>
      </c>
      <c r="AK18" s="163">
        <v>50</v>
      </c>
    </row>
    <row r="19" spans="1:37" ht="18.75" customHeight="1" x14ac:dyDescent="0.25">
      <c r="A19" s="146" t="s">
        <v>38</v>
      </c>
      <c r="B19" s="416" t="str">
        <f>E7</f>
        <v>Mihók</v>
      </c>
      <c r="C19" s="416"/>
      <c r="D19" s="411"/>
      <c r="E19" s="411"/>
      <c r="F19" s="409"/>
      <c r="G19" s="409"/>
      <c r="H19" s="409"/>
      <c r="I19" s="409"/>
      <c r="J19" s="96"/>
      <c r="K19" s="96"/>
      <c r="L19" s="96"/>
      <c r="M19" s="96"/>
      <c r="Y19" s="163"/>
      <c r="Z19" s="163"/>
      <c r="AA19" s="163" t="s">
        <v>70</v>
      </c>
      <c r="AB19" s="163">
        <v>150</v>
      </c>
      <c r="AC19" s="163">
        <v>120</v>
      </c>
      <c r="AD19" s="163">
        <v>100</v>
      </c>
      <c r="AE19" s="163">
        <v>80</v>
      </c>
      <c r="AF19" s="163">
        <v>70</v>
      </c>
      <c r="AG19" s="163">
        <v>60</v>
      </c>
      <c r="AH19" s="163">
        <v>55</v>
      </c>
      <c r="AI19" s="163">
        <v>50</v>
      </c>
      <c r="AJ19" s="163">
        <v>45</v>
      </c>
      <c r="AK19" s="163">
        <v>40</v>
      </c>
    </row>
    <row r="20" spans="1:37" ht="18.75" customHeight="1" x14ac:dyDescent="0.25">
      <c r="A20" s="146" t="s">
        <v>39</v>
      </c>
      <c r="B20" s="416" t="str">
        <f>E9</f>
        <v>Varga</v>
      </c>
      <c r="C20" s="416"/>
      <c r="D20" s="409"/>
      <c r="E20" s="409"/>
      <c r="F20" s="411"/>
      <c r="G20" s="411"/>
      <c r="H20" s="409"/>
      <c r="I20" s="409"/>
      <c r="J20" s="96"/>
      <c r="K20" s="96"/>
      <c r="L20" s="96"/>
      <c r="M20" s="96"/>
      <c r="Y20" s="163"/>
      <c r="Z20" s="163"/>
      <c r="AA20" s="163" t="s">
        <v>71</v>
      </c>
      <c r="AB20" s="163">
        <v>120</v>
      </c>
      <c r="AC20" s="163">
        <v>90</v>
      </c>
      <c r="AD20" s="163">
        <v>65</v>
      </c>
      <c r="AE20" s="163">
        <v>55</v>
      </c>
      <c r="AF20" s="163">
        <v>50</v>
      </c>
      <c r="AG20" s="163">
        <v>45</v>
      </c>
      <c r="AH20" s="163">
        <v>40</v>
      </c>
      <c r="AI20" s="163">
        <v>35</v>
      </c>
      <c r="AJ20" s="163">
        <v>25</v>
      </c>
      <c r="AK20" s="163">
        <v>20</v>
      </c>
    </row>
    <row r="21" spans="1:37" ht="18.75" customHeight="1" x14ac:dyDescent="0.25">
      <c r="A21" s="146" t="s">
        <v>40</v>
      </c>
      <c r="B21" s="416" t="str">
        <f>E11</f>
        <v/>
      </c>
      <c r="C21" s="416"/>
      <c r="D21" s="409"/>
      <c r="E21" s="409"/>
      <c r="F21" s="409"/>
      <c r="G21" s="409"/>
      <c r="H21" s="411"/>
      <c r="I21" s="411"/>
      <c r="J21" s="96"/>
      <c r="K21" s="96"/>
      <c r="L21" s="96"/>
      <c r="M21" s="96"/>
      <c r="Y21" s="163"/>
      <c r="Z21" s="163"/>
      <c r="AA21" s="163" t="s">
        <v>72</v>
      </c>
      <c r="AB21" s="163">
        <v>90</v>
      </c>
      <c r="AC21" s="163">
        <v>60</v>
      </c>
      <c r="AD21" s="163">
        <v>45</v>
      </c>
      <c r="AE21" s="163">
        <v>34</v>
      </c>
      <c r="AF21" s="163">
        <v>27</v>
      </c>
      <c r="AG21" s="163">
        <v>22</v>
      </c>
      <c r="AH21" s="163">
        <v>18</v>
      </c>
      <c r="AI21" s="163">
        <v>15</v>
      </c>
      <c r="AJ21" s="163">
        <v>12</v>
      </c>
      <c r="AK21" s="163">
        <v>9</v>
      </c>
    </row>
    <row r="22" spans="1:37" x14ac:dyDescent="0.25">
      <c r="A22" s="96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Y22" s="163"/>
      <c r="Z22" s="163"/>
      <c r="AA22" s="163" t="s">
        <v>73</v>
      </c>
      <c r="AB22" s="163">
        <v>60</v>
      </c>
      <c r="AC22" s="163">
        <v>40</v>
      </c>
      <c r="AD22" s="163">
        <v>30</v>
      </c>
      <c r="AE22" s="163">
        <v>20</v>
      </c>
      <c r="AF22" s="163">
        <v>18</v>
      </c>
      <c r="AG22" s="163">
        <v>15</v>
      </c>
      <c r="AH22" s="163">
        <v>12</v>
      </c>
      <c r="AI22" s="163">
        <v>10</v>
      </c>
      <c r="AJ22" s="163">
        <v>8</v>
      </c>
      <c r="AK22" s="163">
        <v>6</v>
      </c>
    </row>
    <row r="23" spans="1:37" x14ac:dyDescent="0.25">
      <c r="A23" s="96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Y23" s="163"/>
      <c r="Z23" s="163"/>
      <c r="AA23" s="163" t="s">
        <v>74</v>
      </c>
      <c r="AB23" s="163">
        <v>40</v>
      </c>
      <c r="AC23" s="163">
        <v>25</v>
      </c>
      <c r="AD23" s="163">
        <v>18</v>
      </c>
      <c r="AE23" s="163">
        <v>13</v>
      </c>
      <c r="AF23" s="163">
        <v>8</v>
      </c>
      <c r="AG23" s="163">
        <v>7</v>
      </c>
      <c r="AH23" s="163">
        <v>6</v>
      </c>
      <c r="AI23" s="163">
        <v>5</v>
      </c>
      <c r="AJ23" s="163">
        <v>4</v>
      </c>
      <c r="AK23" s="163">
        <v>3</v>
      </c>
    </row>
    <row r="24" spans="1:37" x14ac:dyDescent="0.25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Y24" s="163"/>
      <c r="Z24" s="163"/>
      <c r="AA24" s="163" t="s">
        <v>75</v>
      </c>
      <c r="AB24" s="163">
        <v>25</v>
      </c>
      <c r="AC24" s="163">
        <v>15</v>
      </c>
      <c r="AD24" s="163">
        <v>13</v>
      </c>
      <c r="AE24" s="163">
        <v>7</v>
      </c>
      <c r="AF24" s="163">
        <v>6</v>
      </c>
      <c r="AG24" s="163">
        <v>5</v>
      </c>
      <c r="AH24" s="163">
        <v>4</v>
      </c>
      <c r="AI24" s="163">
        <v>3</v>
      </c>
      <c r="AJ24" s="163">
        <v>2</v>
      </c>
      <c r="AK24" s="163">
        <v>1</v>
      </c>
    </row>
    <row r="25" spans="1:37" x14ac:dyDescent="0.25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Y25" s="163"/>
      <c r="Z25" s="163"/>
      <c r="AA25" s="163" t="s">
        <v>80</v>
      </c>
      <c r="AB25" s="163">
        <v>15</v>
      </c>
      <c r="AC25" s="163">
        <v>10</v>
      </c>
      <c r="AD25" s="163">
        <v>8</v>
      </c>
      <c r="AE25" s="163">
        <v>4</v>
      </c>
      <c r="AF25" s="163">
        <v>3</v>
      </c>
      <c r="AG25" s="163">
        <v>2</v>
      </c>
      <c r="AH25" s="163">
        <v>1</v>
      </c>
      <c r="AI25" s="163">
        <v>0</v>
      </c>
      <c r="AJ25" s="163">
        <v>0</v>
      </c>
      <c r="AK25" s="163">
        <v>0</v>
      </c>
    </row>
    <row r="26" spans="1:37" x14ac:dyDescent="0.25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Y26" s="163"/>
      <c r="Z26" s="163"/>
      <c r="AA26" s="163" t="s">
        <v>76</v>
      </c>
      <c r="AB26" s="163">
        <v>10</v>
      </c>
      <c r="AC26" s="163">
        <v>6</v>
      </c>
      <c r="AD26" s="163">
        <v>4</v>
      </c>
      <c r="AE26" s="163">
        <v>2</v>
      </c>
      <c r="AF26" s="163">
        <v>1</v>
      </c>
      <c r="AG26" s="163">
        <v>0</v>
      </c>
      <c r="AH26" s="163">
        <v>0</v>
      </c>
      <c r="AI26" s="163">
        <v>0</v>
      </c>
      <c r="AJ26" s="163">
        <v>0</v>
      </c>
      <c r="AK26" s="163">
        <v>0</v>
      </c>
    </row>
    <row r="27" spans="1:37" x14ac:dyDescent="0.25">
      <c r="A27" s="96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Y27" s="163"/>
      <c r="Z27" s="163"/>
      <c r="AA27" s="163" t="s">
        <v>77</v>
      </c>
      <c r="AB27" s="163">
        <v>3</v>
      </c>
      <c r="AC27" s="163">
        <v>2</v>
      </c>
      <c r="AD27" s="163">
        <v>1</v>
      </c>
      <c r="AE27" s="163">
        <v>0</v>
      </c>
      <c r="AF27" s="163">
        <v>0</v>
      </c>
      <c r="AG27" s="163">
        <v>0</v>
      </c>
      <c r="AH27" s="163">
        <v>0</v>
      </c>
      <c r="AI27" s="163">
        <v>0</v>
      </c>
      <c r="AJ27" s="163">
        <v>0</v>
      </c>
      <c r="AK27" s="163">
        <v>0</v>
      </c>
    </row>
    <row r="28" spans="1:37" x14ac:dyDescent="0.25">
      <c r="A28" s="96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</row>
    <row r="29" spans="1:37" x14ac:dyDescent="0.25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</row>
    <row r="30" spans="1:37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37" x14ac:dyDescent="0.25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</row>
    <row r="32" spans="1:37" x14ac:dyDescent="0.25">
      <c r="A32" s="96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5"/>
      <c r="M32" s="95"/>
    </row>
    <row r="33" spans="1:18" x14ac:dyDescent="0.25">
      <c r="A33" s="45" t="s">
        <v>22</v>
      </c>
      <c r="B33" s="46"/>
      <c r="C33" s="75"/>
      <c r="D33" s="122" t="s">
        <v>0</v>
      </c>
      <c r="E33" s="123" t="s">
        <v>24</v>
      </c>
      <c r="F33" s="137"/>
      <c r="G33" s="122" t="s">
        <v>0</v>
      </c>
      <c r="H33" s="123" t="s">
        <v>31</v>
      </c>
      <c r="I33" s="56"/>
      <c r="J33" s="123" t="s">
        <v>32</v>
      </c>
      <c r="K33" s="55" t="s">
        <v>33</v>
      </c>
      <c r="L33" s="29"/>
      <c r="M33" s="181"/>
      <c r="N33" s="180"/>
      <c r="P33" s="118"/>
      <c r="Q33" s="118"/>
      <c r="R33" s="119"/>
    </row>
    <row r="34" spans="1:18" x14ac:dyDescent="0.25">
      <c r="A34" s="100" t="s">
        <v>23</v>
      </c>
      <c r="B34" s="101"/>
      <c r="C34" s="102"/>
      <c r="D34" s="124"/>
      <c r="E34" s="415"/>
      <c r="F34" s="415"/>
      <c r="G34" s="131" t="s">
        <v>1</v>
      </c>
      <c r="H34" s="101"/>
      <c r="I34" s="125"/>
      <c r="J34" s="132"/>
      <c r="K34" s="98" t="s">
        <v>25</v>
      </c>
      <c r="L34" s="138"/>
      <c r="M34" s="128"/>
      <c r="P34" s="120"/>
      <c r="Q34" s="120"/>
      <c r="R34" s="48"/>
    </row>
    <row r="35" spans="1:18" x14ac:dyDescent="0.25">
      <c r="A35" s="103" t="s">
        <v>30</v>
      </c>
      <c r="B35" s="54"/>
      <c r="C35" s="104"/>
      <c r="D35" s="127"/>
      <c r="E35" s="410"/>
      <c r="F35" s="410"/>
      <c r="G35" s="133" t="s">
        <v>2</v>
      </c>
      <c r="H35" s="36"/>
      <c r="I35" s="97"/>
      <c r="J35" s="37"/>
      <c r="K35" s="135"/>
      <c r="L35" s="95"/>
      <c r="M35" s="130"/>
      <c r="P35" s="48"/>
      <c r="Q35" s="47"/>
      <c r="R35" s="48"/>
    </row>
    <row r="36" spans="1:18" x14ac:dyDescent="0.25">
      <c r="A36" s="67"/>
      <c r="B36" s="68"/>
      <c r="C36" s="69"/>
      <c r="D36" s="127"/>
      <c r="E36" s="38"/>
      <c r="F36" s="96"/>
      <c r="G36" s="133" t="s">
        <v>3</v>
      </c>
      <c r="H36" s="36"/>
      <c r="I36" s="97"/>
      <c r="J36" s="37"/>
      <c r="K36" s="98" t="s">
        <v>26</v>
      </c>
      <c r="L36" s="138"/>
      <c r="M36" s="126"/>
      <c r="P36" s="120"/>
      <c r="Q36" s="120"/>
      <c r="R36" s="48"/>
    </row>
    <row r="37" spans="1:18" x14ac:dyDescent="0.25">
      <c r="A37" s="49"/>
      <c r="B37" s="44"/>
      <c r="C37" s="50"/>
      <c r="D37" s="127"/>
      <c r="E37" s="38"/>
      <c r="F37" s="96"/>
      <c r="G37" s="133" t="s">
        <v>4</v>
      </c>
      <c r="H37" s="36"/>
      <c r="I37" s="97"/>
      <c r="J37" s="37"/>
      <c r="K37" s="136"/>
      <c r="L37" s="96"/>
      <c r="M37" s="128"/>
      <c r="P37" s="48"/>
      <c r="Q37" s="47"/>
      <c r="R37" s="48"/>
    </row>
    <row r="38" spans="1:18" x14ac:dyDescent="0.25">
      <c r="A38" s="58"/>
      <c r="B38" s="70"/>
      <c r="C38" s="74"/>
      <c r="D38" s="127"/>
      <c r="E38" s="38"/>
      <c r="F38" s="96"/>
      <c r="G38" s="133" t="s">
        <v>5</v>
      </c>
      <c r="H38" s="36"/>
      <c r="I38" s="97"/>
      <c r="J38" s="37"/>
      <c r="K38" s="103"/>
      <c r="L38" s="95"/>
      <c r="M38" s="130"/>
      <c r="P38" s="48"/>
      <c r="Q38" s="47"/>
      <c r="R38" s="48"/>
    </row>
    <row r="39" spans="1:18" x14ac:dyDescent="0.25">
      <c r="A39" s="59"/>
      <c r="B39" s="20"/>
      <c r="C39" s="50"/>
      <c r="D39" s="127"/>
      <c r="E39" s="38"/>
      <c r="F39" s="96"/>
      <c r="G39" s="133" t="s">
        <v>6</v>
      </c>
      <c r="H39" s="36"/>
      <c r="I39" s="97"/>
      <c r="J39" s="37"/>
      <c r="K39" s="98" t="s">
        <v>21</v>
      </c>
      <c r="L39" s="138"/>
      <c r="M39" s="126"/>
      <c r="P39" s="120"/>
      <c r="Q39" s="120"/>
      <c r="R39" s="48"/>
    </row>
    <row r="40" spans="1:18" x14ac:dyDescent="0.25">
      <c r="A40" s="59"/>
      <c r="B40" s="20"/>
      <c r="C40" s="65"/>
      <c r="D40" s="127"/>
      <c r="E40" s="38"/>
      <c r="F40" s="96"/>
      <c r="G40" s="133" t="s">
        <v>7</v>
      </c>
      <c r="H40" s="36"/>
      <c r="I40" s="97"/>
      <c r="J40" s="37"/>
      <c r="K40" s="136"/>
      <c r="L40" s="96"/>
      <c r="M40" s="128"/>
      <c r="P40" s="48"/>
      <c r="Q40" s="47"/>
      <c r="R40" s="48"/>
    </row>
    <row r="41" spans="1:18" x14ac:dyDescent="0.25">
      <c r="A41" s="60"/>
      <c r="B41" s="57"/>
      <c r="C41" s="66"/>
      <c r="D41" s="129"/>
      <c r="E41" s="51"/>
      <c r="F41" s="95"/>
      <c r="G41" s="134" t="s">
        <v>8</v>
      </c>
      <c r="H41" s="54"/>
      <c r="I41" s="99"/>
      <c r="J41" s="52"/>
      <c r="K41" s="103">
        <f>L4</f>
        <v>0</v>
      </c>
      <c r="L41" s="95"/>
      <c r="M41" s="130"/>
      <c r="P41" s="48"/>
      <c r="Q41" s="47"/>
      <c r="R41" s="121"/>
    </row>
  </sheetData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3" priority="2" stopIfTrue="1" operator="equal">
      <formula>"Bye"</formula>
    </cfRule>
  </conditionalFormatting>
  <conditionalFormatting sqref="R41">
    <cfRule type="expression" dxfId="2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BBF97-2660-4B0B-9D06-22562EF1E88E}">
  <sheetPr>
    <tabColor indexed="11"/>
  </sheetPr>
  <dimension ref="A1:R41"/>
  <sheetViews>
    <sheetView workbookViewId="0">
      <selection activeCell="N19" sqref="N19"/>
    </sheetView>
  </sheetViews>
  <sheetFormatPr defaultRowHeight="13.2" x14ac:dyDescent="0.25"/>
  <sheetData>
    <row r="1" spans="1:18" ht="24.6" x14ac:dyDescent="0.25">
      <c r="A1" s="414" t="str">
        <f>Altalanos!$A$6</f>
        <v>Tenisz Diákolimpia B-A-Z. Vármegyei Döntő</v>
      </c>
      <c r="B1" s="414"/>
      <c r="C1" s="414"/>
      <c r="D1" s="414"/>
      <c r="E1" s="414"/>
      <c r="F1" s="414"/>
      <c r="G1" s="79"/>
      <c r="H1" s="82" t="s">
        <v>29</v>
      </c>
      <c r="I1" s="80"/>
      <c r="J1" s="81"/>
      <c r="L1" s="83"/>
      <c r="M1" s="84"/>
      <c r="N1" s="41"/>
      <c r="O1" s="41" t="s">
        <v>9</v>
      </c>
      <c r="P1" s="41"/>
      <c r="Q1" s="40"/>
      <c r="R1" s="41"/>
    </row>
    <row r="2" spans="1:18" x14ac:dyDescent="0.25">
      <c r="A2" s="85" t="s">
        <v>28</v>
      </c>
      <c r="B2" s="86"/>
      <c r="C2" s="86"/>
      <c r="D2" s="86"/>
      <c r="E2" s="185" t="str">
        <f>Altalanos!$E$8</f>
        <v>VIII.</v>
      </c>
      <c r="F2" s="86"/>
      <c r="G2" s="87"/>
      <c r="H2" s="88"/>
      <c r="I2" s="88"/>
      <c r="J2" s="89"/>
      <c r="K2" s="83"/>
      <c r="L2" s="83"/>
      <c r="M2" s="83"/>
      <c r="N2" s="42"/>
      <c r="O2" s="39"/>
      <c r="P2" s="42"/>
      <c r="Q2" s="39"/>
      <c r="R2" s="42"/>
    </row>
    <row r="3" spans="1:18" x14ac:dyDescent="0.25">
      <c r="A3" s="34" t="s">
        <v>16</v>
      </c>
      <c r="B3" s="34"/>
      <c r="C3" s="34"/>
      <c r="D3" s="34"/>
      <c r="E3" s="34" t="s">
        <v>14</v>
      </c>
      <c r="F3" s="34"/>
      <c r="G3" s="34"/>
      <c r="H3" s="34" t="s">
        <v>18</v>
      </c>
      <c r="I3" s="34"/>
      <c r="J3" s="43"/>
      <c r="K3" s="34"/>
      <c r="L3" s="35" t="s">
        <v>19</v>
      </c>
      <c r="M3" s="34"/>
      <c r="N3" s="112"/>
      <c r="O3" s="111"/>
      <c r="P3" s="112"/>
      <c r="Q3" s="153" t="s">
        <v>52</v>
      </c>
      <c r="R3" s="154" t="s">
        <v>58</v>
      </c>
    </row>
    <row r="4" spans="1:18" ht="13.8" thickBot="1" x14ac:dyDescent="0.3">
      <c r="A4" s="417" t="str">
        <f>Altalanos!$A$10</f>
        <v>2024.05.02-03.</v>
      </c>
      <c r="B4" s="417"/>
      <c r="C4" s="417"/>
      <c r="D4" s="90"/>
      <c r="E4" s="91" t="str">
        <f>Altalanos!$C$10</f>
        <v>Kazincbarcika</v>
      </c>
      <c r="F4" s="91"/>
      <c r="G4" s="91"/>
      <c r="H4" s="93" t="s">
        <v>39</v>
      </c>
      <c r="I4" s="91"/>
      <c r="J4" s="92"/>
      <c r="K4" s="93"/>
      <c r="L4" s="94">
        <f>Altalanos!$E$10</f>
        <v>0</v>
      </c>
      <c r="M4" s="93"/>
      <c r="N4" s="114"/>
      <c r="O4" s="115"/>
      <c r="P4" s="114"/>
      <c r="Q4" s="155" t="s">
        <v>59</v>
      </c>
      <c r="R4" s="156" t="s">
        <v>54</v>
      </c>
    </row>
    <row r="5" spans="1:18" x14ac:dyDescent="0.25">
      <c r="A5" s="29"/>
      <c r="B5" s="29" t="s">
        <v>27</v>
      </c>
      <c r="C5" s="107" t="s">
        <v>36</v>
      </c>
      <c r="D5" s="29" t="s">
        <v>22</v>
      </c>
      <c r="E5" s="29" t="s">
        <v>41</v>
      </c>
      <c r="F5" s="29"/>
      <c r="G5" s="29" t="s">
        <v>17</v>
      </c>
      <c r="H5" s="29"/>
      <c r="I5" s="29" t="s">
        <v>20</v>
      </c>
      <c r="J5" s="29"/>
      <c r="K5" s="140" t="s">
        <v>42</v>
      </c>
      <c r="L5" s="140" t="s">
        <v>43</v>
      </c>
      <c r="M5" s="140" t="s">
        <v>44</v>
      </c>
      <c r="Q5" s="157" t="s">
        <v>60</v>
      </c>
      <c r="R5" s="158" t="s">
        <v>56</v>
      </c>
    </row>
    <row r="6" spans="1:18" x14ac:dyDescent="0.25">
      <c r="A6" s="96"/>
      <c r="B6" s="96"/>
      <c r="C6" s="139"/>
      <c r="D6" s="96"/>
      <c r="E6" s="96"/>
      <c r="F6" s="96"/>
      <c r="G6" s="96"/>
      <c r="H6" s="96"/>
      <c r="I6" s="96"/>
      <c r="J6" s="96"/>
      <c r="K6" s="96"/>
      <c r="L6" s="96"/>
      <c r="M6" s="96"/>
    </row>
    <row r="7" spans="1:18" x14ac:dyDescent="0.25">
      <c r="A7" s="116" t="s">
        <v>38</v>
      </c>
      <c r="B7" s="141"/>
      <c r="C7" s="109" t="str">
        <f>IF($B7="","",VLOOKUP($B7,#REF!,5))</f>
        <v/>
      </c>
      <c r="D7" s="109" t="str">
        <f>IF($B7="","",VLOOKUP($B7,#REF!,15))</f>
        <v/>
      </c>
      <c r="E7" s="105" t="s">
        <v>412</v>
      </c>
      <c r="F7" s="110"/>
      <c r="G7" s="105" t="s">
        <v>297</v>
      </c>
      <c r="H7" s="110"/>
      <c r="I7" s="105" t="str">
        <f>IF($B7="","",VLOOKUP($B7,#REF!,4))</f>
        <v/>
      </c>
      <c r="J7" s="96"/>
      <c r="K7" s="170"/>
      <c r="L7" s="165" t="str">
        <f>IF(K7="","",CONCATENATE(VLOOKUP($Y$3,$AB$1:$AK$1,K7)," pont"))</f>
        <v/>
      </c>
      <c r="M7" s="171"/>
    </row>
    <row r="8" spans="1:18" x14ac:dyDescent="0.25">
      <c r="A8" s="116"/>
      <c r="B8" s="142"/>
      <c r="C8" s="117"/>
      <c r="D8" s="117"/>
      <c r="E8" s="117"/>
      <c r="F8" s="117"/>
      <c r="G8" s="117"/>
      <c r="H8" s="117"/>
      <c r="I8" s="117"/>
      <c r="J8" s="96"/>
      <c r="K8" s="116"/>
      <c r="L8" s="116"/>
      <c r="M8" s="172"/>
    </row>
    <row r="9" spans="1:18" x14ac:dyDescent="0.25">
      <c r="A9" s="116" t="s">
        <v>39</v>
      </c>
      <c r="B9" s="141"/>
      <c r="C9" s="109" t="str">
        <f>IF($B9="","",VLOOKUP($B9,#REF!,5))</f>
        <v/>
      </c>
      <c r="D9" s="109" t="str">
        <f>IF($B9="","",VLOOKUP($B9,#REF!,15))</f>
        <v/>
      </c>
      <c r="E9" s="105" t="s">
        <v>414</v>
      </c>
      <c r="F9" s="110"/>
      <c r="G9" s="105" t="s">
        <v>413</v>
      </c>
      <c r="H9" s="110"/>
      <c r="I9" s="105" t="str">
        <f>IF($B9="","",VLOOKUP($B9,#REF!,4))</f>
        <v/>
      </c>
      <c r="J9" s="96"/>
      <c r="K9" s="170"/>
      <c r="L9" s="165" t="str">
        <f>IF(K9="","",CONCATENATE(VLOOKUP($Y$3,$AB$1:$AK$1,K9)," pont"))</f>
        <v/>
      </c>
      <c r="M9" s="171"/>
    </row>
    <row r="10" spans="1:18" x14ac:dyDescent="0.25">
      <c r="A10" s="116"/>
      <c r="B10" s="142"/>
      <c r="C10" s="117"/>
      <c r="D10" s="117"/>
      <c r="E10" s="117"/>
      <c r="F10" s="117"/>
      <c r="G10" s="117"/>
      <c r="H10" s="117"/>
      <c r="I10" s="117"/>
      <c r="J10" s="96"/>
      <c r="K10" s="116"/>
      <c r="L10" s="116"/>
      <c r="M10" s="172"/>
    </row>
    <row r="11" spans="1:18" x14ac:dyDescent="0.25">
      <c r="A11" s="116" t="s">
        <v>40</v>
      </c>
      <c r="B11" s="141"/>
      <c r="C11" s="109" t="str">
        <f>IF($B11="","",VLOOKUP($B11,#REF!,5))</f>
        <v/>
      </c>
      <c r="D11" s="109" t="str">
        <f>IF($B11="","",VLOOKUP($B11,#REF!,15))</f>
        <v/>
      </c>
      <c r="E11" s="105" t="s">
        <v>286</v>
      </c>
      <c r="F11" s="110"/>
      <c r="G11" s="105" t="s">
        <v>415</v>
      </c>
      <c r="H11" s="110"/>
      <c r="I11" s="105" t="str">
        <f>IF($B11="","",VLOOKUP($B11,#REF!,4))</f>
        <v/>
      </c>
      <c r="J11" s="96"/>
      <c r="K11" s="170"/>
      <c r="L11" s="165" t="str">
        <f>IF(K11="","",CONCATENATE(VLOOKUP($Y$3,$AB$1:$AK$1,K11)," pont"))</f>
        <v/>
      </c>
      <c r="M11" s="171"/>
    </row>
    <row r="12" spans="1:18" x14ac:dyDescent="0.25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</row>
    <row r="13" spans="1:18" x14ac:dyDescent="0.25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</row>
    <row r="14" spans="1:18" x14ac:dyDescent="0.25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</row>
    <row r="15" spans="1:18" x14ac:dyDescent="0.25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</row>
    <row r="16" spans="1:18" x14ac:dyDescent="0.25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</row>
    <row r="17" spans="1:13" x14ac:dyDescent="0.25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</row>
    <row r="18" spans="1:13" x14ac:dyDescent="0.25">
      <c r="A18" s="96"/>
      <c r="B18" s="413"/>
      <c r="C18" s="413"/>
      <c r="D18" s="412" t="str">
        <f>E7</f>
        <v>Kiss-Molnár</v>
      </c>
      <c r="E18" s="412"/>
      <c r="F18" s="412" t="str">
        <f>E9</f>
        <v>Palkó</v>
      </c>
      <c r="G18" s="412"/>
      <c r="H18" s="412" t="str">
        <f>E11</f>
        <v>Nagy</v>
      </c>
      <c r="I18" s="412"/>
      <c r="J18" s="96"/>
      <c r="K18" s="96"/>
      <c r="L18" s="96"/>
      <c r="M18" s="96"/>
    </row>
    <row r="19" spans="1:13" x14ac:dyDescent="0.25">
      <c r="A19" s="146" t="s">
        <v>38</v>
      </c>
      <c r="B19" s="416" t="str">
        <f>E7</f>
        <v>Kiss-Molnár</v>
      </c>
      <c r="C19" s="416"/>
      <c r="D19" s="411"/>
      <c r="E19" s="411"/>
      <c r="F19" s="409"/>
      <c r="G19" s="409"/>
      <c r="H19" s="409"/>
      <c r="I19" s="409"/>
      <c r="J19" s="96"/>
      <c r="K19" s="96"/>
      <c r="L19" s="96"/>
      <c r="M19" s="96"/>
    </row>
    <row r="20" spans="1:13" x14ac:dyDescent="0.25">
      <c r="A20" s="146" t="s">
        <v>39</v>
      </c>
      <c r="B20" s="416" t="str">
        <f>E9</f>
        <v>Palkó</v>
      </c>
      <c r="C20" s="416"/>
      <c r="D20" s="409"/>
      <c r="E20" s="409"/>
      <c r="F20" s="411"/>
      <c r="G20" s="411"/>
      <c r="H20" s="409"/>
      <c r="I20" s="409"/>
      <c r="J20" s="96"/>
      <c r="K20" s="96"/>
      <c r="L20" s="96"/>
      <c r="M20" s="96"/>
    </row>
    <row r="21" spans="1:13" x14ac:dyDescent="0.25">
      <c r="A21" s="146" t="s">
        <v>40</v>
      </c>
      <c r="B21" s="416" t="str">
        <f>E11</f>
        <v>Nagy</v>
      </c>
      <c r="C21" s="416"/>
      <c r="D21" s="409"/>
      <c r="E21" s="409"/>
      <c r="F21" s="409"/>
      <c r="G21" s="409"/>
      <c r="H21" s="411"/>
      <c r="I21" s="411"/>
      <c r="J21" s="96"/>
      <c r="K21" s="96"/>
      <c r="L21" s="96"/>
      <c r="M21" s="96"/>
    </row>
    <row r="22" spans="1:13" x14ac:dyDescent="0.25">
      <c r="A22" s="96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</row>
    <row r="23" spans="1:13" x14ac:dyDescent="0.25">
      <c r="A23" s="96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</row>
    <row r="24" spans="1:13" x14ac:dyDescent="0.25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</row>
    <row r="25" spans="1:13" x14ac:dyDescent="0.25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</row>
    <row r="26" spans="1:13" x14ac:dyDescent="0.25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</row>
    <row r="27" spans="1:13" x14ac:dyDescent="0.25">
      <c r="A27" s="96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</row>
    <row r="28" spans="1:13" x14ac:dyDescent="0.25">
      <c r="A28" s="96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</row>
    <row r="29" spans="1:13" x14ac:dyDescent="0.25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</row>
    <row r="30" spans="1:13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x14ac:dyDescent="0.25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</row>
    <row r="32" spans="1:13" x14ac:dyDescent="0.25">
      <c r="A32" s="96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5"/>
      <c r="M32" s="95"/>
    </row>
    <row r="33" spans="1:18" x14ac:dyDescent="0.25">
      <c r="A33" s="45" t="s">
        <v>22</v>
      </c>
      <c r="B33" s="46"/>
      <c r="C33" s="75"/>
      <c r="D33" s="122" t="s">
        <v>0</v>
      </c>
      <c r="E33" s="123" t="s">
        <v>24</v>
      </c>
      <c r="F33" s="137"/>
      <c r="G33" s="122" t="s">
        <v>0</v>
      </c>
      <c r="H33" s="123" t="s">
        <v>31</v>
      </c>
      <c r="I33" s="56"/>
      <c r="J33" s="123" t="s">
        <v>32</v>
      </c>
      <c r="K33" s="55" t="s">
        <v>33</v>
      </c>
      <c r="L33" s="29"/>
      <c r="M33" s="181"/>
      <c r="N33" s="180"/>
      <c r="P33" s="118"/>
      <c r="Q33" s="118"/>
      <c r="R33" s="119"/>
    </row>
    <row r="34" spans="1:18" x14ac:dyDescent="0.25">
      <c r="A34" s="100" t="s">
        <v>23</v>
      </c>
      <c r="B34" s="101"/>
      <c r="C34" s="102"/>
      <c r="D34" s="124"/>
      <c r="E34" s="415"/>
      <c r="F34" s="415"/>
      <c r="G34" s="131" t="s">
        <v>1</v>
      </c>
      <c r="H34" s="101"/>
      <c r="I34" s="125"/>
      <c r="J34" s="132"/>
      <c r="K34" s="98" t="s">
        <v>25</v>
      </c>
      <c r="L34" s="138"/>
      <c r="M34" s="128"/>
      <c r="P34" s="120"/>
      <c r="Q34" s="120"/>
      <c r="R34" s="48"/>
    </row>
    <row r="35" spans="1:18" x14ac:dyDescent="0.25">
      <c r="A35" s="103" t="s">
        <v>30</v>
      </c>
      <c r="B35" s="54"/>
      <c r="C35" s="104"/>
      <c r="D35" s="127"/>
      <c r="E35" s="410"/>
      <c r="F35" s="410"/>
      <c r="G35" s="133" t="s">
        <v>2</v>
      </c>
      <c r="H35" s="36"/>
      <c r="I35" s="97"/>
      <c r="J35" s="37"/>
      <c r="K35" s="135"/>
      <c r="L35" s="95"/>
      <c r="M35" s="130"/>
      <c r="P35" s="48"/>
      <c r="Q35" s="47"/>
      <c r="R35" s="48"/>
    </row>
    <row r="36" spans="1:18" x14ac:dyDescent="0.25">
      <c r="A36" s="67"/>
      <c r="B36" s="68"/>
      <c r="C36" s="69"/>
      <c r="D36" s="127"/>
      <c r="E36" s="38"/>
      <c r="F36" s="96"/>
      <c r="G36" s="133" t="s">
        <v>3</v>
      </c>
      <c r="H36" s="36"/>
      <c r="I36" s="97"/>
      <c r="J36" s="37"/>
      <c r="K36" s="98" t="s">
        <v>26</v>
      </c>
      <c r="L36" s="138"/>
      <c r="M36" s="126"/>
      <c r="P36" s="120"/>
      <c r="Q36" s="120"/>
      <c r="R36" s="48"/>
    </row>
    <row r="37" spans="1:18" x14ac:dyDescent="0.25">
      <c r="A37" s="49"/>
      <c r="B37" s="44"/>
      <c r="C37" s="50"/>
      <c r="D37" s="127"/>
      <c r="E37" s="38"/>
      <c r="F37" s="96"/>
      <c r="G37" s="133" t="s">
        <v>4</v>
      </c>
      <c r="H37" s="36"/>
      <c r="I37" s="97"/>
      <c r="J37" s="37"/>
      <c r="K37" s="136"/>
      <c r="L37" s="96"/>
      <c r="M37" s="128"/>
      <c r="P37" s="48"/>
      <c r="Q37" s="47"/>
      <c r="R37" s="48"/>
    </row>
    <row r="38" spans="1:18" x14ac:dyDescent="0.25">
      <c r="A38" s="58"/>
      <c r="B38" s="70"/>
      <c r="C38" s="74"/>
      <c r="D38" s="127"/>
      <c r="E38" s="38"/>
      <c r="F38" s="96"/>
      <c r="G38" s="133" t="s">
        <v>5</v>
      </c>
      <c r="H38" s="36"/>
      <c r="I38" s="97"/>
      <c r="J38" s="37"/>
      <c r="K38" s="103"/>
      <c r="L38" s="95"/>
      <c r="M38" s="130"/>
      <c r="P38" s="48"/>
      <c r="Q38" s="47"/>
      <c r="R38" s="48"/>
    </row>
    <row r="39" spans="1:18" x14ac:dyDescent="0.25">
      <c r="A39" s="59"/>
      <c r="B39" s="20"/>
      <c r="C39" s="50"/>
      <c r="D39" s="127"/>
      <c r="E39" s="38"/>
      <c r="F39" s="96"/>
      <c r="G39" s="133" t="s">
        <v>6</v>
      </c>
      <c r="H39" s="36"/>
      <c r="I39" s="97"/>
      <c r="J39" s="37"/>
      <c r="K39" s="98" t="s">
        <v>21</v>
      </c>
      <c r="L39" s="138"/>
      <c r="M39" s="126"/>
      <c r="P39" s="120"/>
      <c r="Q39" s="120"/>
      <c r="R39" s="48"/>
    </row>
    <row r="40" spans="1:18" x14ac:dyDescent="0.25">
      <c r="A40" s="59"/>
      <c r="B40" s="20"/>
      <c r="C40" s="65"/>
      <c r="D40" s="127"/>
      <c r="E40" s="38"/>
      <c r="F40" s="96"/>
      <c r="G40" s="133" t="s">
        <v>7</v>
      </c>
      <c r="H40" s="36"/>
      <c r="I40" s="97"/>
      <c r="J40" s="37"/>
      <c r="K40" s="136"/>
      <c r="L40" s="96"/>
      <c r="M40" s="128"/>
      <c r="P40" s="48"/>
      <c r="Q40" s="47"/>
      <c r="R40" s="48"/>
    </row>
    <row r="41" spans="1:18" x14ac:dyDescent="0.25">
      <c r="A41" s="60"/>
      <c r="B41" s="57"/>
      <c r="C41" s="66"/>
      <c r="D41" s="129"/>
      <c r="E41" s="51"/>
      <c r="F41" s="95"/>
      <c r="G41" s="134" t="s">
        <v>8</v>
      </c>
      <c r="H41" s="54"/>
      <c r="I41" s="99"/>
      <c r="J41" s="52"/>
      <c r="K41" s="103">
        <f>L4</f>
        <v>0</v>
      </c>
      <c r="L41" s="95"/>
      <c r="M41" s="130"/>
      <c r="P41" s="48"/>
      <c r="Q41" s="47"/>
      <c r="R41" s="121"/>
    </row>
  </sheetData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1" priority="2" stopIfTrue="1" operator="equal">
      <formula>"Bye"</formula>
    </cfRule>
  </conditionalFormatting>
  <conditionalFormatting sqref="R41">
    <cfRule type="expression" dxfId="0" priority="1" stopIfTrue="1">
      <formula>$O$1="CU"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7338E-D3B8-4512-A48F-48ED97F3B529}">
  <dimension ref="A1:G122"/>
  <sheetViews>
    <sheetView tabSelected="1" workbookViewId="0">
      <selection activeCell="J124" sqref="J124"/>
    </sheetView>
  </sheetViews>
  <sheetFormatPr defaultRowHeight="13.2" x14ac:dyDescent="0.25"/>
  <cols>
    <col min="3" max="3" width="16" customWidth="1"/>
    <col min="5" max="5" width="15.5546875" customWidth="1"/>
    <col min="6" max="6" width="13.77734375" customWidth="1"/>
  </cols>
  <sheetData>
    <row r="1" spans="1:7" ht="25.8" x14ac:dyDescent="0.25">
      <c r="A1" s="400" t="s">
        <v>257</v>
      </c>
      <c r="B1" s="401"/>
      <c r="C1" s="401"/>
      <c r="D1" s="401"/>
      <c r="E1" s="401"/>
      <c r="F1" s="401"/>
      <c r="G1" s="402"/>
    </row>
    <row r="2" spans="1:7" ht="21" x14ac:dyDescent="0.25">
      <c r="A2" s="403" t="s">
        <v>493</v>
      </c>
      <c r="B2" s="404"/>
      <c r="C2" s="404"/>
      <c r="D2" s="404"/>
      <c r="E2" s="404"/>
      <c r="F2" s="404"/>
      <c r="G2" s="405"/>
    </row>
    <row r="3" spans="1:7" ht="21" x14ac:dyDescent="0.25">
      <c r="A3" s="406" t="s">
        <v>416</v>
      </c>
      <c r="B3" s="407"/>
      <c r="C3" s="407"/>
      <c r="D3" s="407"/>
      <c r="E3" s="407"/>
      <c r="F3" s="407"/>
      <c r="G3" s="408"/>
    </row>
    <row r="4" spans="1:7" ht="27.6" x14ac:dyDescent="0.3">
      <c r="A4" s="217" t="s">
        <v>258</v>
      </c>
      <c r="B4" s="217" t="s">
        <v>259</v>
      </c>
      <c r="C4" s="217" t="s">
        <v>260</v>
      </c>
      <c r="D4" s="217" t="s">
        <v>261</v>
      </c>
      <c r="E4" s="218"/>
      <c r="F4" s="218"/>
      <c r="G4" s="218" t="s">
        <v>262</v>
      </c>
    </row>
    <row r="5" spans="1:7" ht="14.4" x14ac:dyDescent="0.3">
      <c r="A5" s="387" t="s">
        <v>417</v>
      </c>
      <c r="B5" s="388"/>
      <c r="C5" s="387" t="s">
        <v>419</v>
      </c>
      <c r="D5" s="384">
        <v>1</v>
      </c>
      <c r="E5" s="389" t="s">
        <v>270</v>
      </c>
      <c r="F5" s="380" t="s">
        <v>272</v>
      </c>
      <c r="G5" s="212"/>
    </row>
    <row r="6" spans="1:7" ht="14.4" x14ac:dyDescent="0.3">
      <c r="A6" s="218"/>
      <c r="B6" s="214"/>
      <c r="C6" s="380" t="s">
        <v>418</v>
      </c>
      <c r="D6" s="382">
        <v>1</v>
      </c>
      <c r="E6" s="389" t="s">
        <v>331</v>
      </c>
      <c r="F6" s="380" t="s">
        <v>278</v>
      </c>
      <c r="G6" s="213"/>
    </row>
    <row r="7" spans="1:7" ht="14.4" x14ac:dyDescent="0.3">
      <c r="A7" s="218"/>
      <c r="B7" s="214"/>
      <c r="C7" s="380" t="s">
        <v>420</v>
      </c>
      <c r="D7" s="381">
        <v>2</v>
      </c>
      <c r="E7" s="380" t="s">
        <v>284</v>
      </c>
      <c r="F7" s="389" t="s">
        <v>285</v>
      </c>
      <c r="G7" s="213"/>
    </row>
    <row r="8" spans="1:7" ht="14.4" x14ac:dyDescent="0.3">
      <c r="A8" s="218"/>
      <c r="B8" s="214"/>
      <c r="C8" s="380" t="s">
        <v>420</v>
      </c>
      <c r="D8" s="381">
        <v>3</v>
      </c>
      <c r="E8" s="389" t="s">
        <v>287</v>
      </c>
      <c r="F8" s="380" t="s">
        <v>288</v>
      </c>
      <c r="G8" s="213"/>
    </row>
    <row r="9" spans="1:7" ht="14.4" x14ac:dyDescent="0.3">
      <c r="A9" s="218"/>
      <c r="B9" s="214"/>
      <c r="C9" s="380" t="s">
        <v>422</v>
      </c>
      <c r="D9" s="381">
        <v>4</v>
      </c>
      <c r="E9" s="380" t="s">
        <v>316</v>
      </c>
      <c r="F9" s="389" t="s">
        <v>286</v>
      </c>
      <c r="G9" s="213"/>
    </row>
    <row r="10" spans="1:7" ht="14.4" x14ac:dyDescent="0.3">
      <c r="A10" s="380" t="s">
        <v>421</v>
      </c>
      <c r="B10" s="214"/>
      <c r="C10" s="380" t="s">
        <v>419</v>
      </c>
      <c r="D10" s="381">
        <v>1</v>
      </c>
      <c r="E10" s="380" t="s">
        <v>423</v>
      </c>
      <c r="F10" s="389" t="s">
        <v>268</v>
      </c>
      <c r="G10" s="213"/>
    </row>
    <row r="11" spans="1:7" ht="14.4" x14ac:dyDescent="0.3">
      <c r="A11" s="218"/>
      <c r="B11" s="214"/>
      <c r="C11" s="380" t="s">
        <v>418</v>
      </c>
      <c r="D11" s="381">
        <v>1</v>
      </c>
      <c r="E11" s="380" t="s">
        <v>274</v>
      </c>
      <c r="F11" s="389" t="s">
        <v>328</v>
      </c>
      <c r="G11" s="213"/>
    </row>
    <row r="12" spans="1:7" ht="14.4" x14ac:dyDescent="0.3">
      <c r="A12" s="218"/>
      <c r="B12" s="214"/>
      <c r="C12" s="380" t="s">
        <v>420</v>
      </c>
      <c r="D12" s="381">
        <v>2</v>
      </c>
      <c r="E12" s="380" t="s">
        <v>285</v>
      </c>
      <c r="F12" s="389" t="s">
        <v>282</v>
      </c>
      <c r="G12" s="213"/>
    </row>
    <row r="13" spans="1:7" ht="14.4" x14ac:dyDescent="0.3">
      <c r="A13" s="218"/>
      <c r="B13" s="214"/>
      <c r="C13" s="380" t="s">
        <v>420</v>
      </c>
      <c r="D13" s="381">
        <v>3</v>
      </c>
      <c r="E13" s="380" t="s">
        <v>424</v>
      </c>
      <c r="F13" s="389" t="s">
        <v>286</v>
      </c>
      <c r="G13" s="213"/>
    </row>
    <row r="14" spans="1:7" ht="14.4" x14ac:dyDescent="0.3">
      <c r="A14" s="218"/>
      <c r="B14" s="214"/>
      <c r="C14" s="387" t="s">
        <v>422</v>
      </c>
      <c r="D14" s="385">
        <v>4</v>
      </c>
      <c r="E14" s="380" t="s">
        <v>321</v>
      </c>
      <c r="F14" s="380" t="s">
        <v>322</v>
      </c>
      <c r="G14" s="213"/>
    </row>
    <row r="15" spans="1:7" ht="14.4" x14ac:dyDescent="0.3">
      <c r="A15" s="380" t="s">
        <v>431</v>
      </c>
      <c r="B15" s="214"/>
      <c r="C15" s="380" t="s">
        <v>419</v>
      </c>
      <c r="D15" s="381">
        <v>1</v>
      </c>
      <c r="E15" s="389" t="s">
        <v>268</v>
      </c>
      <c r="F15" s="380" t="s">
        <v>270</v>
      </c>
      <c r="G15" s="213"/>
    </row>
    <row r="16" spans="1:7" ht="14.4" x14ac:dyDescent="0.3">
      <c r="A16" s="218"/>
      <c r="B16" s="214"/>
      <c r="C16" s="380" t="s">
        <v>418</v>
      </c>
      <c r="D16" s="381">
        <v>1</v>
      </c>
      <c r="E16" s="380" t="s">
        <v>278</v>
      </c>
      <c r="F16" s="380" t="s">
        <v>274</v>
      </c>
      <c r="G16" s="213"/>
    </row>
    <row r="17" spans="1:7" ht="14.4" x14ac:dyDescent="0.3">
      <c r="A17" s="218"/>
      <c r="B17" s="214"/>
      <c r="C17" s="380" t="s">
        <v>420</v>
      </c>
      <c r="D17" s="381">
        <v>2</v>
      </c>
      <c r="E17" s="380" t="s">
        <v>282</v>
      </c>
      <c r="F17" s="380" t="s">
        <v>284</v>
      </c>
      <c r="G17" s="213"/>
    </row>
    <row r="18" spans="1:7" ht="14.4" x14ac:dyDescent="0.3">
      <c r="A18" s="218"/>
      <c r="B18" s="214"/>
      <c r="C18" s="380" t="s">
        <v>420</v>
      </c>
      <c r="D18" s="381">
        <v>3</v>
      </c>
      <c r="E18" s="380" t="s">
        <v>425</v>
      </c>
      <c r="F18" s="380" t="s">
        <v>287</v>
      </c>
      <c r="G18" s="213"/>
    </row>
    <row r="19" spans="1:7" ht="14.4" x14ac:dyDescent="0.3">
      <c r="A19" s="218"/>
      <c r="B19" s="214"/>
      <c r="C19" s="380" t="s">
        <v>422</v>
      </c>
      <c r="D19" s="381">
        <v>4</v>
      </c>
      <c r="E19" s="390" t="s">
        <v>314</v>
      </c>
      <c r="F19" s="380" t="s">
        <v>319</v>
      </c>
      <c r="G19" s="213"/>
    </row>
    <row r="20" spans="1:7" ht="14.4" x14ac:dyDescent="0.3">
      <c r="A20" s="380" t="s">
        <v>432</v>
      </c>
      <c r="B20" s="214"/>
      <c r="C20" s="380" t="s">
        <v>418</v>
      </c>
      <c r="D20" s="381">
        <v>1</v>
      </c>
      <c r="E20" s="380" t="s">
        <v>328</v>
      </c>
      <c r="F20" s="391" t="s">
        <v>331</v>
      </c>
      <c r="G20" s="213"/>
    </row>
    <row r="21" spans="1:7" ht="14.4" x14ac:dyDescent="0.3">
      <c r="A21" s="218"/>
      <c r="B21" s="214"/>
      <c r="C21" s="380" t="s">
        <v>418</v>
      </c>
      <c r="D21" s="381">
        <v>1</v>
      </c>
      <c r="E21" s="380" t="s">
        <v>426</v>
      </c>
      <c r="F21" s="380" t="s">
        <v>426</v>
      </c>
      <c r="G21" s="213"/>
    </row>
    <row r="22" spans="1:7" ht="14.4" x14ac:dyDescent="0.3">
      <c r="A22" s="218"/>
      <c r="B22" s="214"/>
      <c r="C22" s="380" t="s">
        <v>420</v>
      </c>
      <c r="D22" s="381">
        <v>2</v>
      </c>
      <c r="E22" s="380" t="s">
        <v>34</v>
      </c>
      <c r="F22" s="218"/>
      <c r="G22" s="213"/>
    </row>
    <row r="23" spans="1:7" ht="14.4" x14ac:dyDescent="0.3">
      <c r="A23" s="218"/>
      <c r="B23" s="214"/>
      <c r="C23" s="380" t="s">
        <v>420</v>
      </c>
      <c r="D23" s="381">
        <v>3</v>
      </c>
      <c r="E23" s="390" t="s">
        <v>427</v>
      </c>
      <c r="F23" s="218"/>
      <c r="G23" s="213"/>
    </row>
    <row r="24" spans="1:7" ht="14.4" x14ac:dyDescent="0.3">
      <c r="A24" s="218"/>
      <c r="B24" s="214"/>
      <c r="C24" s="380" t="s">
        <v>422</v>
      </c>
      <c r="D24" s="381">
        <v>4</v>
      </c>
      <c r="E24" s="380" t="s">
        <v>268</v>
      </c>
      <c r="F24" s="380" t="s">
        <v>324</v>
      </c>
      <c r="G24" s="213"/>
    </row>
    <row r="25" spans="1:7" ht="14.4" x14ac:dyDescent="0.3">
      <c r="A25" s="380" t="s">
        <v>433</v>
      </c>
      <c r="B25" s="214"/>
      <c r="C25" s="380" t="s">
        <v>418</v>
      </c>
      <c r="D25" s="381">
        <v>1</v>
      </c>
      <c r="E25" s="380" t="s">
        <v>274</v>
      </c>
      <c r="F25" s="380" t="s">
        <v>331</v>
      </c>
      <c r="G25" s="213"/>
    </row>
    <row r="26" spans="1:7" ht="14.4" x14ac:dyDescent="0.3">
      <c r="A26" s="218"/>
      <c r="B26" s="214"/>
      <c r="C26" s="380" t="s">
        <v>418</v>
      </c>
      <c r="D26" s="381">
        <v>1</v>
      </c>
      <c r="E26" s="380" t="s">
        <v>278</v>
      </c>
      <c r="F26" s="380" t="s">
        <v>328</v>
      </c>
      <c r="G26" s="213"/>
    </row>
    <row r="27" spans="1:7" ht="14.4" x14ac:dyDescent="0.3">
      <c r="A27" s="218"/>
      <c r="B27" s="214"/>
      <c r="C27" s="380" t="s">
        <v>426</v>
      </c>
      <c r="D27" s="381">
        <v>2</v>
      </c>
      <c r="E27" s="380" t="s">
        <v>426</v>
      </c>
      <c r="F27" s="218" t="s">
        <v>426</v>
      </c>
      <c r="G27" s="213"/>
    </row>
    <row r="28" spans="1:7" x14ac:dyDescent="0.25">
      <c r="A28" s="218"/>
      <c r="B28" s="218"/>
      <c r="C28" s="380" t="s">
        <v>426</v>
      </c>
      <c r="D28" s="381">
        <v>3</v>
      </c>
      <c r="E28" s="380" t="s">
        <v>426</v>
      </c>
      <c r="F28" s="218" t="s">
        <v>426</v>
      </c>
      <c r="G28" s="213"/>
    </row>
    <row r="29" spans="1:7" ht="14.4" x14ac:dyDescent="0.3">
      <c r="A29" s="218"/>
      <c r="B29" s="214"/>
      <c r="C29" s="380" t="s">
        <v>422</v>
      </c>
      <c r="D29" s="381">
        <v>4</v>
      </c>
      <c r="E29" s="380" t="s">
        <v>425</v>
      </c>
      <c r="F29" s="380" t="s">
        <v>314</v>
      </c>
      <c r="G29" s="213"/>
    </row>
    <row r="30" spans="1:7" ht="14.4" x14ac:dyDescent="0.3">
      <c r="A30" s="380" t="s">
        <v>434</v>
      </c>
      <c r="B30" s="214"/>
      <c r="C30" s="380" t="s">
        <v>422</v>
      </c>
      <c r="D30" s="381">
        <v>1</v>
      </c>
      <c r="E30" s="380" t="s">
        <v>322</v>
      </c>
      <c r="F30" s="380" t="s">
        <v>268</v>
      </c>
      <c r="G30" s="213"/>
    </row>
    <row r="31" spans="1:7" ht="14.4" x14ac:dyDescent="0.3">
      <c r="A31" s="218"/>
      <c r="B31" s="214"/>
      <c r="C31" s="380" t="s">
        <v>420</v>
      </c>
      <c r="D31" s="386">
        <v>2</v>
      </c>
      <c r="E31" s="380" t="s">
        <v>428</v>
      </c>
      <c r="F31" s="218"/>
      <c r="G31" s="213"/>
    </row>
    <row r="32" spans="1:7" ht="14.4" x14ac:dyDescent="0.3">
      <c r="A32" s="218"/>
      <c r="B32" s="214"/>
      <c r="C32" s="380" t="s">
        <v>422</v>
      </c>
      <c r="D32" s="381">
        <v>3</v>
      </c>
      <c r="E32" s="380" t="s">
        <v>429</v>
      </c>
      <c r="F32" s="380" t="s">
        <v>316</v>
      </c>
      <c r="G32" s="213"/>
    </row>
    <row r="33" spans="1:7" ht="14.4" x14ac:dyDescent="0.3">
      <c r="A33" s="218"/>
      <c r="B33" s="214"/>
      <c r="C33" s="380" t="s">
        <v>422</v>
      </c>
      <c r="D33" s="381">
        <v>4</v>
      </c>
      <c r="E33" s="380" t="s">
        <v>324</v>
      </c>
      <c r="F33" s="380" t="s">
        <v>321</v>
      </c>
      <c r="G33" s="218"/>
    </row>
    <row r="34" spans="1:7" ht="14.4" x14ac:dyDescent="0.3">
      <c r="A34" s="391" t="s">
        <v>435</v>
      </c>
      <c r="B34" s="214"/>
      <c r="C34" s="380" t="s">
        <v>436</v>
      </c>
      <c r="D34" s="381">
        <v>1</v>
      </c>
      <c r="E34" s="380" t="s">
        <v>296</v>
      </c>
      <c r="F34" s="390" t="s">
        <v>298</v>
      </c>
      <c r="G34" s="218"/>
    </row>
    <row r="35" spans="1:7" ht="14.4" x14ac:dyDescent="0.3">
      <c r="A35" s="218"/>
      <c r="B35" s="214"/>
      <c r="C35" s="380" t="s">
        <v>436</v>
      </c>
      <c r="D35" s="381">
        <v>2</v>
      </c>
      <c r="E35" s="380" t="s">
        <v>304</v>
      </c>
      <c r="F35" s="380" t="s">
        <v>430</v>
      </c>
      <c r="G35" s="213"/>
    </row>
    <row r="36" spans="1:7" ht="14.4" x14ac:dyDescent="0.3">
      <c r="A36" s="218"/>
      <c r="B36" s="214"/>
      <c r="C36" s="380" t="s">
        <v>422</v>
      </c>
      <c r="D36" s="381">
        <v>3</v>
      </c>
      <c r="E36" s="380" t="s">
        <v>314</v>
      </c>
      <c r="F36" s="380" t="s">
        <v>316</v>
      </c>
      <c r="G36" s="213"/>
    </row>
    <row r="37" spans="1:7" ht="14.4" x14ac:dyDescent="0.3">
      <c r="A37" s="218"/>
      <c r="B37" s="214"/>
      <c r="C37" s="380" t="s">
        <v>422</v>
      </c>
      <c r="D37" s="381">
        <v>4</v>
      </c>
      <c r="E37" s="380" t="s">
        <v>268</v>
      </c>
      <c r="F37" s="380" t="s">
        <v>321</v>
      </c>
      <c r="G37" s="213"/>
    </row>
    <row r="38" spans="1:7" ht="14.4" x14ac:dyDescent="0.3">
      <c r="A38" s="380" t="s">
        <v>441</v>
      </c>
      <c r="B38" s="214"/>
      <c r="C38" s="380" t="s">
        <v>436</v>
      </c>
      <c r="D38" s="381">
        <v>1</v>
      </c>
      <c r="E38" s="389" t="s">
        <v>305</v>
      </c>
      <c r="F38" s="380" t="s">
        <v>300</v>
      </c>
      <c r="G38" s="213"/>
    </row>
    <row r="39" spans="1:7" x14ac:dyDescent="0.25">
      <c r="A39" s="218"/>
      <c r="B39" s="218"/>
      <c r="C39" s="380" t="s">
        <v>436</v>
      </c>
      <c r="D39" s="381">
        <v>2</v>
      </c>
      <c r="E39" s="380" t="s">
        <v>305</v>
      </c>
      <c r="F39" s="380" t="s">
        <v>310</v>
      </c>
      <c r="G39" s="213"/>
    </row>
    <row r="40" spans="1:7" x14ac:dyDescent="0.25">
      <c r="A40" s="218"/>
      <c r="B40" s="218"/>
      <c r="C40" s="380" t="s">
        <v>422</v>
      </c>
      <c r="D40" s="381">
        <v>3</v>
      </c>
      <c r="E40" s="380" t="s">
        <v>286</v>
      </c>
      <c r="F40" s="380" t="s">
        <v>319</v>
      </c>
      <c r="G40" s="213"/>
    </row>
    <row r="41" spans="1:7" x14ac:dyDescent="0.25">
      <c r="A41" s="218"/>
      <c r="B41" s="218"/>
      <c r="C41" s="380" t="s">
        <v>422</v>
      </c>
      <c r="D41" s="381">
        <v>4</v>
      </c>
      <c r="E41" s="380" t="s">
        <v>322</v>
      </c>
      <c r="F41" s="380" t="s">
        <v>324</v>
      </c>
      <c r="G41" s="213"/>
    </row>
    <row r="42" spans="1:7" ht="14.4" x14ac:dyDescent="0.3">
      <c r="A42" s="380" t="s">
        <v>449</v>
      </c>
      <c r="B42" s="214"/>
      <c r="C42" s="380" t="s">
        <v>426</v>
      </c>
      <c r="D42" s="381">
        <v>1</v>
      </c>
      <c r="E42" s="218" t="s">
        <v>426</v>
      </c>
      <c r="F42" s="218" t="s">
        <v>426</v>
      </c>
      <c r="G42" s="213"/>
    </row>
    <row r="43" spans="1:7" ht="14.4" x14ac:dyDescent="0.3">
      <c r="A43" s="218"/>
      <c r="B43" s="214"/>
      <c r="C43" s="380" t="s">
        <v>426</v>
      </c>
      <c r="D43" s="381">
        <v>2</v>
      </c>
      <c r="E43" s="389" t="s">
        <v>426</v>
      </c>
      <c r="F43" s="218" t="s">
        <v>426</v>
      </c>
      <c r="G43" s="213"/>
    </row>
    <row r="44" spans="1:7" ht="14.4" x14ac:dyDescent="0.3">
      <c r="A44" s="218"/>
      <c r="B44" s="214"/>
      <c r="C44" s="380" t="s">
        <v>422</v>
      </c>
      <c r="D44" s="386">
        <v>3</v>
      </c>
      <c r="E44" s="389" t="s">
        <v>34</v>
      </c>
      <c r="F44" s="218"/>
      <c r="G44" s="213"/>
    </row>
    <row r="45" spans="1:7" ht="14.4" x14ac:dyDescent="0.3">
      <c r="A45" s="218"/>
      <c r="B45" s="218"/>
      <c r="C45" s="380" t="s">
        <v>422</v>
      </c>
      <c r="D45" s="386">
        <v>4</v>
      </c>
      <c r="E45" s="380" t="s">
        <v>442</v>
      </c>
      <c r="F45" s="218"/>
      <c r="G45" s="213"/>
    </row>
    <row r="46" spans="1:7" x14ac:dyDescent="0.25">
      <c r="A46" s="380" t="s">
        <v>450</v>
      </c>
      <c r="B46" s="218"/>
      <c r="C46" s="380" t="s">
        <v>426</v>
      </c>
      <c r="D46" s="381">
        <v>1</v>
      </c>
      <c r="E46" s="218" t="s">
        <v>426</v>
      </c>
      <c r="F46" s="218" t="s">
        <v>426</v>
      </c>
      <c r="G46" s="213"/>
    </row>
    <row r="47" spans="1:7" x14ac:dyDescent="0.25">
      <c r="A47" s="218"/>
      <c r="B47" s="218"/>
      <c r="C47" s="380" t="s">
        <v>426</v>
      </c>
      <c r="D47" s="381">
        <v>2</v>
      </c>
      <c r="E47" s="218" t="s">
        <v>426</v>
      </c>
      <c r="F47" s="218" t="s">
        <v>426</v>
      </c>
      <c r="G47" s="213"/>
    </row>
    <row r="48" spans="1:7" x14ac:dyDescent="0.25">
      <c r="A48" s="218"/>
      <c r="B48" s="218"/>
      <c r="C48" s="380" t="s">
        <v>422</v>
      </c>
      <c r="D48" s="381">
        <v>3</v>
      </c>
      <c r="E48" s="380" t="s">
        <v>443</v>
      </c>
      <c r="F48" s="218"/>
      <c r="G48" s="213"/>
    </row>
    <row r="49" spans="1:7" x14ac:dyDescent="0.25">
      <c r="A49" s="218"/>
      <c r="B49" s="218"/>
      <c r="C49" s="380" t="s">
        <v>422</v>
      </c>
      <c r="D49" s="381">
        <v>4</v>
      </c>
      <c r="E49" s="380" t="s">
        <v>444</v>
      </c>
      <c r="F49" s="218"/>
      <c r="G49" s="213"/>
    </row>
    <row r="50" spans="1:7" x14ac:dyDescent="0.25">
      <c r="A50" s="380" t="s">
        <v>451</v>
      </c>
      <c r="B50" s="218"/>
      <c r="C50" s="380" t="s">
        <v>436</v>
      </c>
      <c r="D50" s="381">
        <v>1</v>
      </c>
      <c r="E50" s="380" t="s">
        <v>298</v>
      </c>
      <c r="F50" s="380" t="s">
        <v>305</v>
      </c>
      <c r="G50" s="213"/>
    </row>
    <row r="51" spans="1:7" x14ac:dyDescent="0.25">
      <c r="A51" s="218"/>
      <c r="B51" s="218"/>
      <c r="C51" s="380" t="s">
        <v>436</v>
      </c>
      <c r="D51" s="381">
        <v>2</v>
      </c>
      <c r="E51" s="380" t="s">
        <v>310</v>
      </c>
      <c r="F51" s="380" t="s">
        <v>304</v>
      </c>
      <c r="G51" s="213"/>
    </row>
    <row r="52" spans="1:7" x14ac:dyDescent="0.25">
      <c r="A52" s="218"/>
      <c r="B52" s="218"/>
      <c r="C52" s="380" t="s">
        <v>446</v>
      </c>
      <c r="D52" s="381">
        <v>3</v>
      </c>
      <c r="E52" s="380" t="s">
        <v>329</v>
      </c>
      <c r="F52" s="380" t="s">
        <v>334</v>
      </c>
      <c r="G52" s="213"/>
    </row>
    <row r="53" spans="1:7" x14ac:dyDescent="0.25">
      <c r="A53" s="218"/>
      <c r="B53" s="218"/>
      <c r="C53" s="380" t="s">
        <v>447</v>
      </c>
      <c r="D53" s="381">
        <v>4</v>
      </c>
      <c r="E53" s="380" t="s">
        <v>365</v>
      </c>
      <c r="F53" s="380" t="s">
        <v>367</v>
      </c>
      <c r="G53" s="213"/>
    </row>
    <row r="54" spans="1:7" ht="14.4" x14ac:dyDescent="0.3">
      <c r="A54" s="380" t="s">
        <v>452</v>
      </c>
      <c r="B54" s="214"/>
      <c r="C54" s="380" t="s">
        <v>436</v>
      </c>
      <c r="D54" s="381">
        <v>1</v>
      </c>
      <c r="E54" s="391" t="s">
        <v>300</v>
      </c>
      <c r="F54" s="380" t="s">
        <v>296</v>
      </c>
      <c r="G54" s="213"/>
    </row>
    <row r="55" spans="1:7" ht="14.4" x14ac:dyDescent="0.3">
      <c r="A55" s="218"/>
      <c r="B55" s="214"/>
      <c r="C55" s="380" t="s">
        <v>436</v>
      </c>
      <c r="D55" s="381">
        <v>2</v>
      </c>
      <c r="E55" s="380" t="s">
        <v>430</v>
      </c>
      <c r="F55" s="380" t="s">
        <v>309</v>
      </c>
      <c r="G55" s="213"/>
    </row>
    <row r="56" spans="1:7" ht="14.4" x14ac:dyDescent="0.3">
      <c r="A56" s="218"/>
      <c r="B56" s="214"/>
      <c r="C56" s="380" t="s">
        <v>446</v>
      </c>
      <c r="D56" s="381">
        <v>3</v>
      </c>
      <c r="E56" s="380" t="s">
        <v>331</v>
      </c>
      <c r="F56" s="380" t="s">
        <v>270</v>
      </c>
      <c r="G56" s="213"/>
    </row>
    <row r="57" spans="1:7" ht="14.4" x14ac:dyDescent="0.3">
      <c r="A57" s="218"/>
      <c r="B57" s="214"/>
      <c r="C57" s="380" t="s">
        <v>448</v>
      </c>
      <c r="D57" s="381">
        <v>4</v>
      </c>
      <c r="E57" s="391" t="s">
        <v>370</v>
      </c>
      <c r="F57" s="380" t="s">
        <v>372</v>
      </c>
      <c r="G57" s="213"/>
    </row>
    <row r="58" spans="1:7" ht="14.4" x14ac:dyDescent="0.3">
      <c r="A58" s="380" t="s">
        <v>453</v>
      </c>
      <c r="B58" s="214"/>
      <c r="C58" s="380" t="s">
        <v>436</v>
      </c>
      <c r="D58" s="381">
        <v>1</v>
      </c>
      <c r="E58" s="380" t="s">
        <v>305</v>
      </c>
      <c r="F58" s="380" t="s">
        <v>296</v>
      </c>
      <c r="G58" s="213"/>
    </row>
    <row r="59" spans="1:7" ht="14.4" x14ac:dyDescent="0.3">
      <c r="A59" s="218"/>
      <c r="B59" s="214"/>
      <c r="C59" s="380" t="s">
        <v>436</v>
      </c>
      <c r="D59" s="381">
        <v>2</v>
      </c>
      <c r="E59" s="380" t="s">
        <v>309</v>
      </c>
      <c r="F59" s="380" t="s">
        <v>310</v>
      </c>
      <c r="G59" s="213"/>
    </row>
    <row r="60" spans="1:7" ht="14.4" x14ac:dyDescent="0.3">
      <c r="A60" s="218"/>
      <c r="B60" s="214"/>
      <c r="C60" s="380" t="s">
        <v>446</v>
      </c>
      <c r="D60" s="381">
        <v>3</v>
      </c>
      <c r="E60" s="380" t="s">
        <v>270</v>
      </c>
      <c r="F60" s="380" t="s">
        <v>329</v>
      </c>
      <c r="G60" s="218"/>
    </row>
    <row r="61" spans="1:7" ht="14.4" x14ac:dyDescent="0.3">
      <c r="A61" s="392"/>
      <c r="B61" s="214"/>
      <c r="C61" s="380" t="s">
        <v>448</v>
      </c>
      <c r="D61" s="381">
        <v>4</v>
      </c>
      <c r="E61" s="380" t="s">
        <v>367</v>
      </c>
      <c r="F61" s="380" t="s">
        <v>445</v>
      </c>
      <c r="G61" s="218"/>
    </row>
    <row r="62" spans="1:7" x14ac:dyDescent="0.25">
      <c r="A62" s="380" t="s">
        <v>454</v>
      </c>
      <c r="B62" s="218"/>
      <c r="C62" s="380" t="s">
        <v>436</v>
      </c>
      <c r="D62" s="381">
        <v>1</v>
      </c>
      <c r="E62" s="380" t="s">
        <v>298</v>
      </c>
      <c r="F62" s="380" t="s">
        <v>300</v>
      </c>
      <c r="G62" s="218"/>
    </row>
    <row r="63" spans="1:7" x14ac:dyDescent="0.25">
      <c r="A63" s="218"/>
      <c r="B63" s="218"/>
      <c r="C63" s="380" t="s">
        <v>436</v>
      </c>
      <c r="D63" s="381">
        <v>2</v>
      </c>
      <c r="E63" s="380" t="s">
        <v>304</v>
      </c>
      <c r="F63" s="380" t="s">
        <v>305</v>
      </c>
      <c r="G63" s="218"/>
    </row>
    <row r="64" spans="1:7" ht="14.4" x14ac:dyDescent="0.3">
      <c r="A64" s="218"/>
      <c r="B64" s="214"/>
      <c r="C64" s="380" t="s">
        <v>446</v>
      </c>
      <c r="D64" s="381">
        <v>3</v>
      </c>
      <c r="E64" s="391" t="s">
        <v>334</v>
      </c>
      <c r="F64" s="380" t="s">
        <v>328</v>
      </c>
      <c r="G64" s="218"/>
    </row>
    <row r="65" spans="1:7" ht="14.4" x14ac:dyDescent="0.3">
      <c r="A65" s="218"/>
      <c r="B65" s="214"/>
      <c r="C65" s="380" t="s">
        <v>448</v>
      </c>
      <c r="D65" s="381">
        <v>4</v>
      </c>
      <c r="E65" s="380" t="s">
        <v>372</v>
      </c>
      <c r="F65" s="380" t="s">
        <v>368</v>
      </c>
      <c r="G65" s="218"/>
    </row>
    <row r="66" spans="1:7" ht="14.4" x14ac:dyDescent="0.3">
      <c r="A66" s="391" t="s">
        <v>461</v>
      </c>
      <c r="B66" s="214"/>
      <c r="C66" s="380" t="s">
        <v>436</v>
      </c>
      <c r="D66" s="381">
        <v>1</v>
      </c>
      <c r="E66" s="380" t="s">
        <v>305</v>
      </c>
      <c r="F66" s="380" t="s">
        <v>309</v>
      </c>
      <c r="G66" s="218"/>
    </row>
    <row r="67" spans="1:7" ht="14.4" x14ac:dyDescent="0.3">
      <c r="A67" s="218"/>
      <c r="B67" s="214"/>
      <c r="C67" s="380" t="s">
        <v>436</v>
      </c>
      <c r="D67" s="381">
        <v>2</v>
      </c>
      <c r="E67" s="380" t="s">
        <v>310</v>
      </c>
      <c r="F67" s="380" t="s">
        <v>311</v>
      </c>
      <c r="G67" s="218"/>
    </row>
    <row r="68" spans="1:7" x14ac:dyDescent="0.25">
      <c r="A68" s="218"/>
      <c r="B68" s="218"/>
      <c r="C68" s="380" t="s">
        <v>446</v>
      </c>
      <c r="D68" s="381">
        <v>3</v>
      </c>
      <c r="E68" s="380" t="s">
        <v>328</v>
      </c>
      <c r="F68" s="380" t="s">
        <v>270</v>
      </c>
      <c r="G68" s="218"/>
    </row>
    <row r="69" spans="1:7" x14ac:dyDescent="0.25">
      <c r="A69" s="218"/>
      <c r="B69" s="218"/>
      <c r="C69" s="380" t="s">
        <v>448</v>
      </c>
      <c r="D69" s="381">
        <v>4</v>
      </c>
      <c r="E69" s="380" t="s">
        <v>457</v>
      </c>
      <c r="F69" s="380" t="s">
        <v>365</v>
      </c>
      <c r="G69" s="218"/>
    </row>
    <row r="70" spans="1:7" x14ac:dyDescent="0.25">
      <c r="A70" s="380" t="s">
        <v>462</v>
      </c>
      <c r="B70" s="218"/>
      <c r="C70" s="380" t="s">
        <v>436</v>
      </c>
      <c r="D70" s="381">
        <v>1</v>
      </c>
      <c r="E70" s="380" t="s">
        <v>309</v>
      </c>
      <c r="F70" s="380" t="s">
        <v>304</v>
      </c>
      <c r="G70" s="218"/>
    </row>
    <row r="71" spans="1:7" x14ac:dyDescent="0.25">
      <c r="A71" s="218"/>
      <c r="B71" s="218"/>
      <c r="C71" s="380" t="s">
        <v>436</v>
      </c>
      <c r="D71" s="381">
        <v>2</v>
      </c>
      <c r="E71" s="380" t="s">
        <v>430</v>
      </c>
      <c r="F71" s="380" t="s">
        <v>458</v>
      </c>
      <c r="G71" s="218"/>
    </row>
    <row r="72" spans="1:7" x14ac:dyDescent="0.25">
      <c r="A72" s="379"/>
      <c r="B72" s="379"/>
      <c r="C72" s="381" t="s">
        <v>446</v>
      </c>
      <c r="D72" s="383">
        <v>3</v>
      </c>
      <c r="E72" s="381" t="s">
        <v>329</v>
      </c>
      <c r="F72" s="381" t="s">
        <v>331</v>
      </c>
      <c r="G72" s="379"/>
    </row>
    <row r="73" spans="1:7" x14ac:dyDescent="0.25">
      <c r="A73" s="379"/>
      <c r="B73" s="379"/>
      <c r="C73" s="381" t="s">
        <v>448</v>
      </c>
      <c r="D73" s="383">
        <v>4</v>
      </c>
      <c r="E73" s="381" t="s">
        <v>368</v>
      </c>
      <c r="F73" s="381" t="s">
        <v>370</v>
      </c>
      <c r="G73" s="379"/>
    </row>
    <row r="74" spans="1:7" x14ac:dyDescent="0.25">
      <c r="A74" s="393">
        <v>0.58333333333333337</v>
      </c>
      <c r="B74" s="379"/>
      <c r="C74" s="381" t="s">
        <v>436</v>
      </c>
      <c r="D74" s="383">
        <v>1</v>
      </c>
      <c r="E74" s="381" t="s">
        <v>34</v>
      </c>
      <c r="F74" s="379"/>
      <c r="G74" s="379"/>
    </row>
    <row r="75" spans="1:7" x14ac:dyDescent="0.25">
      <c r="A75" s="379"/>
      <c r="B75" s="379"/>
      <c r="C75" s="381" t="s">
        <v>448</v>
      </c>
      <c r="D75" s="383">
        <v>2</v>
      </c>
      <c r="E75" s="381" t="s">
        <v>34</v>
      </c>
      <c r="F75" s="379"/>
      <c r="G75" s="379"/>
    </row>
    <row r="76" spans="1:7" x14ac:dyDescent="0.25">
      <c r="A76" s="379"/>
      <c r="B76" s="379"/>
      <c r="C76" s="381" t="s">
        <v>446</v>
      </c>
      <c r="D76" s="383">
        <v>3</v>
      </c>
      <c r="E76" s="381" t="s">
        <v>331</v>
      </c>
      <c r="F76" s="381" t="s">
        <v>328</v>
      </c>
      <c r="G76" s="379"/>
    </row>
    <row r="77" spans="1:7" x14ac:dyDescent="0.25">
      <c r="A77" s="379"/>
      <c r="B77" s="379"/>
      <c r="C77" s="381" t="s">
        <v>446</v>
      </c>
      <c r="D77" s="383">
        <v>4</v>
      </c>
      <c r="E77" s="381" t="s">
        <v>270</v>
      </c>
      <c r="F77" s="381" t="s">
        <v>334</v>
      </c>
      <c r="G77" s="379"/>
    </row>
    <row r="78" spans="1:7" x14ac:dyDescent="0.25">
      <c r="A78" s="393">
        <v>0.59722222222222221</v>
      </c>
      <c r="B78" s="379"/>
      <c r="C78" s="381" t="s">
        <v>436</v>
      </c>
      <c r="D78" s="383">
        <v>1</v>
      </c>
      <c r="E78" s="381" t="s">
        <v>442</v>
      </c>
      <c r="F78" s="379"/>
      <c r="G78" s="379"/>
    </row>
    <row r="79" spans="1:7" x14ac:dyDescent="0.25">
      <c r="A79" s="379"/>
      <c r="B79" s="379"/>
      <c r="C79" s="381" t="s">
        <v>448</v>
      </c>
      <c r="D79" s="383">
        <v>2</v>
      </c>
      <c r="E79" s="381" t="s">
        <v>442</v>
      </c>
      <c r="F79" s="379"/>
      <c r="G79" s="379"/>
    </row>
    <row r="80" spans="1:7" x14ac:dyDescent="0.25">
      <c r="A80" s="379"/>
      <c r="B80" s="379"/>
      <c r="C80" s="381" t="s">
        <v>446</v>
      </c>
      <c r="D80" s="383">
        <v>3</v>
      </c>
      <c r="E80" s="381" t="s">
        <v>328</v>
      </c>
      <c r="F80" s="381" t="s">
        <v>329</v>
      </c>
      <c r="G80" s="379"/>
    </row>
    <row r="81" spans="1:7" x14ac:dyDescent="0.25">
      <c r="A81" s="379"/>
      <c r="B81" s="379"/>
      <c r="C81" s="381" t="s">
        <v>446</v>
      </c>
      <c r="D81" s="383">
        <v>4</v>
      </c>
      <c r="E81" s="381" t="s">
        <v>334</v>
      </c>
      <c r="F81" s="381" t="s">
        <v>331</v>
      </c>
      <c r="G81" s="379"/>
    </row>
    <row r="82" spans="1:7" x14ac:dyDescent="0.25">
      <c r="A82" s="393">
        <v>0.61111111111111116</v>
      </c>
      <c r="B82" s="379"/>
      <c r="C82" s="381" t="s">
        <v>436</v>
      </c>
      <c r="D82" s="383">
        <v>1</v>
      </c>
      <c r="E82" s="381" t="s">
        <v>443</v>
      </c>
      <c r="F82" s="379"/>
      <c r="G82" s="379"/>
    </row>
    <row r="83" spans="1:7" x14ac:dyDescent="0.25">
      <c r="A83" s="379"/>
      <c r="B83" s="379"/>
      <c r="C83" s="381" t="s">
        <v>448</v>
      </c>
      <c r="D83" s="383">
        <v>2</v>
      </c>
      <c r="E83" s="381" t="s">
        <v>443</v>
      </c>
      <c r="F83" s="379"/>
      <c r="G83" s="379"/>
    </row>
    <row r="84" spans="1:7" x14ac:dyDescent="0.25">
      <c r="A84" s="379"/>
      <c r="B84" s="379"/>
      <c r="C84" s="381" t="s">
        <v>455</v>
      </c>
      <c r="D84" s="383">
        <v>3</v>
      </c>
      <c r="E84" s="381" t="s">
        <v>310</v>
      </c>
      <c r="F84" s="381" t="s">
        <v>339</v>
      </c>
      <c r="G84" s="379"/>
    </row>
    <row r="85" spans="1:7" x14ac:dyDescent="0.25">
      <c r="A85" s="379"/>
      <c r="B85" s="379"/>
      <c r="C85" s="381" t="s">
        <v>456</v>
      </c>
      <c r="D85" s="383">
        <v>4</v>
      </c>
      <c r="E85" s="381" t="s">
        <v>459</v>
      </c>
      <c r="F85" s="381" t="s">
        <v>397</v>
      </c>
      <c r="G85" s="379"/>
    </row>
    <row r="86" spans="1:7" x14ac:dyDescent="0.25">
      <c r="A86" s="393">
        <v>0.625</v>
      </c>
      <c r="B86" s="379"/>
      <c r="C86" s="381" t="s">
        <v>436</v>
      </c>
      <c r="D86" s="383">
        <v>1</v>
      </c>
      <c r="E86" s="381" t="s">
        <v>444</v>
      </c>
      <c r="F86" s="379"/>
      <c r="G86" s="379"/>
    </row>
    <row r="87" spans="1:7" x14ac:dyDescent="0.25">
      <c r="A87" s="379"/>
      <c r="B87" s="379"/>
      <c r="C87" s="381" t="s">
        <v>455</v>
      </c>
      <c r="D87" s="383">
        <v>2</v>
      </c>
      <c r="E87" s="381" t="s">
        <v>343</v>
      </c>
      <c r="F87" s="381" t="s">
        <v>345</v>
      </c>
      <c r="G87" s="379"/>
    </row>
    <row r="88" spans="1:7" x14ac:dyDescent="0.25">
      <c r="A88" s="379"/>
      <c r="B88" s="379"/>
      <c r="C88" s="381" t="s">
        <v>455</v>
      </c>
      <c r="D88" s="383">
        <v>3</v>
      </c>
      <c r="E88" s="381" t="s">
        <v>339</v>
      </c>
      <c r="F88" s="381" t="s">
        <v>336</v>
      </c>
      <c r="G88" s="379"/>
    </row>
    <row r="89" spans="1:7" x14ac:dyDescent="0.25">
      <c r="A89" s="379"/>
      <c r="B89" s="379"/>
      <c r="C89" s="381" t="s">
        <v>456</v>
      </c>
      <c r="D89" s="383">
        <v>4</v>
      </c>
      <c r="E89" s="381" t="s">
        <v>460</v>
      </c>
      <c r="F89" s="381" t="s">
        <v>359</v>
      </c>
      <c r="G89" s="379"/>
    </row>
    <row r="90" spans="1:7" x14ac:dyDescent="0.25">
      <c r="A90" s="393">
        <v>0.64583333333333337</v>
      </c>
      <c r="B90" s="379"/>
      <c r="C90" s="381" t="s">
        <v>463</v>
      </c>
      <c r="D90" s="383">
        <v>1</v>
      </c>
      <c r="E90" s="381" t="s">
        <v>361</v>
      </c>
      <c r="F90" s="381" t="s">
        <v>359</v>
      </c>
      <c r="G90" s="379"/>
    </row>
    <row r="91" spans="1:7" x14ac:dyDescent="0.25">
      <c r="A91" s="379"/>
      <c r="B91" s="379"/>
      <c r="C91" s="381" t="s">
        <v>455</v>
      </c>
      <c r="D91" s="383">
        <v>2</v>
      </c>
      <c r="E91" s="381" t="s">
        <v>345</v>
      </c>
      <c r="F91" s="381" t="s">
        <v>467</v>
      </c>
      <c r="G91" s="379"/>
    </row>
    <row r="92" spans="1:7" x14ac:dyDescent="0.25">
      <c r="A92" s="379"/>
      <c r="B92" s="379"/>
      <c r="C92" s="381" t="s">
        <v>455</v>
      </c>
      <c r="D92" s="383">
        <v>3</v>
      </c>
      <c r="E92" s="381" t="s">
        <v>336</v>
      </c>
      <c r="F92" s="381" t="s">
        <v>310</v>
      </c>
      <c r="G92" s="379"/>
    </row>
    <row r="93" spans="1:7" x14ac:dyDescent="0.25">
      <c r="A93" s="379"/>
      <c r="B93" s="379"/>
      <c r="C93" s="381" t="s">
        <v>456</v>
      </c>
      <c r="D93" s="383">
        <v>4</v>
      </c>
      <c r="E93" s="381" t="s">
        <v>359</v>
      </c>
      <c r="F93" s="381" t="s">
        <v>385</v>
      </c>
      <c r="G93" s="379"/>
    </row>
    <row r="94" spans="1:7" x14ac:dyDescent="0.25">
      <c r="A94" s="393">
        <v>0.66666666666666663</v>
      </c>
      <c r="B94" s="379"/>
      <c r="C94" s="381" t="s">
        <v>464</v>
      </c>
      <c r="D94" s="383">
        <v>1</v>
      </c>
      <c r="E94" s="381" t="s">
        <v>400</v>
      </c>
      <c r="F94" s="381" t="s">
        <v>402</v>
      </c>
      <c r="G94" s="379"/>
    </row>
    <row r="95" spans="1:7" x14ac:dyDescent="0.25">
      <c r="A95" s="379"/>
      <c r="B95" s="379"/>
      <c r="C95" s="381" t="s">
        <v>455</v>
      </c>
      <c r="D95" s="383">
        <v>2</v>
      </c>
      <c r="E95" s="381" t="s">
        <v>467</v>
      </c>
      <c r="F95" s="381" t="s">
        <v>343</v>
      </c>
      <c r="G95" s="379"/>
    </row>
    <row r="96" spans="1:7" x14ac:dyDescent="0.25">
      <c r="A96" s="379"/>
      <c r="B96" s="379"/>
      <c r="C96" s="381" t="s">
        <v>465</v>
      </c>
      <c r="D96" s="383">
        <v>3</v>
      </c>
      <c r="E96" s="381" t="s">
        <v>411</v>
      </c>
      <c r="F96" s="381" t="s">
        <v>468</v>
      </c>
      <c r="G96" s="379"/>
    </row>
    <row r="97" spans="1:7" x14ac:dyDescent="0.25">
      <c r="A97" s="379"/>
      <c r="B97" s="379"/>
      <c r="C97" s="381" t="s">
        <v>456</v>
      </c>
      <c r="D97" s="383">
        <v>4</v>
      </c>
      <c r="E97" s="381" t="s">
        <v>397</v>
      </c>
      <c r="F97" s="381" t="s">
        <v>393</v>
      </c>
      <c r="G97" s="379"/>
    </row>
    <row r="98" spans="1:7" x14ac:dyDescent="0.25">
      <c r="A98" s="393">
        <v>0.6875</v>
      </c>
      <c r="B98" s="379"/>
      <c r="C98" s="381" t="s">
        <v>455</v>
      </c>
      <c r="D98" s="383">
        <v>1</v>
      </c>
      <c r="E98" s="381" t="s">
        <v>34</v>
      </c>
      <c r="F98" s="379"/>
      <c r="G98" s="379"/>
    </row>
    <row r="99" spans="1:7" x14ac:dyDescent="0.25">
      <c r="A99" s="379"/>
      <c r="B99" s="379"/>
      <c r="C99" s="381" t="s">
        <v>455</v>
      </c>
      <c r="D99" s="383">
        <v>2</v>
      </c>
      <c r="E99" s="381" t="s">
        <v>442</v>
      </c>
      <c r="F99" s="379"/>
      <c r="G99" s="379"/>
    </row>
    <row r="100" spans="1:7" x14ac:dyDescent="0.25">
      <c r="A100" s="379"/>
      <c r="B100" s="379"/>
      <c r="C100" s="381" t="s">
        <v>465</v>
      </c>
      <c r="D100" s="383">
        <v>3</v>
      </c>
      <c r="E100" s="381" t="s">
        <v>286</v>
      </c>
      <c r="F100" s="381" t="s">
        <v>414</v>
      </c>
      <c r="G100" s="379"/>
    </row>
    <row r="101" spans="1:7" x14ac:dyDescent="0.25">
      <c r="A101" s="379"/>
      <c r="B101" s="379"/>
      <c r="C101" s="381" t="s">
        <v>456</v>
      </c>
      <c r="D101" s="383">
        <v>4</v>
      </c>
      <c r="E101" s="381" t="s">
        <v>393</v>
      </c>
      <c r="F101" s="381" t="s">
        <v>359</v>
      </c>
      <c r="G101" s="379"/>
    </row>
    <row r="102" spans="1:7" x14ac:dyDescent="0.25">
      <c r="A102" s="393">
        <v>0.70833333333333337</v>
      </c>
      <c r="B102" s="379"/>
      <c r="C102" s="381" t="s">
        <v>447</v>
      </c>
      <c r="D102" s="383">
        <v>1</v>
      </c>
      <c r="E102" s="381" t="s">
        <v>282</v>
      </c>
      <c r="F102" s="381" t="s">
        <v>388</v>
      </c>
      <c r="G102" s="379"/>
    </row>
    <row r="103" spans="1:7" x14ac:dyDescent="0.25">
      <c r="A103" s="379"/>
      <c r="B103" s="379"/>
      <c r="C103" s="381" t="s">
        <v>455</v>
      </c>
      <c r="D103" s="383">
        <v>2</v>
      </c>
      <c r="E103" s="381" t="s">
        <v>443</v>
      </c>
      <c r="F103" s="379"/>
      <c r="G103" s="379"/>
    </row>
    <row r="104" spans="1:7" x14ac:dyDescent="0.25">
      <c r="A104" s="379"/>
      <c r="B104" s="379"/>
      <c r="C104" s="381" t="s">
        <v>465</v>
      </c>
      <c r="D104" s="383">
        <v>3</v>
      </c>
      <c r="E104" s="381" t="s">
        <v>414</v>
      </c>
      <c r="F104" s="381" t="s">
        <v>411</v>
      </c>
      <c r="G104" s="379"/>
    </row>
    <row r="105" spans="1:7" x14ac:dyDescent="0.25">
      <c r="A105" s="379"/>
      <c r="B105" s="379"/>
      <c r="C105" s="381" t="s">
        <v>464</v>
      </c>
      <c r="D105" s="383">
        <v>4</v>
      </c>
      <c r="E105" s="381" t="s">
        <v>469</v>
      </c>
      <c r="F105" s="381" t="s">
        <v>470</v>
      </c>
      <c r="G105" s="379"/>
    </row>
    <row r="106" spans="1:7" x14ac:dyDescent="0.25">
      <c r="A106" s="393">
        <v>0.72916666666666663</v>
      </c>
      <c r="B106" s="379"/>
      <c r="C106" s="381" t="s">
        <v>466</v>
      </c>
      <c r="D106" s="383">
        <v>1</v>
      </c>
      <c r="E106" s="381" t="s">
        <v>346</v>
      </c>
      <c r="F106" s="381" t="s">
        <v>348</v>
      </c>
      <c r="G106" s="379"/>
    </row>
    <row r="107" spans="1:7" x14ac:dyDescent="0.25">
      <c r="A107" s="379"/>
      <c r="B107" s="379"/>
      <c r="C107" s="381" t="s">
        <v>456</v>
      </c>
      <c r="D107" s="383">
        <v>2</v>
      </c>
      <c r="E107" s="381" t="s">
        <v>385</v>
      </c>
      <c r="F107" s="381" t="s">
        <v>460</v>
      </c>
      <c r="G107" s="379"/>
    </row>
    <row r="108" spans="1:7" x14ac:dyDescent="0.25">
      <c r="A108" s="379"/>
      <c r="B108" s="379"/>
      <c r="C108" s="381" t="s">
        <v>464</v>
      </c>
      <c r="D108" s="383">
        <v>3</v>
      </c>
      <c r="E108" s="381" t="s">
        <v>402</v>
      </c>
      <c r="F108" s="381" t="s">
        <v>399</v>
      </c>
      <c r="G108" s="379"/>
    </row>
    <row r="109" spans="1:7" x14ac:dyDescent="0.25">
      <c r="A109" s="379"/>
      <c r="B109" s="379"/>
      <c r="C109" s="381" t="s">
        <v>464</v>
      </c>
      <c r="D109" s="383">
        <v>4</v>
      </c>
      <c r="E109" s="381" t="s">
        <v>393</v>
      </c>
      <c r="F109" s="381" t="s">
        <v>404</v>
      </c>
      <c r="G109" s="379"/>
    </row>
    <row r="110" spans="1:7" x14ac:dyDescent="0.25">
      <c r="A110" s="393">
        <v>0.75</v>
      </c>
      <c r="B110" s="379"/>
      <c r="C110" s="381" t="s">
        <v>466</v>
      </c>
      <c r="D110" s="383">
        <v>1</v>
      </c>
      <c r="E110" s="381" t="s">
        <v>348</v>
      </c>
      <c r="F110" s="381" t="s">
        <v>270</v>
      </c>
      <c r="G110" s="379"/>
    </row>
    <row r="111" spans="1:7" x14ac:dyDescent="0.25">
      <c r="A111" s="379"/>
      <c r="B111" s="379"/>
      <c r="C111" s="381" t="s">
        <v>456</v>
      </c>
      <c r="D111" s="383">
        <v>2</v>
      </c>
      <c r="E111" s="381" t="s">
        <v>460</v>
      </c>
      <c r="F111" s="381" t="s">
        <v>393</v>
      </c>
      <c r="G111" s="379"/>
    </row>
    <row r="112" spans="1:7" x14ac:dyDescent="0.25">
      <c r="A112" s="379"/>
      <c r="B112" s="379"/>
      <c r="C112" s="381" t="s">
        <v>456</v>
      </c>
      <c r="D112" s="383">
        <v>3</v>
      </c>
      <c r="E112" s="381" t="s">
        <v>471</v>
      </c>
      <c r="F112" s="381" t="s">
        <v>397</v>
      </c>
      <c r="G112" s="379"/>
    </row>
    <row r="113" spans="1:7" x14ac:dyDescent="0.25">
      <c r="A113" s="379"/>
      <c r="B113" s="379"/>
      <c r="C113" s="381" t="s">
        <v>464</v>
      </c>
      <c r="D113" s="383">
        <v>4</v>
      </c>
      <c r="E113" s="381" t="s">
        <v>399</v>
      </c>
      <c r="F113" s="381" t="s">
        <v>400</v>
      </c>
      <c r="G113" s="379"/>
    </row>
    <row r="114" spans="1:7" x14ac:dyDescent="0.25">
      <c r="A114" s="393">
        <v>0.77083333333333337</v>
      </c>
      <c r="B114" s="379"/>
      <c r="C114" s="381" t="s">
        <v>466</v>
      </c>
      <c r="D114" s="383">
        <v>1</v>
      </c>
      <c r="E114" s="381" t="s">
        <v>270</v>
      </c>
      <c r="F114" s="381" t="s">
        <v>346</v>
      </c>
      <c r="G114" s="379"/>
    </row>
    <row r="115" spans="1:7" x14ac:dyDescent="0.25">
      <c r="A115" s="379"/>
      <c r="B115" s="379"/>
      <c r="C115" s="381" t="s">
        <v>456</v>
      </c>
      <c r="D115" s="383">
        <v>2</v>
      </c>
      <c r="E115" s="381" t="s">
        <v>393</v>
      </c>
      <c r="F115" s="381" t="s">
        <v>385</v>
      </c>
      <c r="G115" s="379"/>
    </row>
    <row r="116" spans="1:7" x14ac:dyDescent="0.25">
      <c r="A116" s="379"/>
      <c r="B116" s="379"/>
      <c r="C116" s="381" t="s">
        <v>456</v>
      </c>
      <c r="D116" s="383">
        <v>3</v>
      </c>
      <c r="E116" s="381" t="s">
        <v>397</v>
      </c>
      <c r="F116" s="381" t="s">
        <v>460</v>
      </c>
      <c r="G116" s="379"/>
    </row>
    <row r="117" spans="1:7" x14ac:dyDescent="0.25">
      <c r="A117" s="379"/>
      <c r="B117" s="379"/>
      <c r="C117" s="381" t="s">
        <v>464</v>
      </c>
      <c r="D117" s="383">
        <v>4</v>
      </c>
      <c r="E117" s="381" t="s">
        <v>404</v>
      </c>
      <c r="F117" s="381" t="s">
        <v>469</v>
      </c>
      <c r="G117" s="379"/>
    </row>
    <row r="118" spans="1:7" x14ac:dyDescent="0.25">
      <c r="A118" s="393">
        <v>0.79166666666666663</v>
      </c>
      <c r="B118" s="379"/>
      <c r="C118" s="381" t="s">
        <v>472</v>
      </c>
      <c r="D118" s="383">
        <v>1</v>
      </c>
      <c r="E118" s="381" t="s">
        <v>408</v>
      </c>
      <c r="F118" s="381" t="s">
        <v>473</v>
      </c>
      <c r="G118" s="379"/>
    </row>
    <row r="119" spans="1:7" x14ac:dyDescent="0.25">
      <c r="A119" s="379"/>
      <c r="B119" s="379"/>
      <c r="C119" s="381" t="s">
        <v>464</v>
      </c>
      <c r="D119" s="383">
        <v>2</v>
      </c>
      <c r="E119" s="381" t="s">
        <v>34</v>
      </c>
      <c r="F119" s="379"/>
      <c r="G119" s="379"/>
    </row>
    <row r="120" spans="1:7" x14ac:dyDescent="0.25">
      <c r="A120" s="379"/>
      <c r="B120" s="379"/>
      <c r="C120" s="381" t="s">
        <v>464</v>
      </c>
      <c r="D120" s="383">
        <v>3</v>
      </c>
      <c r="E120" s="381" t="s">
        <v>442</v>
      </c>
      <c r="F120" s="379"/>
      <c r="G120" s="379"/>
    </row>
    <row r="121" spans="1:7" x14ac:dyDescent="0.25">
      <c r="A121" s="379"/>
      <c r="B121" s="379"/>
      <c r="C121" s="381" t="s">
        <v>464</v>
      </c>
      <c r="D121" s="383">
        <v>4</v>
      </c>
      <c r="E121" s="381" t="s">
        <v>443</v>
      </c>
      <c r="F121" s="379"/>
      <c r="G121" s="379"/>
    </row>
    <row r="122" spans="1:7" x14ac:dyDescent="0.25">
      <c r="A122" s="378"/>
      <c r="B122" s="378"/>
      <c r="C122" s="378"/>
      <c r="D122" s="378"/>
      <c r="E122" s="378"/>
      <c r="F122" s="378"/>
      <c r="G122" s="378"/>
    </row>
  </sheetData>
  <mergeCells count="3">
    <mergeCell ref="A1:G1"/>
    <mergeCell ref="A2:G2"/>
    <mergeCell ref="A3:G3"/>
  </mergeCells>
  <conditionalFormatting sqref="E19">
    <cfRule type="expression" dxfId="71" priority="3" stopIfTrue="1">
      <formula>$Q12&gt;=1</formula>
    </cfRule>
  </conditionalFormatting>
  <conditionalFormatting sqref="E23">
    <cfRule type="expression" dxfId="70" priority="2" stopIfTrue="1">
      <formula>$Q16&gt;=1</formula>
    </cfRule>
  </conditionalFormatting>
  <conditionalFormatting sqref="F5">
    <cfRule type="expression" dxfId="69" priority="4" stopIfTrue="1">
      <formula>$Q6&gt;=1</formula>
    </cfRule>
  </conditionalFormatting>
  <conditionalFormatting sqref="F34">
    <cfRule type="expression" dxfId="68" priority="1" stopIfTrue="1">
      <formula>$Q27&gt;=1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ED466-BAA9-40B8-843C-89CB038DB81C}">
  <dimension ref="A1:G73"/>
  <sheetViews>
    <sheetView topLeftCell="A28" workbookViewId="0">
      <selection activeCell="I38" sqref="I38"/>
    </sheetView>
  </sheetViews>
  <sheetFormatPr defaultRowHeight="13.2" x14ac:dyDescent="0.25"/>
  <cols>
    <col min="5" max="5" width="13.109375" customWidth="1"/>
    <col min="6" max="6" width="13.6640625" customWidth="1"/>
  </cols>
  <sheetData>
    <row r="1" spans="1:7" ht="25.8" x14ac:dyDescent="0.25">
      <c r="A1" s="400" t="s">
        <v>257</v>
      </c>
      <c r="B1" s="401"/>
      <c r="C1" s="401"/>
      <c r="D1" s="401"/>
      <c r="E1" s="401"/>
      <c r="F1" s="401"/>
      <c r="G1" s="402"/>
    </row>
    <row r="2" spans="1:7" ht="21" x14ac:dyDescent="0.25">
      <c r="A2" s="403" t="s">
        <v>494</v>
      </c>
      <c r="B2" s="404"/>
      <c r="C2" s="404"/>
      <c r="D2" s="404"/>
      <c r="E2" s="404"/>
      <c r="F2" s="404"/>
      <c r="G2" s="405"/>
    </row>
    <row r="3" spans="1:7" ht="21" x14ac:dyDescent="0.25">
      <c r="A3" s="406"/>
      <c r="B3" s="407"/>
      <c r="C3" s="407"/>
      <c r="D3" s="407"/>
      <c r="E3" s="407"/>
      <c r="F3" s="407"/>
      <c r="G3" s="408"/>
    </row>
    <row r="4" spans="1:7" ht="43.2" customHeight="1" x14ac:dyDescent="0.25">
      <c r="A4" s="215" t="s">
        <v>258</v>
      </c>
      <c r="B4" s="215" t="s">
        <v>259</v>
      </c>
      <c r="C4" s="215" t="s">
        <v>260</v>
      </c>
      <c r="D4" s="215" t="s">
        <v>261</v>
      </c>
      <c r="E4" s="216"/>
      <c r="F4" s="216"/>
      <c r="G4" s="216" t="s">
        <v>262</v>
      </c>
    </row>
    <row r="5" spans="1:7" ht="14.4" x14ac:dyDescent="0.3">
      <c r="A5" s="387" t="s">
        <v>417</v>
      </c>
      <c r="B5" s="388"/>
      <c r="C5" s="387" t="s">
        <v>486</v>
      </c>
      <c r="D5" s="33">
        <v>1</v>
      </c>
      <c r="E5" s="389" t="s">
        <v>474</v>
      </c>
      <c r="F5" s="380" t="s">
        <v>391</v>
      </c>
      <c r="G5" s="212"/>
    </row>
    <row r="6" spans="1:7" ht="14.4" x14ac:dyDescent="0.3">
      <c r="A6" s="218"/>
      <c r="B6" s="214"/>
      <c r="C6" s="380" t="s">
        <v>487</v>
      </c>
      <c r="D6" s="381">
        <v>2</v>
      </c>
      <c r="E6" s="389" t="s">
        <v>286</v>
      </c>
      <c r="F6" s="380" t="s">
        <v>475</v>
      </c>
      <c r="G6" s="213"/>
    </row>
    <row r="7" spans="1:7" ht="14.4" x14ac:dyDescent="0.3">
      <c r="A7" s="218"/>
      <c r="B7" s="214"/>
      <c r="C7" s="380" t="s">
        <v>487</v>
      </c>
      <c r="D7" s="381">
        <v>3</v>
      </c>
      <c r="E7" s="380" t="s">
        <v>336</v>
      </c>
      <c r="F7" s="389" t="s">
        <v>476</v>
      </c>
      <c r="G7" s="213"/>
    </row>
    <row r="8" spans="1:7" ht="14.4" x14ac:dyDescent="0.3">
      <c r="A8" s="218"/>
      <c r="B8" s="214"/>
      <c r="C8" s="380" t="s">
        <v>488</v>
      </c>
      <c r="D8" s="381">
        <v>4</v>
      </c>
      <c r="E8" s="389" t="s">
        <v>477</v>
      </c>
      <c r="F8" s="380" t="s">
        <v>478</v>
      </c>
      <c r="G8" s="213"/>
    </row>
    <row r="9" spans="1:7" ht="14.4" x14ac:dyDescent="0.3">
      <c r="A9" s="380" t="s">
        <v>431</v>
      </c>
      <c r="B9" s="214"/>
      <c r="C9" s="380" t="s">
        <v>487</v>
      </c>
      <c r="D9" s="381">
        <v>1</v>
      </c>
      <c r="E9" s="380" t="s">
        <v>479</v>
      </c>
      <c r="F9" s="389" t="s">
        <v>76</v>
      </c>
      <c r="G9" s="213"/>
    </row>
    <row r="10" spans="1:7" ht="14.4" x14ac:dyDescent="0.3">
      <c r="A10" s="218"/>
      <c r="B10" s="214"/>
      <c r="C10" s="380" t="s">
        <v>487</v>
      </c>
      <c r="D10" s="381">
        <v>2</v>
      </c>
      <c r="E10" s="380" t="s">
        <v>480</v>
      </c>
      <c r="F10" s="389" t="s">
        <v>481</v>
      </c>
      <c r="G10" s="213"/>
    </row>
    <row r="11" spans="1:7" ht="14.4" x14ac:dyDescent="0.3">
      <c r="A11" s="218"/>
      <c r="B11" s="214"/>
      <c r="C11" s="380" t="s">
        <v>488</v>
      </c>
      <c r="D11" s="381">
        <v>3</v>
      </c>
      <c r="E11" s="380" t="s">
        <v>384</v>
      </c>
      <c r="F11" s="389" t="s">
        <v>383</v>
      </c>
      <c r="G11" s="213"/>
    </row>
    <row r="12" spans="1:7" ht="14.4" x14ac:dyDescent="0.3">
      <c r="A12" s="218"/>
      <c r="B12" s="214"/>
      <c r="C12" s="380" t="s">
        <v>488</v>
      </c>
      <c r="D12" s="381">
        <v>4</v>
      </c>
      <c r="E12" s="380" t="s">
        <v>385</v>
      </c>
      <c r="F12" s="389" t="s">
        <v>367</v>
      </c>
      <c r="G12" s="213"/>
    </row>
    <row r="13" spans="1:7" ht="14.4" x14ac:dyDescent="0.3">
      <c r="A13" s="380" t="s">
        <v>433</v>
      </c>
      <c r="B13" s="214"/>
      <c r="C13" s="380" t="s">
        <v>487</v>
      </c>
      <c r="D13" s="381">
        <v>1</v>
      </c>
      <c r="E13" s="380" t="s">
        <v>372</v>
      </c>
      <c r="F13" s="389" t="s">
        <v>482</v>
      </c>
      <c r="G13" s="213"/>
    </row>
    <row r="14" spans="1:7" ht="14.4" x14ac:dyDescent="0.3">
      <c r="A14" s="218"/>
      <c r="B14" s="214"/>
      <c r="C14" s="387" t="s">
        <v>488</v>
      </c>
      <c r="D14" s="385">
        <v>2</v>
      </c>
      <c r="E14" s="380" t="s">
        <v>76</v>
      </c>
      <c r="F14" s="380" t="s">
        <v>483</v>
      </c>
      <c r="G14" s="213"/>
    </row>
    <row r="15" spans="1:7" ht="14.4" x14ac:dyDescent="0.3">
      <c r="A15" s="218"/>
      <c r="B15" s="214"/>
      <c r="C15" s="380" t="s">
        <v>488</v>
      </c>
      <c r="D15" s="381">
        <v>3</v>
      </c>
      <c r="E15" s="389" t="s">
        <v>484</v>
      </c>
      <c r="F15" s="380" t="s">
        <v>485</v>
      </c>
      <c r="G15" s="213"/>
    </row>
    <row r="16" spans="1:7" ht="14.4" x14ac:dyDescent="0.3">
      <c r="A16" s="218"/>
      <c r="B16" s="214"/>
      <c r="C16" s="380" t="s">
        <v>426</v>
      </c>
      <c r="D16" s="381">
        <v>4</v>
      </c>
      <c r="E16" s="218" t="s">
        <v>426</v>
      </c>
      <c r="F16" s="218" t="s">
        <v>426</v>
      </c>
      <c r="G16" s="213"/>
    </row>
    <row r="17" spans="1:7" ht="14.4" x14ac:dyDescent="0.3">
      <c r="A17" s="380" t="s">
        <v>489</v>
      </c>
      <c r="B17" s="214"/>
      <c r="C17" s="380" t="s">
        <v>487</v>
      </c>
      <c r="D17" s="381">
        <v>1</v>
      </c>
      <c r="E17" s="380" t="s">
        <v>490</v>
      </c>
      <c r="F17" s="218"/>
      <c r="G17" s="213"/>
    </row>
    <row r="18" spans="1:7" ht="14.4" x14ac:dyDescent="0.3">
      <c r="A18" s="218"/>
      <c r="B18" s="214"/>
      <c r="C18" s="380" t="s">
        <v>487</v>
      </c>
      <c r="D18" s="381">
        <v>2</v>
      </c>
      <c r="E18" s="380" t="s">
        <v>490</v>
      </c>
      <c r="F18" s="218"/>
      <c r="G18" s="213"/>
    </row>
    <row r="19" spans="1:7" ht="14.4" x14ac:dyDescent="0.3">
      <c r="A19" s="218"/>
      <c r="B19" s="214"/>
      <c r="C19" s="380" t="s">
        <v>488</v>
      </c>
      <c r="D19" s="381">
        <v>3</v>
      </c>
      <c r="E19" s="390" t="s">
        <v>490</v>
      </c>
      <c r="F19" s="218"/>
      <c r="G19" s="213"/>
    </row>
    <row r="20" spans="1:7" ht="14.4" x14ac:dyDescent="0.3">
      <c r="A20" s="218"/>
      <c r="B20" s="214"/>
      <c r="C20" s="380" t="s">
        <v>488</v>
      </c>
      <c r="D20" s="381">
        <v>4</v>
      </c>
      <c r="E20" s="380" t="s">
        <v>490</v>
      </c>
      <c r="F20" s="392"/>
      <c r="G20" s="213"/>
    </row>
    <row r="21" spans="1:7" ht="14.4" x14ac:dyDescent="0.3">
      <c r="A21" s="380" t="s">
        <v>441</v>
      </c>
      <c r="B21" s="214"/>
      <c r="C21" s="380" t="s">
        <v>487</v>
      </c>
      <c r="D21" s="381">
        <v>1</v>
      </c>
      <c r="E21" s="380" t="s">
        <v>34</v>
      </c>
      <c r="F21" s="218"/>
      <c r="G21" s="213"/>
    </row>
    <row r="22" spans="1:7" ht="14.4" x14ac:dyDescent="0.3">
      <c r="A22" s="218"/>
      <c r="B22" s="214"/>
      <c r="C22" s="380" t="s">
        <v>487</v>
      </c>
      <c r="D22" s="381">
        <v>2</v>
      </c>
      <c r="E22" s="380" t="s">
        <v>491</v>
      </c>
      <c r="F22" s="218"/>
      <c r="G22" s="213"/>
    </row>
    <row r="23" spans="1:7" ht="14.4" x14ac:dyDescent="0.3">
      <c r="A23" s="218"/>
      <c r="B23" s="214"/>
      <c r="C23" s="380" t="s">
        <v>488</v>
      </c>
      <c r="D23" s="381">
        <v>3</v>
      </c>
      <c r="E23" s="390" t="s">
        <v>34</v>
      </c>
      <c r="F23" s="218"/>
      <c r="G23" s="213"/>
    </row>
    <row r="24" spans="1:7" ht="14.4" x14ac:dyDescent="0.3">
      <c r="A24" s="218"/>
      <c r="B24" s="214"/>
      <c r="C24" s="380" t="s">
        <v>488</v>
      </c>
      <c r="D24" s="381">
        <v>4</v>
      </c>
      <c r="E24" s="380" t="s">
        <v>491</v>
      </c>
      <c r="F24" s="218"/>
      <c r="G24" s="213"/>
    </row>
    <row r="25" spans="1:7" ht="14.4" x14ac:dyDescent="0.3">
      <c r="A25" s="380" t="s">
        <v>492</v>
      </c>
      <c r="B25" s="214"/>
      <c r="C25" s="380" t="s">
        <v>487</v>
      </c>
      <c r="D25" s="381">
        <v>1</v>
      </c>
      <c r="E25" s="380" t="s">
        <v>491</v>
      </c>
      <c r="F25" s="218"/>
      <c r="G25" s="213"/>
    </row>
    <row r="26" spans="1:7" ht="14.4" x14ac:dyDescent="0.3">
      <c r="A26" s="218"/>
      <c r="B26" s="214"/>
      <c r="C26" s="380" t="s">
        <v>487</v>
      </c>
      <c r="D26" s="381">
        <v>2</v>
      </c>
      <c r="E26" s="380" t="s">
        <v>491</v>
      </c>
      <c r="F26" s="218"/>
      <c r="G26" s="213"/>
    </row>
    <row r="27" spans="1:7" ht="14.4" x14ac:dyDescent="0.3">
      <c r="A27" s="218"/>
      <c r="B27" s="214"/>
      <c r="C27" s="380" t="s">
        <v>488</v>
      </c>
      <c r="D27" s="381">
        <v>3</v>
      </c>
      <c r="E27" s="380" t="s">
        <v>491</v>
      </c>
      <c r="F27" s="218"/>
      <c r="G27" s="213"/>
    </row>
    <row r="28" spans="1:7" x14ac:dyDescent="0.25">
      <c r="A28" s="218"/>
      <c r="B28" s="218"/>
      <c r="C28" s="380" t="s">
        <v>488</v>
      </c>
      <c r="D28" s="381">
        <v>4</v>
      </c>
      <c r="E28" s="380" t="s">
        <v>491</v>
      </c>
      <c r="F28" s="218"/>
      <c r="G28" s="213"/>
    </row>
    <row r="29" spans="1:7" ht="14.4" x14ac:dyDescent="0.3">
      <c r="A29" s="380" t="s">
        <v>451</v>
      </c>
      <c r="B29" s="214"/>
      <c r="C29" s="380" t="s">
        <v>495</v>
      </c>
      <c r="D29" s="381">
        <v>1</v>
      </c>
      <c r="E29" s="380" t="s">
        <v>352</v>
      </c>
      <c r="F29" s="380" t="s">
        <v>357</v>
      </c>
      <c r="G29" s="213"/>
    </row>
    <row r="30" spans="1:7" ht="14.4" x14ac:dyDescent="0.3">
      <c r="A30" s="218"/>
      <c r="B30" s="214"/>
      <c r="C30" s="380" t="s">
        <v>495</v>
      </c>
      <c r="D30" s="381">
        <v>2</v>
      </c>
      <c r="E30" s="380" t="s">
        <v>353</v>
      </c>
      <c r="F30" s="380" t="s">
        <v>355</v>
      </c>
      <c r="G30" s="213"/>
    </row>
    <row r="31" spans="1:7" ht="14.4" x14ac:dyDescent="0.3">
      <c r="A31" s="218"/>
      <c r="B31" s="214"/>
      <c r="C31" s="380" t="s">
        <v>426</v>
      </c>
      <c r="D31" s="386">
        <v>3</v>
      </c>
      <c r="E31" s="218" t="s">
        <v>426</v>
      </c>
      <c r="F31" s="218" t="s">
        <v>426</v>
      </c>
      <c r="G31" s="213"/>
    </row>
    <row r="32" spans="1:7" ht="14.4" x14ac:dyDescent="0.3">
      <c r="A32" s="218"/>
      <c r="B32" s="214"/>
      <c r="C32" s="380" t="s">
        <v>426</v>
      </c>
      <c r="D32" s="381">
        <v>4</v>
      </c>
      <c r="E32" s="218" t="s">
        <v>426</v>
      </c>
      <c r="F32" s="218" t="s">
        <v>426</v>
      </c>
      <c r="G32" s="213"/>
    </row>
    <row r="33" spans="1:7" ht="14.4" x14ac:dyDescent="0.3">
      <c r="A33" s="380" t="s">
        <v>496</v>
      </c>
      <c r="B33" s="214"/>
      <c r="C33" s="380" t="s">
        <v>495</v>
      </c>
      <c r="D33" s="381">
        <v>1</v>
      </c>
      <c r="E33" s="380" t="s">
        <v>355</v>
      </c>
      <c r="F33" s="380" t="s">
        <v>352</v>
      </c>
      <c r="G33" s="218"/>
    </row>
    <row r="34" spans="1:7" ht="14.4" x14ac:dyDescent="0.3">
      <c r="A34" s="392"/>
      <c r="B34" s="214"/>
      <c r="C34" s="380" t="s">
        <v>495</v>
      </c>
      <c r="D34" s="381">
        <v>2</v>
      </c>
      <c r="E34" s="380" t="s">
        <v>357</v>
      </c>
      <c r="F34" s="390" t="s">
        <v>350</v>
      </c>
      <c r="G34" s="218"/>
    </row>
    <row r="35" spans="1:7" ht="14.4" x14ac:dyDescent="0.3">
      <c r="A35" s="380" t="s">
        <v>454</v>
      </c>
      <c r="B35" s="214"/>
      <c r="C35" s="380" t="s">
        <v>495</v>
      </c>
      <c r="D35" s="381">
        <v>1</v>
      </c>
      <c r="E35" s="380" t="s">
        <v>350</v>
      </c>
      <c r="F35" s="380" t="s">
        <v>355</v>
      </c>
      <c r="G35" s="213"/>
    </row>
    <row r="36" spans="1:7" ht="14.4" x14ac:dyDescent="0.3">
      <c r="A36" s="218"/>
      <c r="B36" s="214"/>
      <c r="C36" s="380" t="s">
        <v>495</v>
      </c>
      <c r="D36" s="381">
        <v>2</v>
      </c>
      <c r="E36" s="380" t="s">
        <v>352</v>
      </c>
      <c r="F36" s="380" t="s">
        <v>353</v>
      </c>
      <c r="G36" s="213"/>
    </row>
    <row r="37" spans="1:7" ht="14.4" x14ac:dyDescent="0.3">
      <c r="A37" s="380" t="s">
        <v>497</v>
      </c>
      <c r="B37" s="214"/>
      <c r="C37" s="380" t="s">
        <v>495</v>
      </c>
      <c r="D37" s="381">
        <v>1</v>
      </c>
      <c r="E37" s="380" t="s">
        <v>353</v>
      </c>
      <c r="F37" s="380" t="s">
        <v>350</v>
      </c>
      <c r="G37" s="213"/>
    </row>
    <row r="38" spans="1:7" ht="14.4" x14ac:dyDescent="0.3">
      <c r="A38" s="218"/>
      <c r="B38" s="214"/>
      <c r="C38" s="380" t="s">
        <v>495</v>
      </c>
      <c r="D38" s="381">
        <v>2</v>
      </c>
      <c r="E38" s="380" t="s">
        <v>355</v>
      </c>
      <c r="F38" s="380" t="s">
        <v>357</v>
      </c>
      <c r="G38" s="213"/>
    </row>
    <row r="39" spans="1:7" ht="14.4" x14ac:dyDescent="0.3">
      <c r="A39" s="380" t="s">
        <v>498</v>
      </c>
      <c r="B39" s="214"/>
      <c r="C39" s="380" t="s">
        <v>495</v>
      </c>
      <c r="D39" s="381">
        <v>1</v>
      </c>
      <c r="E39" s="389" t="s">
        <v>350</v>
      </c>
      <c r="F39" s="380" t="s">
        <v>352</v>
      </c>
      <c r="G39" s="213"/>
    </row>
    <row r="40" spans="1:7" x14ac:dyDescent="0.25">
      <c r="A40" s="218"/>
      <c r="B40" s="218"/>
      <c r="C40" s="380" t="s">
        <v>495</v>
      </c>
      <c r="D40" s="381">
        <v>2</v>
      </c>
      <c r="E40" s="380" t="s">
        <v>357</v>
      </c>
      <c r="F40" s="380" t="s">
        <v>353</v>
      </c>
      <c r="G40" s="213"/>
    </row>
    <row r="41" spans="1:7" x14ac:dyDescent="0.25">
      <c r="A41" s="218"/>
      <c r="B41" s="218"/>
      <c r="C41" s="218"/>
      <c r="D41" s="218"/>
      <c r="E41" s="218"/>
      <c r="F41" s="218"/>
      <c r="G41" s="213"/>
    </row>
    <row r="42" spans="1:7" x14ac:dyDescent="0.25">
      <c r="A42" s="392"/>
      <c r="B42" s="392"/>
      <c r="C42" s="392"/>
      <c r="D42" s="392"/>
      <c r="E42" s="392"/>
      <c r="F42" s="392"/>
      <c r="G42" s="394"/>
    </row>
    <row r="43" spans="1:7" ht="14.4" x14ac:dyDescent="0.3">
      <c r="A43" s="392"/>
      <c r="B43" s="395"/>
      <c r="C43" s="392"/>
      <c r="D43" s="392"/>
      <c r="E43" s="392"/>
      <c r="F43" s="392"/>
      <c r="G43" s="394"/>
    </row>
    <row r="44" spans="1:7" ht="14.4" x14ac:dyDescent="0.3">
      <c r="A44" s="392"/>
      <c r="B44" s="395"/>
      <c r="C44" s="392"/>
      <c r="D44" s="392"/>
      <c r="E44" s="396"/>
      <c r="F44" s="392"/>
      <c r="G44" s="394"/>
    </row>
    <row r="45" spans="1:7" ht="14.4" x14ac:dyDescent="0.3">
      <c r="A45" s="392"/>
      <c r="B45" s="395"/>
      <c r="C45" s="392"/>
      <c r="D45" s="396"/>
      <c r="E45" s="396"/>
      <c r="F45" s="392"/>
      <c r="G45" s="394"/>
    </row>
    <row r="46" spans="1:7" ht="14.4" x14ac:dyDescent="0.3">
      <c r="A46" s="397"/>
      <c r="B46" s="397"/>
      <c r="C46" s="397"/>
      <c r="D46" s="398"/>
      <c r="E46" s="397"/>
      <c r="F46" s="397"/>
      <c r="G46" s="394"/>
    </row>
    <row r="47" spans="1:7" x14ac:dyDescent="0.25">
      <c r="A47" s="397"/>
      <c r="B47" s="397"/>
      <c r="C47" s="397"/>
      <c r="D47" s="397"/>
      <c r="E47" s="397"/>
      <c r="F47" s="397"/>
      <c r="G47" s="394"/>
    </row>
    <row r="48" spans="1:7" x14ac:dyDescent="0.25">
      <c r="A48" s="397"/>
      <c r="B48" s="397"/>
      <c r="C48" s="397"/>
      <c r="D48" s="397"/>
      <c r="E48" s="397"/>
      <c r="F48" s="397"/>
      <c r="G48" s="394"/>
    </row>
    <row r="49" spans="1:7" x14ac:dyDescent="0.25">
      <c r="A49" s="397"/>
      <c r="B49" s="397"/>
      <c r="C49" s="397"/>
      <c r="D49" s="397"/>
      <c r="E49" s="397"/>
      <c r="F49" s="397"/>
      <c r="G49" s="394"/>
    </row>
    <row r="50" spans="1:7" x14ac:dyDescent="0.25">
      <c r="A50" s="397"/>
      <c r="B50" s="397"/>
      <c r="C50" s="397"/>
      <c r="D50" s="397"/>
      <c r="E50" s="397"/>
      <c r="F50" s="397"/>
      <c r="G50" s="394"/>
    </row>
    <row r="51" spans="1:7" x14ac:dyDescent="0.25">
      <c r="A51" s="397"/>
      <c r="B51" s="397"/>
      <c r="C51" s="397"/>
      <c r="D51" s="397"/>
      <c r="E51" s="397"/>
      <c r="F51" s="397"/>
      <c r="G51" s="394"/>
    </row>
    <row r="52" spans="1:7" x14ac:dyDescent="0.25">
      <c r="A52" s="397"/>
      <c r="B52" s="397"/>
      <c r="C52" s="397"/>
      <c r="D52" s="397"/>
      <c r="E52" s="397"/>
      <c r="F52" s="397"/>
      <c r="G52" s="394"/>
    </row>
    <row r="53" spans="1:7" x14ac:dyDescent="0.25">
      <c r="A53" s="397"/>
      <c r="B53" s="397"/>
      <c r="C53" s="397"/>
      <c r="D53" s="397"/>
      <c r="E53" s="397"/>
      <c r="F53" s="397"/>
      <c r="G53" s="394"/>
    </row>
    <row r="54" spans="1:7" x14ac:dyDescent="0.25">
      <c r="A54" s="397"/>
      <c r="B54" s="397"/>
      <c r="C54" s="397"/>
      <c r="D54" s="397"/>
      <c r="E54" s="397"/>
      <c r="F54" s="397"/>
      <c r="G54" s="394"/>
    </row>
    <row r="55" spans="1:7" ht="14.4" x14ac:dyDescent="0.3">
      <c r="A55" s="397"/>
      <c r="B55" s="399"/>
      <c r="C55" s="397"/>
      <c r="D55" s="397"/>
      <c r="E55" s="397"/>
      <c r="F55" s="397"/>
      <c r="G55" s="394"/>
    </row>
    <row r="56" spans="1:7" ht="14.4" x14ac:dyDescent="0.3">
      <c r="A56" s="397"/>
      <c r="B56" s="399"/>
      <c r="C56" s="397"/>
      <c r="D56" s="397"/>
      <c r="E56" s="397"/>
      <c r="F56" s="397"/>
      <c r="G56" s="394"/>
    </row>
    <row r="57" spans="1:7" ht="14.4" x14ac:dyDescent="0.3">
      <c r="A57" s="397"/>
      <c r="B57" s="399"/>
      <c r="C57" s="397"/>
      <c r="D57" s="397"/>
      <c r="E57" s="397"/>
      <c r="F57" s="397"/>
      <c r="G57" s="394"/>
    </row>
    <row r="58" spans="1:7" ht="14.4" x14ac:dyDescent="0.3">
      <c r="A58" s="397"/>
      <c r="B58" s="399"/>
      <c r="C58" s="397"/>
      <c r="D58" s="397"/>
      <c r="E58" s="397"/>
      <c r="F58" s="397"/>
      <c r="G58" s="394"/>
    </row>
    <row r="59" spans="1:7" ht="14.4" x14ac:dyDescent="0.3">
      <c r="A59" s="397"/>
      <c r="B59" s="399"/>
      <c r="C59" s="397"/>
      <c r="D59" s="397"/>
      <c r="E59" s="397"/>
      <c r="F59" s="397"/>
      <c r="G59" s="394"/>
    </row>
    <row r="60" spans="1:7" ht="14.4" x14ac:dyDescent="0.3">
      <c r="A60" s="397"/>
      <c r="B60" s="399"/>
      <c r="C60" s="397"/>
      <c r="D60" s="397"/>
      <c r="E60" s="397"/>
      <c r="F60" s="397"/>
      <c r="G60" s="394"/>
    </row>
    <row r="61" spans="1:7" ht="14.4" x14ac:dyDescent="0.3">
      <c r="A61" s="397"/>
      <c r="B61" s="399"/>
      <c r="C61" s="397"/>
      <c r="D61" s="397"/>
      <c r="E61" s="397"/>
      <c r="F61" s="397"/>
      <c r="G61" s="397"/>
    </row>
    <row r="62" spans="1:7" ht="14.4" x14ac:dyDescent="0.3">
      <c r="A62" s="397"/>
      <c r="B62" s="399"/>
      <c r="C62" s="397"/>
      <c r="D62" s="397"/>
      <c r="E62" s="397"/>
      <c r="F62" s="397"/>
      <c r="G62" s="397"/>
    </row>
    <row r="63" spans="1:7" ht="14.4" x14ac:dyDescent="0.3">
      <c r="A63" s="397"/>
      <c r="B63" s="399"/>
      <c r="C63" s="397"/>
      <c r="D63" s="397"/>
      <c r="E63" s="397"/>
      <c r="F63" s="397"/>
      <c r="G63" s="397"/>
    </row>
    <row r="64" spans="1:7" x14ac:dyDescent="0.25">
      <c r="A64" s="397"/>
      <c r="B64" s="397"/>
      <c r="C64" s="397"/>
      <c r="D64" s="397"/>
      <c r="E64" s="397"/>
      <c r="F64" s="397"/>
      <c r="G64" s="397"/>
    </row>
    <row r="65" spans="1:7" x14ac:dyDescent="0.25">
      <c r="A65" s="397"/>
      <c r="B65" s="397"/>
      <c r="C65" s="397"/>
      <c r="D65" s="397"/>
      <c r="E65" s="397"/>
      <c r="F65" s="397"/>
      <c r="G65" s="397"/>
    </row>
    <row r="66" spans="1:7" ht="14.4" x14ac:dyDescent="0.3">
      <c r="A66" s="397"/>
      <c r="B66" s="399"/>
      <c r="C66" s="397"/>
      <c r="D66" s="397"/>
      <c r="E66" s="397"/>
      <c r="F66" s="397"/>
      <c r="G66" s="397"/>
    </row>
    <row r="67" spans="1:7" ht="14.4" x14ac:dyDescent="0.3">
      <c r="A67" s="397"/>
      <c r="B67" s="399"/>
      <c r="C67" s="397"/>
      <c r="D67" s="397"/>
      <c r="E67" s="397"/>
      <c r="F67" s="397"/>
      <c r="G67" s="397"/>
    </row>
    <row r="68" spans="1:7" ht="14.4" x14ac:dyDescent="0.3">
      <c r="A68" s="397"/>
      <c r="B68" s="399"/>
      <c r="C68" s="397"/>
      <c r="D68" s="397"/>
      <c r="E68" s="397"/>
      <c r="F68" s="397"/>
      <c r="G68" s="397"/>
    </row>
    <row r="69" spans="1:7" ht="14.4" x14ac:dyDescent="0.3">
      <c r="A69" s="397"/>
      <c r="B69" s="399"/>
      <c r="C69" s="397"/>
      <c r="D69" s="397"/>
      <c r="E69" s="397"/>
      <c r="F69" s="397"/>
      <c r="G69" s="397"/>
    </row>
    <row r="70" spans="1:7" x14ac:dyDescent="0.25">
      <c r="A70" s="397"/>
      <c r="B70" s="397"/>
      <c r="C70" s="397"/>
      <c r="D70" s="397"/>
      <c r="E70" s="397"/>
      <c r="F70" s="397"/>
      <c r="G70" s="397"/>
    </row>
    <row r="71" spans="1:7" x14ac:dyDescent="0.25">
      <c r="A71" s="397"/>
      <c r="B71" s="397"/>
      <c r="C71" s="397"/>
      <c r="D71" s="397"/>
      <c r="E71" s="397"/>
      <c r="F71" s="397"/>
      <c r="G71" s="397"/>
    </row>
    <row r="72" spans="1:7" x14ac:dyDescent="0.25">
      <c r="A72" s="397"/>
      <c r="B72" s="397"/>
      <c r="C72" s="397"/>
      <c r="D72" s="397"/>
      <c r="E72" s="397"/>
      <c r="F72" s="397"/>
      <c r="G72" s="397"/>
    </row>
    <row r="73" spans="1:7" x14ac:dyDescent="0.25">
      <c r="A73" s="397"/>
      <c r="B73" s="397"/>
      <c r="C73" s="397"/>
      <c r="D73" s="397"/>
      <c r="E73" s="397"/>
      <c r="F73" s="397"/>
      <c r="G73" s="397"/>
    </row>
  </sheetData>
  <mergeCells count="3">
    <mergeCell ref="A1:G1"/>
    <mergeCell ref="A2:G2"/>
    <mergeCell ref="A3:G3"/>
  </mergeCells>
  <conditionalFormatting sqref="E19">
    <cfRule type="expression" dxfId="67" priority="3" stopIfTrue="1">
      <formula>$Q12&gt;=1</formula>
    </cfRule>
  </conditionalFormatting>
  <conditionalFormatting sqref="E23">
    <cfRule type="expression" dxfId="66" priority="2" stopIfTrue="1">
      <formula>$Q16&gt;=1</formula>
    </cfRule>
  </conditionalFormatting>
  <conditionalFormatting sqref="F5">
    <cfRule type="expression" dxfId="65" priority="4" stopIfTrue="1">
      <formula>$Q6&gt;=1</formula>
    </cfRule>
  </conditionalFormatting>
  <conditionalFormatting sqref="F34">
    <cfRule type="expression" dxfId="64" priority="1" stopIfTrue="1">
      <formula>$Q27&gt;=1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1">
    <tabColor indexed="11"/>
  </sheetPr>
  <dimension ref="A1:AK41"/>
  <sheetViews>
    <sheetView workbookViewId="0">
      <selection activeCell="L16" sqref="L16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414" t="str">
        <f>Altalanos!$A$6</f>
        <v>Tenisz Diákolimpia B-A-Z. Vármegyei Döntő</v>
      </c>
      <c r="B1" s="414"/>
      <c r="C1" s="414"/>
      <c r="D1" s="414"/>
      <c r="E1" s="414"/>
      <c r="F1" s="414"/>
      <c r="G1" s="79"/>
      <c r="H1" s="82" t="s">
        <v>29</v>
      </c>
      <c r="I1" s="80"/>
      <c r="J1" s="81"/>
      <c r="L1" s="83"/>
      <c r="M1" s="84"/>
      <c r="N1" s="41"/>
      <c r="O1" s="41" t="s">
        <v>9</v>
      </c>
      <c r="P1" s="41"/>
      <c r="Q1" s="40"/>
      <c r="R1" s="41"/>
      <c r="AB1" s="169" t="str">
        <f>IF(Y5=1,CONCATENATE(VLOOKUP(Y3,AA16:AH27,2)),CONCATENATE(VLOOKUP(Y3,AA2:AK13,2)))</f>
        <v>150</v>
      </c>
      <c r="AC1" s="169" t="str">
        <f>IF(Y5=1,CONCATENATE(VLOOKUP(Y3,AA16:AK27,3)),CONCATENATE(VLOOKUP(Y3,AA2:AK13,3)))</f>
        <v>120</v>
      </c>
      <c r="AD1" s="169" t="str">
        <f>IF(Y5=1,CONCATENATE(VLOOKUP(Y3,AA16:AK27,4)),CONCATENATE(VLOOKUP(Y3,AA2:AK13,4)))</f>
        <v>100</v>
      </c>
      <c r="AE1" s="169" t="str">
        <f>IF(Y5=1,CONCATENATE(VLOOKUP(Y3,AA16:AK27,5)),CONCATENATE(VLOOKUP(Y3,AA2:AK13,5)))</f>
        <v>80</v>
      </c>
      <c r="AF1" s="169" t="str">
        <f>IF(Y5=1,CONCATENATE(VLOOKUP(Y3,AA16:AK27,6)),CONCATENATE(VLOOKUP(Y3,AA2:AK13,6)))</f>
        <v>70</v>
      </c>
      <c r="AG1" s="169" t="str">
        <f>IF(Y5=1,CONCATENATE(VLOOKUP(Y3,AA16:AK27,7)),CONCATENATE(VLOOKUP(Y3,AA2:AK13,7)))</f>
        <v>60</v>
      </c>
      <c r="AH1" s="169" t="str">
        <f>IF(Y5=1,CONCATENATE(VLOOKUP(Y3,AA16:AK27,8)),CONCATENATE(VLOOKUP(Y3,AA2:AK13,8)))</f>
        <v>55</v>
      </c>
      <c r="AI1" s="169" t="str">
        <f>IF(Y5=1,CONCATENATE(VLOOKUP(Y3,AA16:AK27,9)),CONCATENATE(VLOOKUP(Y3,AA2:AK13,9)))</f>
        <v>50</v>
      </c>
      <c r="AJ1" s="169" t="str">
        <f>IF(Y5=1,CONCATENATE(VLOOKUP(Y3,AA16:AK27,10)),CONCATENATE(VLOOKUP(Y3,AA2:AK13,10)))</f>
        <v>45</v>
      </c>
      <c r="AK1" s="169" t="str">
        <f>IF(Y5=1,CONCATENATE(VLOOKUP(Y3,AA16:AK27,11)),CONCATENATE(VLOOKUP(Y3,AA2:AK13,11)))</f>
        <v>40</v>
      </c>
    </row>
    <row r="2" spans="1:37" x14ac:dyDescent="0.25">
      <c r="A2" s="85" t="s">
        <v>28</v>
      </c>
      <c r="B2" s="86"/>
      <c r="C2" s="86"/>
      <c r="D2" s="86"/>
      <c r="E2" s="86" t="s">
        <v>500</v>
      </c>
      <c r="F2" s="86"/>
      <c r="G2" s="87"/>
      <c r="H2" s="88"/>
      <c r="I2" s="88"/>
      <c r="J2" s="89"/>
      <c r="K2" s="83"/>
      <c r="L2" s="83"/>
      <c r="M2" s="83"/>
      <c r="N2" s="42"/>
      <c r="O2" s="39"/>
      <c r="P2" s="42"/>
      <c r="Q2" s="39"/>
      <c r="R2" s="42"/>
      <c r="Y2" s="164"/>
      <c r="Z2" s="163"/>
      <c r="AA2" s="163" t="s">
        <v>38</v>
      </c>
      <c r="AB2" s="154">
        <v>150</v>
      </c>
      <c r="AC2" s="154">
        <v>120</v>
      </c>
      <c r="AD2" s="154">
        <v>100</v>
      </c>
      <c r="AE2" s="154">
        <v>80</v>
      </c>
      <c r="AF2" s="154">
        <v>70</v>
      </c>
      <c r="AG2" s="154">
        <v>60</v>
      </c>
      <c r="AH2" s="154">
        <v>55</v>
      </c>
      <c r="AI2" s="154">
        <v>50</v>
      </c>
      <c r="AJ2" s="154">
        <v>45</v>
      </c>
      <c r="AK2" s="154">
        <v>40</v>
      </c>
    </row>
    <row r="3" spans="1:37" x14ac:dyDescent="0.25">
      <c r="A3" s="34" t="s">
        <v>16</v>
      </c>
      <c r="B3" s="34"/>
      <c r="C3" s="34"/>
      <c r="D3" s="34"/>
      <c r="E3" s="34" t="s">
        <v>14</v>
      </c>
      <c r="F3" s="34"/>
      <c r="G3" s="34"/>
      <c r="H3" s="34" t="s">
        <v>18</v>
      </c>
      <c r="I3" s="34"/>
      <c r="J3" s="43"/>
      <c r="K3" s="34"/>
      <c r="L3" s="35" t="s">
        <v>19</v>
      </c>
      <c r="M3" s="34"/>
      <c r="N3" s="112"/>
      <c r="O3" s="111"/>
      <c r="P3" s="112"/>
      <c r="Q3" s="153" t="s">
        <v>52</v>
      </c>
      <c r="R3" s="154" t="s">
        <v>58</v>
      </c>
      <c r="Y3" s="163" t="str">
        <f>IF(H4="OB","A",IF(H4="IX","W",H4))</f>
        <v>B</v>
      </c>
      <c r="Z3" s="163"/>
      <c r="AA3" s="163" t="s">
        <v>68</v>
      </c>
      <c r="AB3" s="154">
        <v>120</v>
      </c>
      <c r="AC3" s="154">
        <v>90</v>
      </c>
      <c r="AD3" s="154">
        <v>65</v>
      </c>
      <c r="AE3" s="154">
        <v>55</v>
      </c>
      <c r="AF3" s="154">
        <v>50</v>
      </c>
      <c r="AG3" s="154">
        <v>45</v>
      </c>
      <c r="AH3" s="154">
        <v>40</v>
      </c>
      <c r="AI3" s="154">
        <v>35</v>
      </c>
      <c r="AJ3" s="154">
        <v>25</v>
      </c>
      <c r="AK3" s="154">
        <v>20</v>
      </c>
    </row>
    <row r="4" spans="1:37" ht="13.8" thickBot="1" x14ac:dyDescent="0.3">
      <c r="A4" s="417" t="str">
        <f>Altalanos!$A$10</f>
        <v>2024.05.02-03.</v>
      </c>
      <c r="B4" s="417"/>
      <c r="C4" s="417"/>
      <c r="D4" s="90"/>
      <c r="E4" s="91" t="str">
        <f>Altalanos!$C$10</f>
        <v>Kazincbarcika</v>
      </c>
      <c r="F4" s="91"/>
      <c r="G4" s="91"/>
      <c r="H4" s="93" t="s">
        <v>39</v>
      </c>
      <c r="I4" s="91"/>
      <c r="J4" s="92"/>
      <c r="K4" s="93"/>
      <c r="L4" s="94">
        <f>Altalanos!$E$10</f>
        <v>0</v>
      </c>
      <c r="M4" s="93"/>
      <c r="N4" s="114"/>
      <c r="O4" s="115"/>
      <c r="P4" s="114"/>
      <c r="Q4" s="155" t="s">
        <v>59</v>
      </c>
      <c r="R4" s="156" t="s">
        <v>54</v>
      </c>
      <c r="Y4" s="163"/>
      <c r="Z4" s="163"/>
      <c r="AA4" s="163" t="s">
        <v>69</v>
      </c>
      <c r="AB4" s="154">
        <v>90</v>
      </c>
      <c r="AC4" s="154">
        <v>60</v>
      </c>
      <c r="AD4" s="154">
        <v>45</v>
      </c>
      <c r="AE4" s="154">
        <v>34</v>
      </c>
      <c r="AF4" s="154">
        <v>27</v>
      </c>
      <c r="AG4" s="154">
        <v>22</v>
      </c>
      <c r="AH4" s="154">
        <v>18</v>
      </c>
      <c r="AI4" s="154">
        <v>15</v>
      </c>
      <c r="AJ4" s="154">
        <v>12</v>
      </c>
      <c r="AK4" s="154">
        <v>9</v>
      </c>
    </row>
    <row r="5" spans="1:37" x14ac:dyDescent="0.25">
      <c r="A5" s="29"/>
      <c r="B5" s="29" t="s">
        <v>27</v>
      </c>
      <c r="C5" s="107" t="s">
        <v>36</v>
      </c>
      <c r="D5" s="29" t="s">
        <v>22</v>
      </c>
      <c r="E5" s="29" t="s">
        <v>41</v>
      </c>
      <c r="F5" s="29"/>
      <c r="G5" s="29" t="s">
        <v>17</v>
      </c>
      <c r="H5" s="29"/>
      <c r="I5" s="29" t="s">
        <v>20</v>
      </c>
      <c r="J5" s="29"/>
      <c r="K5" s="140" t="s">
        <v>42</v>
      </c>
      <c r="L5" s="140" t="s">
        <v>43</v>
      </c>
      <c r="M5" s="140" t="s">
        <v>44</v>
      </c>
      <c r="Q5" s="157" t="s">
        <v>60</v>
      </c>
      <c r="R5" s="158" t="s">
        <v>56</v>
      </c>
      <c r="Y5" s="163">
        <f>IF(OR(Altalanos!$A$8="F1",Altalanos!$A$8="F2",Altalanos!$A$8="N1",Altalanos!$A$8="N2"),1,2)</f>
        <v>2</v>
      </c>
      <c r="Z5" s="163"/>
      <c r="AA5" s="163" t="s">
        <v>70</v>
      </c>
      <c r="AB5" s="154">
        <v>60</v>
      </c>
      <c r="AC5" s="154">
        <v>40</v>
      </c>
      <c r="AD5" s="154">
        <v>30</v>
      </c>
      <c r="AE5" s="154">
        <v>20</v>
      </c>
      <c r="AF5" s="154">
        <v>18</v>
      </c>
      <c r="AG5" s="154">
        <v>15</v>
      </c>
      <c r="AH5" s="154">
        <v>12</v>
      </c>
      <c r="AI5" s="154">
        <v>10</v>
      </c>
      <c r="AJ5" s="154">
        <v>8</v>
      </c>
      <c r="AK5" s="154">
        <v>6</v>
      </c>
    </row>
    <row r="6" spans="1:37" x14ac:dyDescent="0.25">
      <c r="A6" s="96"/>
      <c r="B6" s="96"/>
      <c r="C6" s="139"/>
      <c r="D6" s="96"/>
      <c r="E6" s="96"/>
      <c r="F6" s="96"/>
      <c r="G6" s="96"/>
      <c r="H6" s="96"/>
      <c r="I6" s="96"/>
      <c r="J6" s="96"/>
      <c r="K6" s="96"/>
      <c r="L6" s="96"/>
      <c r="M6" s="96"/>
      <c r="Y6" s="163"/>
      <c r="Z6" s="163"/>
      <c r="AA6" s="163" t="s">
        <v>71</v>
      </c>
      <c r="AB6" s="154">
        <v>40</v>
      </c>
      <c r="AC6" s="154">
        <v>25</v>
      </c>
      <c r="AD6" s="154">
        <v>18</v>
      </c>
      <c r="AE6" s="154">
        <v>13</v>
      </c>
      <c r="AF6" s="154">
        <v>10</v>
      </c>
      <c r="AG6" s="154">
        <v>8</v>
      </c>
      <c r="AH6" s="154">
        <v>6</v>
      </c>
      <c r="AI6" s="154">
        <v>5</v>
      </c>
      <c r="AJ6" s="154">
        <v>4</v>
      </c>
      <c r="AK6" s="154">
        <v>3</v>
      </c>
    </row>
    <row r="7" spans="1:37" x14ac:dyDescent="0.25">
      <c r="A7" s="116" t="s">
        <v>38</v>
      </c>
      <c r="B7" s="141"/>
      <c r="C7" s="109" t="str">
        <f>IF($B7="","",VLOOKUP($B7,#REF!,5))</f>
        <v/>
      </c>
      <c r="D7" s="109" t="str">
        <f>IF($B7="","",VLOOKUP($B7,#REF!,15))</f>
        <v/>
      </c>
      <c r="E7" s="105" t="s">
        <v>268</v>
      </c>
      <c r="F7" s="110"/>
      <c r="G7" s="105" t="s">
        <v>269</v>
      </c>
      <c r="H7" s="110"/>
      <c r="I7" s="105"/>
      <c r="J7" s="96"/>
      <c r="K7" s="170"/>
      <c r="L7" s="165" t="str">
        <f>IF(K7="","",CONCATENATE(VLOOKUP($Y$3,$AB$1:$AK$1,K7)," pont"))</f>
        <v/>
      </c>
      <c r="M7" s="171"/>
      <c r="Y7" s="163"/>
      <c r="Z7" s="163"/>
      <c r="AA7" s="163" t="s">
        <v>72</v>
      </c>
      <c r="AB7" s="154">
        <v>25</v>
      </c>
      <c r="AC7" s="154">
        <v>15</v>
      </c>
      <c r="AD7" s="154">
        <v>13</v>
      </c>
      <c r="AE7" s="154">
        <v>8</v>
      </c>
      <c r="AF7" s="154">
        <v>6</v>
      </c>
      <c r="AG7" s="154">
        <v>4</v>
      </c>
      <c r="AH7" s="154">
        <v>3</v>
      </c>
      <c r="AI7" s="154">
        <v>2</v>
      </c>
      <c r="AJ7" s="154">
        <v>1</v>
      </c>
      <c r="AK7" s="154">
        <v>0</v>
      </c>
    </row>
    <row r="8" spans="1:37" x14ac:dyDescent="0.25">
      <c r="A8" s="116"/>
      <c r="B8" s="142"/>
      <c r="C8" s="117"/>
      <c r="D8" s="117"/>
      <c r="E8" s="117"/>
      <c r="F8" s="117"/>
      <c r="G8" s="117"/>
      <c r="H8" s="117"/>
      <c r="I8" s="117"/>
      <c r="J8" s="96"/>
      <c r="K8" s="116"/>
      <c r="L8" s="116"/>
      <c r="M8" s="172"/>
      <c r="Y8" s="163"/>
      <c r="Z8" s="163"/>
      <c r="AA8" s="163" t="s">
        <v>73</v>
      </c>
      <c r="AB8" s="154">
        <v>15</v>
      </c>
      <c r="AC8" s="154">
        <v>10</v>
      </c>
      <c r="AD8" s="154">
        <v>7</v>
      </c>
      <c r="AE8" s="154">
        <v>5</v>
      </c>
      <c r="AF8" s="154">
        <v>4</v>
      </c>
      <c r="AG8" s="154">
        <v>3</v>
      </c>
      <c r="AH8" s="154">
        <v>2</v>
      </c>
      <c r="AI8" s="154">
        <v>1</v>
      </c>
      <c r="AJ8" s="154">
        <v>0</v>
      </c>
      <c r="AK8" s="154">
        <v>0</v>
      </c>
    </row>
    <row r="9" spans="1:37" x14ac:dyDescent="0.25">
      <c r="A9" s="116" t="s">
        <v>39</v>
      </c>
      <c r="B9" s="141"/>
      <c r="C9" s="109" t="str">
        <f>IF($B9="","",VLOOKUP($B9,#REF!,5))</f>
        <v/>
      </c>
      <c r="D9" s="109" t="str">
        <f>IF($B9="","",VLOOKUP($B9,#REF!,15))</f>
        <v/>
      </c>
      <c r="E9" s="105" t="s">
        <v>270</v>
      </c>
      <c r="F9" s="110"/>
      <c r="G9" s="105" t="s">
        <v>271</v>
      </c>
      <c r="H9" s="110"/>
      <c r="I9" s="105"/>
      <c r="J9" s="96"/>
      <c r="K9" s="170"/>
      <c r="L9" s="165" t="str">
        <f>IF(K9="","",CONCATENATE(VLOOKUP($Y$3,$AB$1:$AK$1,K9)," pont"))</f>
        <v/>
      </c>
      <c r="M9" s="171"/>
      <c r="Y9" s="163"/>
      <c r="Z9" s="163"/>
      <c r="AA9" s="163" t="s">
        <v>74</v>
      </c>
      <c r="AB9" s="154">
        <v>10</v>
      </c>
      <c r="AC9" s="154">
        <v>6</v>
      </c>
      <c r="AD9" s="154">
        <v>4</v>
      </c>
      <c r="AE9" s="154">
        <v>2</v>
      </c>
      <c r="AF9" s="154">
        <v>1</v>
      </c>
      <c r="AG9" s="154">
        <v>0</v>
      </c>
      <c r="AH9" s="154">
        <v>0</v>
      </c>
      <c r="AI9" s="154">
        <v>0</v>
      </c>
      <c r="AJ9" s="154">
        <v>0</v>
      </c>
      <c r="AK9" s="154">
        <v>0</v>
      </c>
    </row>
    <row r="10" spans="1:37" x14ac:dyDescent="0.25">
      <c r="A10" s="116"/>
      <c r="B10" s="142"/>
      <c r="C10" s="117"/>
      <c r="D10" s="117"/>
      <c r="E10" s="117"/>
      <c r="F10" s="117"/>
      <c r="G10" s="117"/>
      <c r="H10" s="117"/>
      <c r="I10" s="117"/>
      <c r="J10" s="96"/>
      <c r="K10" s="116"/>
      <c r="L10" s="116"/>
      <c r="M10" s="172"/>
      <c r="Y10" s="163"/>
      <c r="Z10" s="163"/>
      <c r="AA10" s="163" t="s">
        <v>75</v>
      </c>
      <c r="AB10" s="154">
        <v>6</v>
      </c>
      <c r="AC10" s="154">
        <v>3</v>
      </c>
      <c r="AD10" s="154">
        <v>2</v>
      </c>
      <c r="AE10" s="154">
        <v>1</v>
      </c>
      <c r="AF10" s="154">
        <v>0</v>
      </c>
      <c r="AG10" s="154">
        <v>0</v>
      </c>
      <c r="AH10" s="154">
        <v>0</v>
      </c>
      <c r="AI10" s="154">
        <v>0</v>
      </c>
      <c r="AJ10" s="154">
        <v>0</v>
      </c>
      <c r="AK10" s="154">
        <v>0</v>
      </c>
    </row>
    <row r="11" spans="1:37" x14ac:dyDescent="0.25">
      <c r="A11" s="116" t="s">
        <v>40</v>
      </c>
      <c r="B11" s="141"/>
      <c r="C11" s="109" t="str">
        <f>IF($B11="","",VLOOKUP($B11,#REF!,5))</f>
        <v/>
      </c>
      <c r="D11" s="109" t="str">
        <f>IF($B11="","",VLOOKUP($B11,#REF!,15))</f>
        <v/>
      </c>
      <c r="E11" s="105" t="s">
        <v>272</v>
      </c>
      <c r="F11" s="110"/>
      <c r="G11" s="105" t="s">
        <v>273</v>
      </c>
      <c r="H11" s="110"/>
      <c r="I11" s="105"/>
      <c r="J11" s="96"/>
      <c r="K11" s="170"/>
      <c r="L11" s="165" t="str">
        <f>IF(K11="","",CONCATENATE(VLOOKUP($Y$3,$AB$1:$AK$1,K11)," pont"))</f>
        <v/>
      </c>
      <c r="M11" s="171"/>
      <c r="Y11" s="163"/>
      <c r="Z11" s="163"/>
      <c r="AA11" s="163" t="s">
        <v>80</v>
      </c>
      <c r="AB11" s="154">
        <v>3</v>
      </c>
      <c r="AC11" s="154">
        <v>2</v>
      </c>
      <c r="AD11" s="154">
        <v>1</v>
      </c>
      <c r="AE11" s="154">
        <v>0</v>
      </c>
      <c r="AF11" s="154">
        <v>0</v>
      </c>
      <c r="AG11" s="154">
        <v>0</v>
      </c>
      <c r="AH11" s="154">
        <v>0</v>
      </c>
      <c r="AI11" s="154">
        <v>0</v>
      </c>
      <c r="AJ11" s="154">
        <v>0</v>
      </c>
      <c r="AK11" s="154">
        <v>0</v>
      </c>
    </row>
    <row r="12" spans="1:37" x14ac:dyDescent="0.25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Y12" s="163"/>
      <c r="Z12" s="163"/>
      <c r="AA12" s="163" t="s">
        <v>76</v>
      </c>
      <c r="AB12" s="168">
        <v>0</v>
      </c>
      <c r="AC12" s="168">
        <v>0</v>
      </c>
      <c r="AD12" s="168">
        <v>0</v>
      </c>
      <c r="AE12" s="168">
        <v>0</v>
      </c>
      <c r="AF12" s="168">
        <v>0</v>
      </c>
      <c r="AG12" s="168">
        <v>0</v>
      </c>
      <c r="AH12" s="168">
        <v>0</v>
      </c>
      <c r="AI12" s="168">
        <v>0</v>
      </c>
      <c r="AJ12" s="168">
        <v>0</v>
      </c>
      <c r="AK12" s="168">
        <v>0</v>
      </c>
    </row>
    <row r="13" spans="1:37" x14ac:dyDescent="0.25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Y13" s="163"/>
      <c r="Z13" s="163"/>
      <c r="AA13" s="163" t="s">
        <v>77</v>
      </c>
      <c r="AB13" s="168">
        <v>0</v>
      </c>
      <c r="AC13" s="168">
        <v>0</v>
      </c>
      <c r="AD13" s="168">
        <v>0</v>
      </c>
      <c r="AE13" s="168">
        <v>0</v>
      </c>
      <c r="AF13" s="168">
        <v>0</v>
      </c>
      <c r="AG13" s="168">
        <v>0</v>
      </c>
      <c r="AH13" s="168">
        <v>0</v>
      </c>
      <c r="AI13" s="168">
        <v>0</v>
      </c>
      <c r="AJ13" s="168">
        <v>0</v>
      </c>
      <c r="AK13" s="168">
        <v>0</v>
      </c>
    </row>
    <row r="14" spans="1:37" x14ac:dyDescent="0.25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</row>
    <row r="15" spans="1:37" x14ac:dyDescent="0.25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</row>
    <row r="16" spans="1:37" x14ac:dyDescent="0.25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Y16" s="163"/>
      <c r="Z16" s="163"/>
      <c r="AA16" s="163" t="s">
        <v>38</v>
      </c>
      <c r="AB16" s="163">
        <v>300</v>
      </c>
      <c r="AC16" s="163">
        <v>250</v>
      </c>
      <c r="AD16" s="163">
        <v>220</v>
      </c>
      <c r="AE16" s="163">
        <v>180</v>
      </c>
      <c r="AF16" s="163">
        <v>160</v>
      </c>
      <c r="AG16" s="163">
        <v>150</v>
      </c>
      <c r="AH16" s="163">
        <v>140</v>
      </c>
      <c r="AI16" s="163">
        <v>130</v>
      </c>
      <c r="AJ16" s="163">
        <v>120</v>
      </c>
      <c r="AK16" s="163">
        <v>110</v>
      </c>
    </row>
    <row r="17" spans="1:37" x14ac:dyDescent="0.25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Y17" s="163"/>
      <c r="Z17" s="163"/>
      <c r="AA17" s="163" t="s">
        <v>68</v>
      </c>
      <c r="AB17" s="163">
        <v>250</v>
      </c>
      <c r="AC17" s="163">
        <v>200</v>
      </c>
      <c r="AD17" s="163">
        <v>160</v>
      </c>
      <c r="AE17" s="163">
        <v>140</v>
      </c>
      <c r="AF17" s="163">
        <v>120</v>
      </c>
      <c r="AG17" s="163">
        <v>110</v>
      </c>
      <c r="AH17" s="163">
        <v>100</v>
      </c>
      <c r="AI17" s="163">
        <v>90</v>
      </c>
      <c r="AJ17" s="163">
        <v>80</v>
      </c>
      <c r="AK17" s="163">
        <v>70</v>
      </c>
    </row>
    <row r="18" spans="1:37" ht="18.75" customHeight="1" x14ac:dyDescent="0.25">
      <c r="A18" s="96"/>
      <c r="B18" s="413"/>
      <c r="C18" s="413"/>
      <c r="D18" s="412" t="str">
        <f>E7</f>
        <v>Babik</v>
      </c>
      <c r="E18" s="412"/>
      <c r="F18" s="412" t="str">
        <f>E9</f>
        <v>Szakál</v>
      </c>
      <c r="G18" s="412"/>
      <c r="H18" s="412" t="str">
        <f>E11</f>
        <v>Lévai</v>
      </c>
      <c r="I18" s="412"/>
      <c r="J18" s="96"/>
      <c r="K18" s="96"/>
      <c r="L18" s="96"/>
      <c r="M18" s="96"/>
      <c r="Y18" s="163"/>
      <c r="Z18" s="163"/>
      <c r="AA18" s="163" t="s">
        <v>69</v>
      </c>
      <c r="AB18" s="163">
        <v>200</v>
      </c>
      <c r="AC18" s="163">
        <v>150</v>
      </c>
      <c r="AD18" s="163">
        <v>130</v>
      </c>
      <c r="AE18" s="163">
        <v>110</v>
      </c>
      <c r="AF18" s="163">
        <v>95</v>
      </c>
      <c r="AG18" s="163">
        <v>80</v>
      </c>
      <c r="AH18" s="163">
        <v>70</v>
      </c>
      <c r="AI18" s="163">
        <v>60</v>
      </c>
      <c r="AJ18" s="163">
        <v>55</v>
      </c>
      <c r="AK18" s="163">
        <v>50</v>
      </c>
    </row>
    <row r="19" spans="1:37" ht="18.75" customHeight="1" x14ac:dyDescent="0.25">
      <c r="A19" s="146" t="s">
        <v>38</v>
      </c>
      <c r="B19" s="416" t="str">
        <f>E7</f>
        <v>Babik</v>
      </c>
      <c r="C19" s="416"/>
      <c r="D19" s="411"/>
      <c r="E19" s="411"/>
      <c r="F19" s="409"/>
      <c r="G19" s="409"/>
      <c r="H19" s="409"/>
      <c r="I19" s="409"/>
      <c r="J19" s="96"/>
      <c r="K19" s="96"/>
      <c r="L19" s="96"/>
      <c r="M19" s="96"/>
      <c r="Y19" s="163"/>
      <c r="Z19" s="163"/>
      <c r="AA19" s="163" t="s">
        <v>70</v>
      </c>
      <c r="AB19" s="163">
        <v>150</v>
      </c>
      <c r="AC19" s="163">
        <v>120</v>
      </c>
      <c r="AD19" s="163">
        <v>100</v>
      </c>
      <c r="AE19" s="163">
        <v>80</v>
      </c>
      <c r="AF19" s="163">
        <v>70</v>
      </c>
      <c r="AG19" s="163">
        <v>60</v>
      </c>
      <c r="AH19" s="163">
        <v>55</v>
      </c>
      <c r="AI19" s="163">
        <v>50</v>
      </c>
      <c r="AJ19" s="163">
        <v>45</v>
      </c>
      <c r="AK19" s="163">
        <v>40</v>
      </c>
    </row>
    <row r="20" spans="1:37" ht="18.75" customHeight="1" x14ac:dyDescent="0.25">
      <c r="A20" s="146" t="s">
        <v>39</v>
      </c>
      <c r="B20" s="416" t="str">
        <f>E9</f>
        <v>Szakál</v>
      </c>
      <c r="C20" s="416"/>
      <c r="D20" s="409"/>
      <c r="E20" s="409"/>
      <c r="F20" s="411"/>
      <c r="G20" s="411"/>
      <c r="H20" s="409"/>
      <c r="I20" s="409"/>
      <c r="J20" s="96"/>
      <c r="K20" s="96"/>
      <c r="L20" s="96"/>
      <c r="M20" s="96"/>
      <c r="Y20" s="163"/>
      <c r="Z20" s="163"/>
      <c r="AA20" s="163" t="s">
        <v>71</v>
      </c>
      <c r="AB20" s="163">
        <v>120</v>
      </c>
      <c r="AC20" s="163">
        <v>90</v>
      </c>
      <c r="AD20" s="163">
        <v>65</v>
      </c>
      <c r="AE20" s="163">
        <v>55</v>
      </c>
      <c r="AF20" s="163">
        <v>50</v>
      </c>
      <c r="AG20" s="163">
        <v>45</v>
      </c>
      <c r="AH20" s="163">
        <v>40</v>
      </c>
      <c r="AI20" s="163">
        <v>35</v>
      </c>
      <c r="AJ20" s="163">
        <v>25</v>
      </c>
      <c r="AK20" s="163">
        <v>20</v>
      </c>
    </row>
    <row r="21" spans="1:37" ht="18.75" customHeight="1" x14ac:dyDescent="0.25">
      <c r="A21" s="146" t="s">
        <v>40</v>
      </c>
      <c r="B21" s="416" t="str">
        <f>E11</f>
        <v>Lévai</v>
      </c>
      <c r="C21" s="416"/>
      <c r="D21" s="409"/>
      <c r="E21" s="409"/>
      <c r="F21" s="409"/>
      <c r="G21" s="409"/>
      <c r="H21" s="411"/>
      <c r="I21" s="411"/>
      <c r="J21" s="96"/>
      <c r="K21" s="96"/>
      <c r="L21" s="96"/>
      <c r="M21" s="96"/>
      <c r="Y21" s="163"/>
      <c r="Z21" s="163"/>
      <c r="AA21" s="163" t="s">
        <v>72</v>
      </c>
      <c r="AB21" s="163">
        <v>90</v>
      </c>
      <c r="AC21" s="163">
        <v>60</v>
      </c>
      <c r="AD21" s="163">
        <v>45</v>
      </c>
      <c r="AE21" s="163">
        <v>34</v>
      </c>
      <c r="AF21" s="163">
        <v>27</v>
      </c>
      <c r="AG21" s="163">
        <v>22</v>
      </c>
      <c r="AH21" s="163">
        <v>18</v>
      </c>
      <c r="AI21" s="163">
        <v>15</v>
      </c>
      <c r="AJ21" s="163">
        <v>12</v>
      </c>
      <c r="AK21" s="163">
        <v>9</v>
      </c>
    </row>
    <row r="22" spans="1:37" x14ac:dyDescent="0.25">
      <c r="A22" s="96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Y22" s="163"/>
      <c r="Z22" s="163"/>
      <c r="AA22" s="163" t="s">
        <v>73</v>
      </c>
      <c r="AB22" s="163">
        <v>60</v>
      </c>
      <c r="AC22" s="163">
        <v>40</v>
      </c>
      <c r="AD22" s="163">
        <v>30</v>
      </c>
      <c r="AE22" s="163">
        <v>20</v>
      </c>
      <c r="AF22" s="163">
        <v>18</v>
      </c>
      <c r="AG22" s="163">
        <v>15</v>
      </c>
      <c r="AH22" s="163">
        <v>12</v>
      </c>
      <c r="AI22" s="163">
        <v>10</v>
      </c>
      <c r="AJ22" s="163">
        <v>8</v>
      </c>
      <c r="AK22" s="163">
        <v>6</v>
      </c>
    </row>
    <row r="23" spans="1:37" x14ac:dyDescent="0.25">
      <c r="A23" s="96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Y23" s="163"/>
      <c r="Z23" s="163"/>
      <c r="AA23" s="163" t="s">
        <v>74</v>
      </c>
      <c r="AB23" s="163">
        <v>40</v>
      </c>
      <c r="AC23" s="163">
        <v>25</v>
      </c>
      <c r="AD23" s="163">
        <v>18</v>
      </c>
      <c r="AE23" s="163">
        <v>13</v>
      </c>
      <c r="AF23" s="163">
        <v>8</v>
      </c>
      <c r="AG23" s="163">
        <v>7</v>
      </c>
      <c r="AH23" s="163">
        <v>6</v>
      </c>
      <c r="AI23" s="163">
        <v>5</v>
      </c>
      <c r="AJ23" s="163">
        <v>4</v>
      </c>
      <c r="AK23" s="163">
        <v>3</v>
      </c>
    </row>
    <row r="24" spans="1:37" x14ac:dyDescent="0.25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Y24" s="163"/>
      <c r="Z24" s="163"/>
      <c r="AA24" s="163" t="s">
        <v>75</v>
      </c>
      <c r="AB24" s="163">
        <v>25</v>
      </c>
      <c r="AC24" s="163">
        <v>15</v>
      </c>
      <c r="AD24" s="163">
        <v>13</v>
      </c>
      <c r="AE24" s="163">
        <v>7</v>
      </c>
      <c r="AF24" s="163">
        <v>6</v>
      </c>
      <c r="AG24" s="163">
        <v>5</v>
      </c>
      <c r="AH24" s="163">
        <v>4</v>
      </c>
      <c r="AI24" s="163">
        <v>3</v>
      </c>
      <c r="AJ24" s="163">
        <v>2</v>
      </c>
      <c r="AK24" s="163">
        <v>1</v>
      </c>
    </row>
    <row r="25" spans="1:37" x14ac:dyDescent="0.25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Y25" s="163"/>
      <c r="Z25" s="163"/>
      <c r="AA25" s="163" t="s">
        <v>80</v>
      </c>
      <c r="AB25" s="163">
        <v>15</v>
      </c>
      <c r="AC25" s="163">
        <v>10</v>
      </c>
      <c r="AD25" s="163">
        <v>8</v>
      </c>
      <c r="AE25" s="163">
        <v>4</v>
      </c>
      <c r="AF25" s="163">
        <v>3</v>
      </c>
      <c r="AG25" s="163">
        <v>2</v>
      </c>
      <c r="AH25" s="163">
        <v>1</v>
      </c>
      <c r="AI25" s="163">
        <v>0</v>
      </c>
      <c r="AJ25" s="163">
        <v>0</v>
      </c>
      <c r="AK25" s="163">
        <v>0</v>
      </c>
    </row>
    <row r="26" spans="1:37" x14ac:dyDescent="0.25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Y26" s="163"/>
      <c r="Z26" s="163"/>
      <c r="AA26" s="163" t="s">
        <v>76</v>
      </c>
      <c r="AB26" s="163">
        <v>10</v>
      </c>
      <c r="AC26" s="163">
        <v>6</v>
      </c>
      <c r="AD26" s="163">
        <v>4</v>
      </c>
      <c r="AE26" s="163">
        <v>2</v>
      </c>
      <c r="AF26" s="163">
        <v>1</v>
      </c>
      <c r="AG26" s="163">
        <v>0</v>
      </c>
      <c r="AH26" s="163">
        <v>0</v>
      </c>
      <c r="AI26" s="163">
        <v>0</v>
      </c>
      <c r="AJ26" s="163">
        <v>0</v>
      </c>
      <c r="AK26" s="163">
        <v>0</v>
      </c>
    </row>
    <row r="27" spans="1:37" x14ac:dyDescent="0.25">
      <c r="A27" s="96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Y27" s="163"/>
      <c r="Z27" s="163"/>
      <c r="AA27" s="163" t="s">
        <v>77</v>
      </c>
      <c r="AB27" s="163">
        <v>3</v>
      </c>
      <c r="AC27" s="163">
        <v>2</v>
      </c>
      <c r="AD27" s="163">
        <v>1</v>
      </c>
      <c r="AE27" s="163">
        <v>0</v>
      </c>
      <c r="AF27" s="163">
        <v>0</v>
      </c>
      <c r="AG27" s="163">
        <v>0</v>
      </c>
      <c r="AH27" s="163">
        <v>0</v>
      </c>
      <c r="AI27" s="163">
        <v>0</v>
      </c>
      <c r="AJ27" s="163">
        <v>0</v>
      </c>
      <c r="AK27" s="163">
        <v>0</v>
      </c>
    </row>
    <row r="28" spans="1:37" x14ac:dyDescent="0.25">
      <c r="A28" s="96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</row>
    <row r="29" spans="1:37" x14ac:dyDescent="0.25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</row>
    <row r="30" spans="1:37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37" x14ac:dyDescent="0.25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</row>
    <row r="32" spans="1:37" x14ac:dyDescent="0.25">
      <c r="A32" s="96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5"/>
      <c r="M32" s="95"/>
    </row>
    <row r="33" spans="1:18" x14ac:dyDescent="0.25">
      <c r="A33" s="45" t="s">
        <v>22</v>
      </c>
      <c r="B33" s="46"/>
      <c r="C33" s="75"/>
      <c r="D33" s="122" t="s">
        <v>0</v>
      </c>
      <c r="E33" s="123" t="s">
        <v>24</v>
      </c>
      <c r="F33" s="137"/>
      <c r="G33" s="122" t="s">
        <v>0</v>
      </c>
      <c r="H33" s="123" t="s">
        <v>31</v>
      </c>
      <c r="I33" s="56"/>
      <c r="J33" s="123" t="s">
        <v>32</v>
      </c>
      <c r="K33" s="55" t="s">
        <v>33</v>
      </c>
      <c r="L33" s="29"/>
      <c r="M33" s="181"/>
      <c r="N33" s="180"/>
      <c r="P33" s="118"/>
      <c r="Q33" s="118"/>
      <c r="R33" s="119"/>
    </row>
    <row r="34" spans="1:18" x14ac:dyDescent="0.25">
      <c r="A34" s="100" t="s">
        <v>23</v>
      </c>
      <c r="B34" s="101"/>
      <c r="C34" s="102"/>
      <c r="D34" s="124"/>
      <c r="E34" s="415"/>
      <c r="F34" s="415"/>
      <c r="G34" s="131" t="s">
        <v>1</v>
      </c>
      <c r="H34" s="101"/>
      <c r="I34" s="125"/>
      <c r="J34" s="132"/>
      <c r="K34" s="98" t="s">
        <v>25</v>
      </c>
      <c r="L34" s="138"/>
      <c r="M34" s="128"/>
      <c r="P34" s="120"/>
      <c r="Q34" s="120"/>
      <c r="R34" s="48"/>
    </row>
    <row r="35" spans="1:18" x14ac:dyDescent="0.25">
      <c r="A35" s="103" t="s">
        <v>30</v>
      </c>
      <c r="B35" s="54"/>
      <c r="C35" s="104"/>
      <c r="D35" s="127"/>
      <c r="E35" s="410"/>
      <c r="F35" s="410"/>
      <c r="G35" s="133" t="s">
        <v>2</v>
      </c>
      <c r="H35" s="36"/>
      <c r="I35" s="97"/>
      <c r="J35" s="37"/>
      <c r="K35" s="135"/>
      <c r="L35" s="95"/>
      <c r="M35" s="130"/>
      <c r="P35" s="48"/>
      <c r="Q35" s="47"/>
      <c r="R35" s="48"/>
    </row>
    <row r="36" spans="1:18" x14ac:dyDescent="0.25">
      <c r="A36" s="67"/>
      <c r="B36" s="68"/>
      <c r="C36" s="69"/>
      <c r="D36" s="127"/>
      <c r="E36" s="38"/>
      <c r="F36" s="96"/>
      <c r="G36" s="133" t="s">
        <v>3</v>
      </c>
      <c r="H36" s="36"/>
      <c r="I36" s="97"/>
      <c r="J36" s="37"/>
      <c r="K36" s="98" t="s">
        <v>26</v>
      </c>
      <c r="L36" s="138"/>
      <c r="M36" s="126"/>
      <c r="P36" s="120"/>
      <c r="Q36" s="120"/>
      <c r="R36" s="48"/>
    </row>
    <row r="37" spans="1:18" x14ac:dyDescent="0.25">
      <c r="A37" s="49"/>
      <c r="B37" s="44"/>
      <c r="C37" s="50"/>
      <c r="D37" s="127"/>
      <c r="E37" s="38"/>
      <c r="F37" s="96"/>
      <c r="G37" s="133" t="s">
        <v>4</v>
      </c>
      <c r="H37" s="36"/>
      <c r="I37" s="97"/>
      <c r="J37" s="37"/>
      <c r="K37" s="136"/>
      <c r="L37" s="96"/>
      <c r="M37" s="128"/>
      <c r="P37" s="48"/>
      <c r="Q37" s="47"/>
      <c r="R37" s="48"/>
    </row>
    <row r="38" spans="1:18" x14ac:dyDescent="0.25">
      <c r="A38" s="58"/>
      <c r="B38" s="70"/>
      <c r="C38" s="74"/>
      <c r="D38" s="127"/>
      <c r="E38" s="38"/>
      <c r="F38" s="96"/>
      <c r="G38" s="133" t="s">
        <v>5</v>
      </c>
      <c r="H38" s="36"/>
      <c r="I38" s="97"/>
      <c r="J38" s="37"/>
      <c r="K38" s="103"/>
      <c r="L38" s="95"/>
      <c r="M38" s="130"/>
      <c r="P38" s="48"/>
      <c r="Q38" s="47"/>
      <c r="R38" s="48"/>
    </row>
    <row r="39" spans="1:18" x14ac:dyDescent="0.25">
      <c r="A39" s="59"/>
      <c r="B39" s="20"/>
      <c r="C39" s="50"/>
      <c r="D39" s="127"/>
      <c r="E39" s="38"/>
      <c r="F39" s="96"/>
      <c r="G39" s="133" t="s">
        <v>6</v>
      </c>
      <c r="H39" s="36"/>
      <c r="I39" s="97"/>
      <c r="J39" s="37"/>
      <c r="K39" s="98" t="s">
        <v>21</v>
      </c>
      <c r="L39" s="138"/>
      <c r="M39" s="126"/>
      <c r="P39" s="120"/>
      <c r="Q39" s="120"/>
      <c r="R39" s="48"/>
    </row>
    <row r="40" spans="1:18" x14ac:dyDescent="0.25">
      <c r="A40" s="59"/>
      <c r="B40" s="20"/>
      <c r="C40" s="65"/>
      <c r="D40" s="127"/>
      <c r="E40" s="38"/>
      <c r="F40" s="96"/>
      <c r="G40" s="133" t="s">
        <v>7</v>
      </c>
      <c r="H40" s="36"/>
      <c r="I40" s="97"/>
      <c r="J40" s="37"/>
      <c r="K40" s="136"/>
      <c r="L40" s="96"/>
      <c r="M40" s="128"/>
      <c r="P40" s="48"/>
      <c r="Q40" s="47"/>
      <c r="R40" s="48"/>
    </row>
    <row r="41" spans="1:18" x14ac:dyDescent="0.25">
      <c r="A41" s="60"/>
      <c r="B41" s="57"/>
      <c r="C41" s="66"/>
      <c r="D41" s="129"/>
      <c r="E41" s="51"/>
      <c r="F41" s="95"/>
      <c r="G41" s="134" t="s">
        <v>8</v>
      </c>
      <c r="H41" s="54"/>
      <c r="I41" s="99"/>
      <c r="J41" s="52"/>
      <c r="K41" s="103">
        <f>L4</f>
        <v>0</v>
      </c>
      <c r="L41" s="95"/>
      <c r="M41" s="130"/>
      <c r="P41" s="48"/>
      <c r="Q41" s="47"/>
      <c r="R41" s="121"/>
    </row>
  </sheetData>
  <mergeCells count="20">
    <mergeCell ref="B18:C18"/>
    <mergeCell ref="F19:G19"/>
    <mergeCell ref="A1:F1"/>
    <mergeCell ref="E34:F34"/>
    <mergeCell ref="B19:C19"/>
    <mergeCell ref="B20:C20"/>
    <mergeCell ref="B21:C21"/>
    <mergeCell ref="D21:E21"/>
    <mergeCell ref="D19:E19"/>
    <mergeCell ref="A4:C4"/>
    <mergeCell ref="D18:E18"/>
    <mergeCell ref="F18:G18"/>
    <mergeCell ref="D20:E20"/>
    <mergeCell ref="F20:G20"/>
    <mergeCell ref="H20:I20"/>
    <mergeCell ref="E35:F35"/>
    <mergeCell ref="F21:G21"/>
    <mergeCell ref="H21:I21"/>
    <mergeCell ref="H18:I18"/>
    <mergeCell ref="H19:I19"/>
  </mergeCells>
  <phoneticPr fontId="35" type="noConversion"/>
  <conditionalFormatting sqref="E7 E9 E11">
    <cfRule type="cellIs" dxfId="63" priority="1" stopIfTrue="1" operator="equal">
      <formula>"Bye"</formula>
    </cfRule>
  </conditionalFormatting>
  <conditionalFormatting sqref="R41">
    <cfRule type="expression" dxfId="62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2">
    <tabColor indexed="11"/>
  </sheetPr>
  <dimension ref="A1:AK41"/>
  <sheetViews>
    <sheetView workbookViewId="0">
      <selection activeCell="G8" sqref="G8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414" t="str">
        <f>Altalanos!$A$6</f>
        <v>Tenisz Diákolimpia B-A-Z. Vármegyei Döntő</v>
      </c>
      <c r="B1" s="414"/>
      <c r="C1" s="414"/>
      <c r="D1" s="414"/>
      <c r="E1" s="414"/>
      <c r="F1" s="414"/>
      <c r="G1" s="79"/>
      <c r="H1" s="82" t="s">
        <v>29</v>
      </c>
      <c r="I1" s="80"/>
      <c r="J1" s="81"/>
      <c r="L1" s="83"/>
      <c r="M1" s="84"/>
      <c r="N1" s="41"/>
      <c r="O1" s="41" t="s">
        <v>9</v>
      </c>
      <c r="P1" s="41"/>
      <c r="Q1" s="40"/>
      <c r="R1" s="41"/>
      <c r="AB1" s="169" t="str">
        <f>IF(Y5=1,CONCATENATE(VLOOKUP(Y3,AA16:AH27,2)),CONCATENATE(VLOOKUP(Y3,AA2:AK13,2)))</f>
        <v>150</v>
      </c>
      <c r="AC1" s="169" t="str">
        <f>IF(Y5=1,CONCATENATE(VLOOKUP(Y3,AA16:AK27,3)),CONCATENATE(VLOOKUP(Y3,AA2:AK13,3)))</f>
        <v>120</v>
      </c>
      <c r="AD1" s="169" t="str">
        <f>IF(Y5=1,CONCATENATE(VLOOKUP(Y3,AA16:AK27,4)),CONCATENATE(VLOOKUP(Y3,AA2:AK13,4)))</f>
        <v>100</v>
      </c>
      <c r="AE1" s="169" t="str">
        <f>IF(Y5=1,CONCATENATE(VLOOKUP(Y3,AA16:AK27,5)),CONCATENATE(VLOOKUP(Y3,AA2:AK13,5)))</f>
        <v>80</v>
      </c>
      <c r="AF1" s="169" t="str">
        <f>IF(Y5=1,CONCATENATE(VLOOKUP(Y3,AA16:AK27,6)),CONCATENATE(VLOOKUP(Y3,AA2:AK13,6)))</f>
        <v>70</v>
      </c>
      <c r="AG1" s="169" t="str">
        <f>IF(Y5=1,CONCATENATE(VLOOKUP(Y3,AA16:AK27,7)),CONCATENATE(VLOOKUP(Y3,AA2:AK13,7)))</f>
        <v>60</v>
      </c>
      <c r="AH1" s="169" t="str">
        <f>IF(Y5=1,CONCATENATE(VLOOKUP(Y3,AA16:AK27,8)),CONCATENATE(VLOOKUP(Y3,AA2:AK13,8)))</f>
        <v>55</v>
      </c>
      <c r="AI1" s="169" t="str">
        <f>IF(Y5=1,CONCATENATE(VLOOKUP(Y3,AA16:AK27,9)),CONCATENATE(VLOOKUP(Y3,AA2:AK13,9)))</f>
        <v>50</v>
      </c>
      <c r="AJ1" s="169" t="str">
        <f>IF(Y5=1,CONCATENATE(VLOOKUP(Y3,AA16:AK27,10)),CONCATENATE(VLOOKUP(Y3,AA2:AK13,10)))</f>
        <v>45</v>
      </c>
      <c r="AK1" s="169" t="str">
        <f>IF(Y5=1,CONCATENATE(VLOOKUP(Y3,AA16:AK27,11)),CONCATENATE(VLOOKUP(Y3,AA2:AK13,11)))</f>
        <v>40</v>
      </c>
    </row>
    <row r="2" spans="1:37" x14ac:dyDescent="0.25">
      <c r="A2" s="85" t="s">
        <v>28</v>
      </c>
      <c r="B2" s="86"/>
      <c r="C2" s="86"/>
      <c r="D2" s="86"/>
      <c r="E2" s="86" t="s">
        <v>500</v>
      </c>
      <c r="F2" s="86"/>
      <c r="G2" s="87"/>
      <c r="H2" s="88"/>
      <c r="I2" s="88"/>
      <c r="J2" s="89"/>
      <c r="K2" s="83"/>
      <c r="L2" s="83"/>
      <c r="M2" s="83"/>
      <c r="N2" s="42"/>
      <c r="O2" s="39"/>
      <c r="P2" s="42"/>
      <c r="Q2" s="39"/>
      <c r="R2" s="42"/>
      <c r="Y2" s="164"/>
      <c r="Z2" s="163"/>
      <c r="AA2" s="163" t="s">
        <v>38</v>
      </c>
      <c r="AB2" s="154">
        <v>150</v>
      </c>
      <c r="AC2" s="154">
        <v>120</v>
      </c>
      <c r="AD2" s="154">
        <v>100</v>
      </c>
      <c r="AE2" s="154">
        <v>80</v>
      </c>
      <c r="AF2" s="154">
        <v>70</v>
      </c>
      <c r="AG2" s="154">
        <v>60</v>
      </c>
      <c r="AH2" s="154">
        <v>55</v>
      </c>
      <c r="AI2" s="154">
        <v>50</v>
      </c>
      <c r="AJ2" s="154">
        <v>45</v>
      </c>
      <c r="AK2" s="154">
        <v>40</v>
      </c>
    </row>
    <row r="3" spans="1:37" x14ac:dyDescent="0.25">
      <c r="A3" s="34" t="s">
        <v>16</v>
      </c>
      <c r="B3" s="34"/>
      <c r="C3" s="34"/>
      <c r="D3" s="34"/>
      <c r="E3" s="34" t="s">
        <v>14</v>
      </c>
      <c r="F3" s="34"/>
      <c r="G3" s="34"/>
      <c r="H3" s="34" t="s">
        <v>18</v>
      </c>
      <c r="I3" s="34"/>
      <c r="J3" s="43"/>
      <c r="K3" s="34"/>
      <c r="L3" s="35"/>
      <c r="M3" s="35" t="s">
        <v>19</v>
      </c>
      <c r="N3" s="112"/>
      <c r="O3" s="111"/>
      <c r="P3" s="112"/>
      <c r="Q3" s="153" t="s">
        <v>52</v>
      </c>
      <c r="R3" s="154" t="s">
        <v>58</v>
      </c>
      <c r="S3" s="154" t="s">
        <v>53</v>
      </c>
      <c r="Y3" s="163" t="str">
        <f>IF(H4="OB","A",IF(H4="IX","W",H4))</f>
        <v>B</v>
      </c>
      <c r="Z3" s="163"/>
      <c r="AA3" s="163" t="s">
        <v>68</v>
      </c>
      <c r="AB3" s="154">
        <v>120</v>
      </c>
      <c r="AC3" s="154">
        <v>90</v>
      </c>
      <c r="AD3" s="154">
        <v>65</v>
      </c>
      <c r="AE3" s="154">
        <v>55</v>
      </c>
      <c r="AF3" s="154">
        <v>50</v>
      </c>
      <c r="AG3" s="154">
        <v>45</v>
      </c>
      <c r="AH3" s="154">
        <v>40</v>
      </c>
      <c r="AI3" s="154">
        <v>35</v>
      </c>
      <c r="AJ3" s="154">
        <v>25</v>
      </c>
      <c r="AK3" s="154">
        <v>20</v>
      </c>
    </row>
    <row r="4" spans="1:37" ht="13.8" thickBot="1" x14ac:dyDescent="0.3">
      <c r="A4" s="417" t="str">
        <f>Altalanos!$A$10</f>
        <v>2024.05.02-03.</v>
      </c>
      <c r="B4" s="417"/>
      <c r="C4" s="417"/>
      <c r="D4" s="90"/>
      <c r="E4" s="91" t="str">
        <f>Altalanos!$C$10</f>
        <v>Kazincbarcika</v>
      </c>
      <c r="F4" s="91"/>
      <c r="G4" s="91"/>
      <c r="H4" s="93" t="s">
        <v>39</v>
      </c>
      <c r="I4" s="91"/>
      <c r="J4" s="92"/>
      <c r="K4" s="93"/>
      <c r="L4" s="166"/>
      <c r="M4" s="94">
        <f>Altalanos!$E$10</f>
        <v>0</v>
      </c>
      <c r="N4" s="114"/>
      <c r="O4" s="115"/>
      <c r="P4" s="114"/>
      <c r="Q4" s="155" t="s">
        <v>59</v>
      </c>
      <c r="R4" s="156" t="s">
        <v>54</v>
      </c>
      <c r="S4" s="156" t="s">
        <v>55</v>
      </c>
      <c r="Y4" s="163"/>
      <c r="Z4" s="163"/>
      <c r="AA4" s="163" t="s">
        <v>69</v>
      </c>
      <c r="AB4" s="154">
        <v>90</v>
      </c>
      <c r="AC4" s="154">
        <v>60</v>
      </c>
      <c r="AD4" s="154">
        <v>45</v>
      </c>
      <c r="AE4" s="154">
        <v>34</v>
      </c>
      <c r="AF4" s="154">
        <v>27</v>
      </c>
      <c r="AG4" s="154">
        <v>22</v>
      </c>
      <c r="AH4" s="154">
        <v>18</v>
      </c>
      <c r="AI4" s="154">
        <v>15</v>
      </c>
      <c r="AJ4" s="154">
        <v>12</v>
      </c>
      <c r="AK4" s="154">
        <v>9</v>
      </c>
    </row>
    <row r="5" spans="1:37" x14ac:dyDescent="0.25">
      <c r="A5" s="29"/>
      <c r="B5" s="29" t="s">
        <v>27</v>
      </c>
      <c r="C5" s="107" t="s">
        <v>36</v>
      </c>
      <c r="D5" s="29" t="s">
        <v>22</v>
      </c>
      <c r="E5" s="29" t="s">
        <v>41</v>
      </c>
      <c r="F5" s="29"/>
      <c r="G5" s="29" t="s">
        <v>17</v>
      </c>
      <c r="H5" s="29"/>
      <c r="I5" s="29" t="s">
        <v>20</v>
      </c>
      <c r="J5" s="29"/>
      <c r="K5" s="140" t="s">
        <v>42</v>
      </c>
      <c r="L5" s="140" t="s">
        <v>43</v>
      </c>
      <c r="M5" s="140" t="s">
        <v>44</v>
      </c>
      <c r="Q5" s="157" t="s">
        <v>60</v>
      </c>
      <c r="R5" s="158" t="s">
        <v>56</v>
      </c>
      <c r="S5" s="158" t="s">
        <v>57</v>
      </c>
      <c r="Y5" s="163">
        <f>IF(OR(Altalanos!$A$8="F1",Altalanos!$A$8="F2",Altalanos!$A$8="N1",Altalanos!$A$8="N2"),1,2)</f>
        <v>2</v>
      </c>
      <c r="Z5" s="163"/>
      <c r="AA5" s="163" t="s">
        <v>70</v>
      </c>
      <c r="AB5" s="154">
        <v>60</v>
      </c>
      <c r="AC5" s="154">
        <v>40</v>
      </c>
      <c r="AD5" s="154">
        <v>30</v>
      </c>
      <c r="AE5" s="154">
        <v>20</v>
      </c>
      <c r="AF5" s="154">
        <v>18</v>
      </c>
      <c r="AG5" s="154">
        <v>15</v>
      </c>
      <c r="AH5" s="154">
        <v>12</v>
      </c>
      <c r="AI5" s="154">
        <v>10</v>
      </c>
      <c r="AJ5" s="154">
        <v>8</v>
      </c>
      <c r="AK5" s="154">
        <v>6</v>
      </c>
    </row>
    <row r="6" spans="1:37" x14ac:dyDescent="0.25">
      <c r="A6" s="96"/>
      <c r="B6" s="96"/>
      <c r="C6" s="139"/>
      <c r="D6" s="96"/>
      <c r="E6" s="96"/>
      <c r="F6" s="96"/>
      <c r="G6" s="96"/>
      <c r="H6" s="96"/>
      <c r="I6" s="96"/>
      <c r="J6" s="96"/>
      <c r="K6" s="96"/>
      <c r="L6" s="96"/>
      <c r="M6" s="96"/>
      <c r="Y6" s="163"/>
      <c r="Z6" s="163"/>
      <c r="AA6" s="163" t="s">
        <v>71</v>
      </c>
      <c r="AB6" s="154">
        <v>40</v>
      </c>
      <c r="AC6" s="154">
        <v>25</v>
      </c>
      <c r="AD6" s="154">
        <v>18</v>
      </c>
      <c r="AE6" s="154">
        <v>13</v>
      </c>
      <c r="AF6" s="154">
        <v>10</v>
      </c>
      <c r="AG6" s="154">
        <v>8</v>
      </c>
      <c r="AH6" s="154">
        <v>6</v>
      </c>
      <c r="AI6" s="154">
        <v>5</v>
      </c>
      <c r="AJ6" s="154">
        <v>4</v>
      </c>
      <c r="AK6" s="154">
        <v>3</v>
      </c>
    </row>
    <row r="7" spans="1:37" x14ac:dyDescent="0.25">
      <c r="A7" s="116" t="s">
        <v>38</v>
      </c>
      <c r="B7" s="141"/>
      <c r="C7" s="143" t="str">
        <f>IF($B7="","",VLOOKUP($B7,#REF!,5))</f>
        <v/>
      </c>
      <c r="D7" s="143" t="str">
        <f>IF($B7="","",VLOOKUP($B7,#REF!,15))</f>
        <v/>
      </c>
      <c r="E7" s="418" t="s">
        <v>274</v>
      </c>
      <c r="F7" s="419"/>
      <c r="G7" s="418" t="s">
        <v>275</v>
      </c>
      <c r="H7" s="419"/>
      <c r="I7" s="144" t="str">
        <f>IF($B7="","",VLOOKUP($B7,#REF!,4))</f>
        <v/>
      </c>
      <c r="J7" s="96"/>
      <c r="K7" s="170"/>
      <c r="L7" s="165" t="str">
        <f>IF(K7="","",CONCATENATE(VLOOKUP($Y$3,$AB$1:$AK$1,K7)," pont"))</f>
        <v/>
      </c>
      <c r="M7" s="171"/>
      <c r="Y7" s="163"/>
      <c r="Z7" s="163"/>
      <c r="AA7" s="163" t="s">
        <v>72</v>
      </c>
      <c r="AB7" s="154">
        <v>25</v>
      </c>
      <c r="AC7" s="154">
        <v>15</v>
      </c>
      <c r="AD7" s="154">
        <v>13</v>
      </c>
      <c r="AE7" s="154">
        <v>8</v>
      </c>
      <c r="AF7" s="154">
        <v>6</v>
      </c>
      <c r="AG7" s="154">
        <v>4</v>
      </c>
      <c r="AH7" s="154">
        <v>3</v>
      </c>
      <c r="AI7" s="154">
        <v>2</v>
      </c>
      <c r="AJ7" s="154">
        <v>1</v>
      </c>
      <c r="AK7" s="154">
        <v>0</v>
      </c>
    </row>
    <row r="8" spans="1:37" x14ac:dyDescent="0.25">
      <c r="A8" s="116"/>
      <c r="B8" s="142"/>
      <c r="C8" s="145"/>
      <c r="D8" s="145"/>
      <c r="E8" s="145"/>
      <c r="F8" s="145"/>
      <c r="G8" s="145"/>
      <c r="H8" s="145"/>
      <c r="I8" s="145"/>
      <c r="J8" s="96"/>
      <c r="K8" s="116"/>
      <c r="L8" s="116"/>
      <c r="M8" s="172"/>
      <c r="Y8" s="163"/>
      <c r="Z8" s="163"/>
      <c r="AA8" s="163" t="s">
        <v>73</v>
      </c>
      <c r="AB8" s="154">
        <v>15</v>
      </c>
      <c r="AC8" s="154">
        <v>10</v>
      </c>
      <c r="AD8" s="154">
        <v>7</v>
      </c>
      <c r="AE8" s="154">
        <v>5</v>
      </c>
      <c r="AF8" s="154">
        <v>4</v>
      </c>
      <c r="AG8" s="154">
        <v>3</v>
      </c>
      <c r="AH8" s="154">
        <v>2</v>
      </c>
      <c r="AI8" s="154">
        <v>1</v>
      </c>
      <c r="AJ8" s="154">
        <v>0</v>
      </c>
      <c r="AK8" s="154">
        <v>0</v>
      </c>
    </row>
    <row r="9" spans="1:37" x14ac:dyDescent="0.25">
      <c r="A9" s="116" t="s">
        <v>39</v>
      </c>
      <c r="B9" s="141"/>
      <c r="C9" s="143" t="str">
        <f>IF($B9="","",VLOOKUP($B9,#REF!,5))</f>
        <v/>
      </c>
      <c r="D9" s="143" t="str">
        <f>IF($B9="","",VLOOKUP($B9,#REF!,15))</f>
        <v/>
      </c>
      <c r="E9" s="418" t="s">
        <v>276</v>
      </c>
      <c r="F9" s="419"/>
      <c r="G9" s="418" t="s">
        <v>277</v>
      </c>
      <c r="H9" s="419"/>
      <c r="I9" s="144" t="str">
        <f>IF($B9="","",VLOOKUP($B9,#REF!,4))</f>
        <v/>
      </c>
      <c r="J9" s="96"/>
      <c r="K9" s="170"/>
      <c r="L9" s="165" t="str">
        <f>IF(K9="","",CONCATENATE(VLOOKUP($Y$3,$AB$1:$AK$1,K9)," pont"))</f>
        <v/>
      </c>
      <c r="M9" s="171"/>
      <c r="Y9" s="163"/>
      <c r="Z9" s="163"/>
      <c r="AA9" s="163" t="s">
        <v>74</v>
      </c>
      <c r="AB9" s="154">
        <v>10</v>
      </c>
      <c r="AC9" s="154">
        <v>6</v>
      </c>
      <c r="AD9" s="154">
        <v>4</v>
      </c>
      <c r="AE9" s="154">
        <v>2</v>
      </c>
      <c r="AF9" s="154">
        <v>1</v>
      </c>
      <c r="AG9" s="154">
        <v>0</v>
      </c>
      <c r="AH9" s="154">
        <v>0</v>
      </c>
      <c r="AI9" s="154">
        <v>0</v>
      </c>
      <c r="AJ9" s="154">
        <v>0</v>
      </c>
      <c r="AK9" s="154">
        <v>0</v>
      </c>
    </row>
    <row r="10" spans="1:37" x14ac:dyDescent="0.25">
      <c r="A10" s="116"/>
      <c r="B10" s="142"/>
      <c r="C10" s="145"/>
      <c r="D10" s="145"/>
      <c r="E10" s="145"/>
      <c r="F10" s="145"/>
      <c r="G10" s="145"/>
      <c r="H10" s="145"/>
      <c r="I10" s="145"/>
      <c r="J10" s="96"/>
      <c r="K10" s="116"/>
      <c r="L10" s="116"/>
      <c r="M10" s="172"/>
      <c r="Y10" s="163"/>
      <c r="Z10" s="163"/>
      <c r="AA10" s="163" t="s">
        <v>75</v>
      </c>
      <c r="AB10" s="154">
        <v>6</v>
      </c>
      <c r="AC10" s="154">
        <v>3</v>
      </c>
      <c r="AD10" s="154">
        <v>2</v>
      </c>
      <c r="AE10" s="154">
        <v>1</v>
      </c>
      <c r="AF10" s="154">
        <v>0</v>
      </c>
      <c r="AG10" s="154">
        <v>0</v>
      </c>
      <c r="AH10" s="154">
        <v>0</v>
      </c>
      <c r="AI10" s="154">
        <v>0</v>
      </c>
      <c r="AJ10" s="154">
        <v>0</v>
      </c>
      <c r="AK10" s="154">
        <v>0</v>
      </c>
    </row>
    <row r="11" spans="1:37" x14ac:dyDescent="0.25">
      <c r="A11" s="116" t="s">
        <v>40</v>
      </c>
      <c r="B11" s="141"/>
      <c r="C11" s="143" t="str">
        <f>IF($B11="","",VLOOKUP($B11,#REF!,5))</f>
        <v/>
      </c>
      <c r="D11" s="143" t="str">
        <f>IF($B11="","",VLOOKUP($B11,#REF!,15))</f>
        <v/>
      </c>
      <c r="E11" s="418" t="s">
        <v>278</v>
      </c>
      <c r="F11" s="419"/>
      <c r="G11" s="418" t="s">
        <v>279</v>
      </c>
      <c r="H11" s="419"/>
      <c r="I11" s="144" t="str">
        <f>IF($B11="","",VLOOKUP($B11,#REF!,4))</f>
        <v/>
      </c>
      <c r="J11" s="96"/>
      <c r="K11" s="170"/>
      <c r="L11" s="165" t="str">
        <f>IF(K11="","",CONCATENATE(VLOOKUP($Y$3,$AB$1:$AK$1,K11)," pont"))</f>
        <v/>
      </c>
      <c r="M11" s="171"/>
      <c r="Y11" s="163"/>
      <c r="Z11" s="163"/>
      <c r="AA11" s="163" t="s">
        <v>80</v>
      </c>
      <c r="AB11" s="154">
        <v>3</v>
      </c>
      <c r="AC11" s="154">
        <v>2</v>
      </c>
      <c r="AD11" s="154">
        <v>1</v>
      </c>
      <c r="AE11" s="154">
        <v>0</v>
      </c>
      <c r="AF11" s="154">
        <v>0</v>
      </c>
      <c r="AG11" s="154">
        <v>0</v>
      </c>
      <c r="AH11" s="154">
        <v>0</v>
      </c>
      <c r="AI11" s="154">
        <v>0</v>
      </c>
      <c r="AJ11" s="154">
        <v>0</v>
      </c>
      <c r="AK11" s="154">
        <v>0</v>
      </c>
    </row>
    <row r="12" spans="1:37" x14ac:dyDescent="0.25">
      <c r="A12" s="116"/>
      <c r="B12" s="142"/>
      <c r="C12" s="145"/>
      <c r="D12" s="145"/>
      <c r="E12" s="145"/>
      <c r="F12" s="145"/>
      <c r="G12" s="145"/>
      <c r="H12" s="145"/>
      <c r="I12" s="145"/>
      <c r="J12" s="96"/>
      <c r="K12" s="139"/>
      <c r="L12" s="139"/>
      <c r="M12" s="172"/>
      <c r="Y12" s="163"/>
      <c r="Z12" s="163"/>
      <c r="AA12" s="163" t="s">
        <v>76</v>
      </c>
      <c r="AB12" s="168">
        <v>0</v>
      </c>
      <c r="AC12" s="168">
        <v>0</v>
      </c>
      <c r="AD12" s="168">
        <v>0</v>
      </c>
      <c r="AE12" s="168">
        <v>0</v>
      </c>
      <c r="AF12" s="168">
        <v>0</v>
      </c>
      <c r="AG12" s="168">
        <v>0</v>
      </c>
      <c r="AH12" s="168">
        <v>0</v>
      </c>
      <c r="AI12" s="168">
        <v>0</v>
      </c>
      <c r="AJ12" s="168">
        <v>0</v>
      </c>
      <c r="AK12" s="168">
        <v>0</v>
      </c>
    </row>
    <row r="13" spans="1:37" x14ac:dyDescent="0.25">
      <c r="A13" s="116" t="s">
        <v>45</v>
      </c>
      <c r="B13" s="141"/>
      <c r="C13" s="143" t="str">
        <f>IF($B13="","",VLOOKUP($B13,#REF!,5))</f>
        <v/>
      </c>
      <c r="D13" s="143" t="str">
        <f>IF($B13="","",VLOOKUP($B13,#REF!,15))</f>
        <v/>
      </c>
      <c r="E13" s="418" t="s">
        <v>280</v>
      </c>
      <c r="F13" s="419"/>
      <c r="G13" s="418" t="s">
        <v>281</v>
      </c>
      <c r="H13" s="419"/>
      <c r="I13" s="144" t="str">
        <f>IF($B13="","",VLOOKUP($B13,#REF!,4))</f>
        <v/>
      </c>
      <c r="J13" s="96"/>
      <c r="K13" s="170"/>
      <c r="L13" s="165" t="str">
        <f>IF(K13="","",CONCATENATE(VLOOKUP($Y$3,$AB$1:$AK$1,K13)," pont"))</f>
        <v/>
      </c>
      <c r="M13" s="171"/>
      <c r="Y13" s="163"/>
      <c r="Z13" s="163"/>
      <c r="AA13" s="163" t="s">
        <v>77</v>
      </c>
      <c r="AB13" s="168">
        <v>0</v>
      </c>
      <c r="AC13" s="168">
        <v>0</v>
      </c>
      <c r="AD13" s="168">
        <v>0</v>
      </c>
      <c r="AE13" s="168">
        <v>0</v>
      </c>
      <c r="AF13" s="168">
        <v>0</v>
      </c>
      <c r="AG13" s="168">
        <v>0</v>
      </c>
      <c r="AH13" s="168">
        <v>0</v>
      </c>
      <c r="AI13" s="168">
        <v>0</v>
      </c>
      <c r="AJ13" s="168">
        <v>0</v>
      </c>
      <c r="AK13" s="168">
        <v>0</v>
      </c>
    </row>
    <row r="14" spans="1:37" x14ac:dyDescent="0.25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</row>
    <row r="15" spans="1:37" x14ac:dyDescent="0.25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</row>
    <row r="16" spans="1:37" x14ac:dyDescent="0.25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Y16" s="163"/>
      <c r="Z16" s="163"/>
      <c r="AA16" s="163" t="s">
        <v>38</v>
      </c>
      <c r="AB16" s="163">
        <v>300</v>
      </c>
      <c r="AC16" s="163">
        <v>250</v>
      </c>
      <c r="AD16" s="163">
        <v>220</v>
      </c>
      <c r="AE16" s="163">
        <v>180</v>
      </c>
      <c r="AF16" s="163">
        <v>160</v>
      </c>
      <c r="AG16" s="163">
        <v>150</v>
      </c>
      <c r="AH16" s="163">
        <v>140</v>
      </c>
      <c r="AI16" s="163">
        <v>130</v>
      </c>
      <c r="AJ16" s="163">
        <v>120</v>
      </c>
      <c r="AK16" s="163">
        <v>110</v>
      </c>
    </row>
    <row r="17" spans="1:37" x14ac:dyDescent="0.25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Y17" s="163"/>
      <c r="Z17" s="163"/>
      <c r="AA17" s="163" t="s">
        <v>68</v>
      </c>
      <c r="AB17" s="163">
        <v>250</v>
      </c>
      <c r="AC17" s="163">
        <v>200</v>
      </c>
      <c r="AD17" s="163">
        <v>160</v>
      </c>
      <c r="AE17" s="163">
        <v>140</v>
      </c>
      <c r="AF17" s="163">
        <v>120</v>
      </c>
      <c r="AG17" s="163">
        <v>110</v>
      </c>
      <c r="AH17" s="163">
        <v>100</v>
      </c>
      <c r="AI17" s="163">
        <v>90</v>
      </c>
      <c r="AJ17" s="163">
        <v>80</v>
      </c>
      <c r="AK17" s="163">
        <v>70</v>
      </c>
    </row>
    <row r="18" spans="1:37" ht="18.75" customHeight="1" x14ac:dyDescent="0.25">
      <c r="A18" s="96"/>
      <c r="B18" s="413"/>
      <c r="C18" s="413"/>
      <c r="D18" s="412" t="str">
        <f>E7</f>
        <v>Jóna</v>
      </c>
      <c r="E18" s="412"/>
      <c r="F18" s="412" t="str">
        <f>E9</f>
        <v xml:space="preserve">Bukó </v>
      </c>
      <c r="G18" s="412"/>
      <c r="H18" s="412" t="str">
        <f>E11</f>
        <v>Bodolai</v>
      </c>
      <c r="I18" s="412"/>
      <c r="J18" s="412" t="str">
        <f>E13</f>
        <v xml:space="preserve">Győrfi </v>
      </c>
      <c r="K18" s="412"/>
      <c r="L18" s="96"/>
      <c r="M18" s="96"/>
      <c r="Y18" s="163"/>
      <c r="Z18" s="163"/>
      <c r="AA18" s="163" t="s">
        <v>69</v>
      </c>
      <c r="AB18" s="163">
        <v>200</v>
      </c>
      <c r="AC18" s="163">
        <v>150</v>
      </c>
      <c r="AD18" s="163">
        <v>130</v>
      </c>
      <c r="AE18" s="163">
        <v>110</v>
      </c>
      <c r="AF18" s="163">
        <v>95</v>
      </c>
      <c r="AG18" s="163">
        <v>80</v>
      </c>
      <c r="AH18" s="163">
        <v>70</v>
      </c>
      <c r="AI18" s="163">
        <v>60</v>
      </c>
      <c r="AJ18" s="163">
        <v>55</v>
      </c>
      <c r="AK18" s="163">
        <v>50</v>
      </c>
    </row>
    <row r="19" spans="1:37" ht="18.75" customHeight="1" x14ac:dyDescent="0.25">
      <c r="A19" s="146" t="s">
        <v>38</v>
      </c>
      <c r="B19" s="416" t="str">
        <f>E7</f>
        <v>Jóna</v>
      </c>
      <c r="C19" s="416"/>
      <c r="D19" s="411"/>
      <c r="E19" s="411"/>
      <c r="F19" s="409"/>
      <c r="G19" s="409"/>
      <c r="H19" s="409"/>
      <c r="I19" s="409"/>
      <c r="J19" s="412"/>
      <c r="K19" s="412"/>
      <c r="L19" s="96"/>
      <c r="M19" s="96"/>
      <c r="Y19" s="163"/>
      <c r="Z19" s="163"/>
      <c r="AA19" s="163" t="s">
        <v>70</v>
      </c>
      <c r="AB19" s="163">
        <v>150</v>
      </c>
      <c r="AC19" s="163">
        <v>120</v>
      </c>
      <c r="AD19" s="163">
        <v>100</v>
      </c>
      <c r="AE19" s="163">
        <v>80</v>
      </c>
      <c r="AF19" s="163">
        <v>70</v>
      </c>
      <c r="AG19" s="163">
        <v>60</v>
      </c>
      <c r="AH19" s="163">
        <v>55</v>
      </c>
      <c r="AI19" s="163">
        <v>50</v>
      </c>
      <c r="AJ19" s="163">
        <v>45</v>
      </c>
      <c r="AK19" s="163">
        <v>40</v>
      </c>
    </row>
    <row r="20" spans="1:37" ht="18.75" customHeight="1" x14ac:dyDescent="0.25">
      <c r="A20" s="146" t="s">
        <v>39</v>
      </c>
      <c r="B20" s="416" t="str">
        <f>E9</f>
        <v xml:space="preserve">Bukó </v>
      </c>
      <c r="C20" s="416"/>
      <c r="D20" s="409"/>
      <c r="E20" s="409"/>
      <c r="F20" s="411"/>
      <c r="G20" s="411"/>
      <c r="H20" s="409"/>
      <c r="I20" s="409"/>
      <c r="J20" s="409"/>
      <c r="K20" s="409"/>
      <c r="L20" s="96"/>
      <c r="M20" s="96"/>
      <c r="Y20" s="163"/>
      <c r="Z20" s="163"/>
      <c r="AA20" s="163" t="s">
        <v>71</v>
      </c>
      <c r="AB20" s="163">
        <v>120</v>
      </c>
      <c r="AC20" s="163">
        <v>90</v>
      </c>
      <c r="AD20" s="163">
        <v>65</v>
      </c>
      <c r="AE20" s="163">
        <v>55</v>
      </c>
      <c r="AF20" s="163">
        <v>50</v>
      </c>
      <c r="AG20" s="163">
        <v>45</v>
      </c>
      <c r="AH20" s="163">
        <v>40</v>
      </c>
      <c r="AI20" s="163">
        <v>35</v>
      </c>
      <c r="AJ20" s="163">
        <v>25</v>
      </c>
      <c r="AK20" s="163">
        <v>20</v>
      </c>
    </row>
    <row r="21" spans="1:37" ht="18.75" customHeight="1" x14ac:dyDescent="0.25">
      <c r="A21" s="146" t="s">
        <v>40</v>
      </c>
      <c r="B21" s="416" t="str">
        <f>E11</f>
        <v>Bodolai</v>
      </c>
      <c r="C21" s="416"/>
      <c r="D21" s="409"/>
      <c r="E21" s="409"/>
      <c r="F21" s="409"/>
      <c r="G21" s="409"/>
      <c r="H21" s="411"/>
      <c r="I21" s="411"/>
      <c r="J21" s="409"/>
      <c r="K21" s="409"/>
      <c r="L21" s="96"/>
      <c r="M21" s="96"/>
      <c r="Y21" s="163"/>
      <c r="Z21" s="163"/>
      <c r="AA21" s="163" t="s">
        <v>72</v>
      </c>
      <c r="AB21" s="163">
        <v>90</v>
      </c>
      <c r="AC21" s="163">
        <v>60</v>
      </c>
      <c r="AD21" s="163">
        <v>45</v>
      </c>
      <c r="AE21" s="163">
        <v>34</v>
      </c>
      <c r="AF21" s="163">
        <v>27</v>
      </c>
      <c r="AG21" s="163">
        <v>22</v>
      </c>
      <c r="AH21" s="163">
        <v>18</v>
      </c>
      <c r="AI21" s="163">
        <v>15</v>
      </c>
      <c r="AJ21" s="163">
        <v>12</v>
      </c>
      <c r="AK21" s="163">
        <v>9</v>
      </c>
    </row>
    <row r="22" spans="1:37" ht="18.75" customHeight="1" x14ac:dyDescent="0.25">
      <c r="A22" s="146" t="s">
        <v>45</v>
      </c>
      <c r="B22" s="416" t="str">
        <f>E13</f>
        <v xml:space="preserve">Győrfi </v>
      </c>
      <c r="C22" s="416"/>
      <c r="D22" s="409"/>
      <c r="E22" s="409"/>
      <c r="F22" s="409"/>
      <c r="G22" s="409"/>
      <c r="H22" s="412"/>
      <c r="I22" s="412"/>
      <c r="J22" s="411"/>
      <c r="K22" s="411"/>
      <c r="L22" s="96"/>
      <c r="M22" s="96"/>
      <c r="Y22" s="163"/>
      <c r="Z22" s="163"/>
      <c r="AA22" s="163" t="s">
        <v>73</v>
      </c>
      <c r="AB22" s="163">
        <v>60</v>
      </c>
      <c r="AC22" s="163">
        <v>40</v>
      </c>
      <c r="AD22" s="163">
        <v>30</v>
      </c>
      <c r="AE22" s="163">
        <v>20</v>
      </c>
      <c r="AF22" s="163">
        <v>18</v>
      </c>
      <c r="AG22" s="163">
        <v>15</v>
      </c>
      <c r="AH22" s="163">
        <v>12</v>
      </c>
      <c r="AI22" s="163">
        <v>10</v>
      </c>
      <c r="AJ22" s="163">
        <v>8</v>
      </c>
      <c r="AK22" s="163">
        <v>6</v>
      </c>
    </row>
    <row r="23" spans="1:37" x14ac:dyDescent="0.25">
      <c r="A23" s="96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Y23" s="163"/>
      <c r="Z23" s="163"/>
      <c r="AA23" s="163" t="s">
        <v>74</v>
      </c>
      <c r="AB23" s="163">
        <v>40</v>
      </c>
      <c r="AC23" s="163">
        <v>25</v>
      </c>
      <c r="AD23" s="163">
        <v>18</v>
      </c>
      <c r="AE23" s="163">
        <v>13</v>
      </c>
      <c r="AF23" s="163">
        <v>8</v>
      </c>
      <c r="AG23" s="163">
        <v>7</v>
      </c>
      <c r="AH23" s="163">
        <v>6</v>
      </c>
      <c r="AI23" s="163">
        <v>5</v>
      </c>
      <c r="AJ23" s="163">
        <v>4</v>
      </c>
      <c r="AK23" s="163">
        <v>3</v>
      </c>
    </row>
    <row r="24" spans="1:37" x14ac:dyDescent="0.25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Y24" s="163"/>
      <c r="Z24" s="163"/>
      <c r="AA24" s="163" t="s">
        <v>75</v>
      </c>
      <c r="AB24" s="163">
        <v>25</v>
      </c>
      <c r="AC24" s="163">
        <v>15</v>
      </c>
      <c r="AD24" s="163">
        <v>13</v>
      </c>
      <c r="AE24" s="163">
        <v>7</v>
      </c>
      <c r="AF24" s="163">
        <v>6</v>
      </c>
      <c r="AG24" s="163">
        <v>5</v>
      </c>
      <c r="AH24" s="163">
        <v>4</v>
      </c>
      <c r="AI24" s="163">
        <v>3</v>
      </c>
      <c r="AJ24" s="163">
        <v>2</v>
      </c>
      <c r="AK24" s="163">
        <v>1</v>
      </c>
    </row>
    <row r="25" spans="1:37" x14ac:dyDescent="0.25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Y25" s="163"/>
      <c r="Z25" s="163"/>
      <c r="AA25" s="163" t="s">
        <v>80</v>
      </c>
      <c r="AB25" s="163">
        <v>15</v>
      </c>
      <c r="AC25" s="163">
        <v>10</v>
      </c>
      <c r="AD25" s="163">
        <v>8</v>
      </c>
      <c r="AE25" s="163">
        <v>4</v>
      </c>
      <c r="AF25" s="163">
        <v>3</v>
      </c>
      <c r="AG25" s="163">
        <v>2</v>
      </c>
      <c r="AH25" s="163">
        <v>1</v>
      </c>
      <c r="AI25" s="163">
        <v>0</v>
      </c>
      <c r="AJ25" s="163">
        <v>0</v>
      </c>
      <c r="AK25" s="163">
        <v>0</v>
      </c>
    </row>
    <row r="26" spans="1:37" x14ac:dyDescent="0.25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Y26" s="163"/>
      <c r="Z26" s="163"/>
      <c r="AA26" s="163" t="s">
        <v>76</v>
      </c>
      <c r="AB26" s="163">
        <v>10</v>
      </c>
      <c r="AC26" s="163">
        <v>6</v>
      </c>
      <c r="AD26" s="163">
        <v>4</v>
      </c>
      <c r="AE26" s="163">
        <v>2</v>
      </c>
      <c r="AF26" s="163">
        <v>1</v>
      </c>
      <c r="AG26" s="163">
        <v>0</v>
      </c>
      <c r="AH26" s="163">
        <v>0</v>
      </c>
      <c r="AI26" s="163">
        <v>0</v>
      </c>
      <c r="AJ26" s="163">
        <v>0</v>
      </c>
      <c r="AK26" s="163">
        <v>0</v>
      </c>
    </row>
    <row r="27" spans="1:37" x14ac:dyDescent="0.25">
      <c r="A27" s="96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Y27" s="163"/>
      <c r="Z27" s="163"/>
      <c r="AA27" s="163" t="s">
        <v>77</v>
      </c>
      <c r="AB27" s="163">
        <v>3</v>
      </c>
      <c r="AC27" s="163">
        <v>2</v>
      </c>
      <c r="AD27" s="163">
        <v>1</v>
      </c>
      <c r="AE27" s="163">
        <v>0</v>
      </c>
      <c r="AF27" s="163">
        <v>0</v>
      </c>
      <c r="AG27" s="163">
        <v>0</v>
      </c>
      <c r="AH27" s="163">
        <v>0</v>
      </c>
      <c r="AI27" s="163">
        <v>0</v>
      </c>
      <c r="AJ27" s="163">
        <v>0</v>
      </c>
      <c r="AK27" s="163">
        <v>0</v>
      </c>
    </row>
    <row r="28" spans="1:37" x14ac:dyDescent="0.25">
      <c r="A28" s="96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</row>
    <row r="29" spans="1:37" x14ac:dyDescent="0.25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</row>
    <row r="30" spans="1:37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37" x14ac:dyDescent="0.25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</row>
    <row r="32" spans="1:37" x14ac:dyDescent="0.25">
      <c r="A32" s="96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5"/>
      <c r="M32" s="96"/>
    </row>
    <row r="33" spans="1:18" x14ac:dyDescent="0.25">
      <c r="A33" s="45" t="s">
        <v>22</v>
      </c>
      <c r="B33" s="46"/>
      <c r="C33" s="75"/>
      <c r="D33" s="122" t="s">
        <v>0</v>
      </c>
      <c r="E33" s="123" t="s">
        <v>24</v>
      </c>
      <c r="F33" s="137"/>
      <c r="G33" s="122" t="s">
        <v>0</v>
      </c>
      <c r="H33" s="123" t="s">
        <v>31</v>
      </c>
      <c r="I33" s="56"/>
      <c r="J33" s="123" t="s">
        <v>32</v>
      </c>
      <c r="K33" s="55" t="s">
        <v>33</v>
      </c>
      <c r="L33" s="29"/>
      <c r="M33" s="137"/>
      <c r="P33" s="118"/>
      <c r="Q33" s="118"/>
      <c r="R33" s="119"/>
    </row>
    <row r="34" spans="1:18" x14ac:dyDescent="0.25">
      <c r="A34" s="100" t="s">
        <v>23</v>
      </c>
      <c r="B34" s="101"/>
      <c r="C34" s="102"/>
      <c r="D34" s="124"/>
      <c r="E34" s="415"/>
      <c r="F34" s="415"/>
      <c r="G34" s="131" t="s">
        <v>1</v>
      </c>
      <c r="H34" s="101"/>
      <c r="I34" s="125"/>
      <c r="J34" s="132"/>
      <c r="K34" s="98" t="s">
        <v>25</v>
      </c>
      <c r="L34" s="138"/>
      <c r="M34" s="126"/>
      <c r="P34" s="120"/>
      <c r="Q34" s="120"/>
      <c r="R34" s="48"/>
    </row>
    <row r="35" spans="1:18" x14ac:dyDescent="0.25">
      <c r="A35" s="103" t="s">
        <v>30</v>
      </c>
      <c r="B35" s="54"/>
      <c r="C35" s="104"/>
      <c r="D35" s="127"/>
      <c r="E35" s="410"/>
      <c r="F35" s="410"/>
      <c r="G35" s="133" t="s">
        <v>2</v>
      </c>
      <c r="H35" s="36"/>
      <c r="I35" s="97"/>
      <c r="J35" s="37"/>
      <c r="K35" s="135"/>
      <c r="L35" s="95"/>
      <c r="M35" s="130"/>
      <c r="P35" s="48"/>
      <c r="Q35" s="47"/>
      <c r="R35" s="48"/>
    </row>
    <row r="36" spans="1:18" x14ac:dyDescent="0.25">
      <c r="A36" s="67"/>
      <c r="B36" s="68"/>
      <c r="C36" s="69"/>
      <c r="D36" s="127"/>
      <c r="E36" s="38"/>
      <c r="F36" s="96"/>
      <c r="G36" s="133" t="s">
        <v>3</v>
      </c>
      <c r="H36" s="36"/>
      <c r="I36" s="97"/>
      <c r="J36" s="37"/>
      <c r="K36" s="98" t="s">
        <v>26</v>
      </c>
      <c r="L36" s="138"/>
      <c r="M36" s="126"/>
      <c r="P36" s="120"/>
      <c r="Q36" s="120"/>
      <c r="R36" s="48"/>
    </row>
    <row r="37" spans="1:18" x14ac:dyDescent="0.25">
      <c r="A37" s="49"/>
      <c r="B37" s="44"/>
      <c r="C37" s="50"/>
      <c r="D37" s="127"/>
      <c r="E37" s="38"/>
      <c r="F37" s="96"/>
      <c r="G37" s="133" t="s">
        <v>4</v>
      </c>
      <c r="H37" s="36"/>
      <c r="I37" s="97"/>
      <c r="J37" s="37"/>
      <c r="K37" s="136"/>
      <c r="L37" s="96"/>
      <c r="M37" s="128"/>
      <c r="P37" s="48"/>
      <c r="Q37" s="47"/>
      <c r="R37" s="48"/>
    </row>
    <row r="38" spans="1:18" x14ac:dyDescent="0.25">
      <c r="A38" s="58"/>
      <c r="B38" s="70"/>
      <c r="C38" s="74"/>
      <c r="D38" s="127"/>
      <c r="E38" s="38"/>
      <c r="F38" s="96"/>
      <c r="G38" s="133" t="s">
        <v>5</v>
      </c>
      <c r="H38" s="36"/>
      <c r="I38" s="97"/>
      <c r="J38" s="37"/>
      <c r="K38" s="103"/>
      <c r="L38" s="95"/>
      <c r="M38" s="130"/>
      <c r="P38" s="48"/>
      <c r="Q38" s="47"/>
      <c r="R38" s="48"/>
    </row>
    <row r="39" spans="1:18" x14ac:dyDescent="0.25">
      <c r="A39" s="59"/>
      <c r="B39" s="20"/>
      <c r="C39" s="50"/>
      <c r="D39" s="127"/>
      <c r="E39" s="38"/>
      <c r="F39" s="96"/>
      <c r="G39" s="133" t="s">
        <v>6</v>
      </c>
      <c r="H39" s="36"/>
      <c r="I39" s="97"/>
      <c r="J39" s="37"/>
      <c r="K39" s="98" t="s">
        <v>21</v>
      </c>
      <c r="L39" s="138"/>
      <c r="M39" s="126"/>
      <c r="P39" s="120"/>
      <c r="Q39" s="120"/>
      <c r="R39" s="48"/>
    </row>
    <row r="40" spans="1:18" x14ac:dyDescent="0.25">
      <c r="A40" s="59"/>
      <c r="B40" s="20"/>
      <c r="C40" s="65"/>
      <c r="D40" s="127"/>
      <c r="E40" s="38"/>
      <c r="F40" s="96"/>
      <c r="G40" s="133" t="s">
        <v>7</v>
      </c>
      <c r="H40" s="36"/>
      <c r="I40" s="97"/>
      <c r="J40" s="37"/>
      <c r="K40" s="136"/>
      <c r="L40" s="96"/>
      <c r="M40" s="128"/>
      <c r="P40" s="48"/>
      <c r="Q40" s="47"/>
      <c r="R40" s="48"/>
    </row>
    <row r="41" spans="1:18" x14ac:dyDescent="0.25">
      <c r="A41" s="60"/>
      <c r="B41" s="57"/>
      <c r="C41" s="66"/>
      <c r="D41" s="129"/>
      <c r="E41" s="51"/>
      <c r="F41" s="95"/>
      <c r="G41" s="134" t="s">
        <v>8</v>
      </c>
      <c r="H41" s="54"/>
      <c r="I41" s="99"/>
      <c r="J41" s="52"/>
      <c r="K41" s="103">
        <f>M4</f>
        <v>0</v>
      </c>
      <c r="L41" s="95"/>
      <c r="M41" s="130"/>
      <c r="P41" s="48"/>
      <c r="Q41" s="47"/>
      <c r="R41" s="121"/>
    </row>
  </sheetData>
  <mergeCells count="37">
    <mergeCell ref="J18:K18"/>
    <mergeCell ref="D22:E22"/>
    <mergeCell ref="F22:G22"/>
    <mergeCell ref="H22:I22"/>
    <mergeCell ref="J19:K19"/>
    <mergeCell ref="J20:K20"/>
    <mergeCell ref="J21:K21"/>
    <mergeCell ref="J22:K22"/>
    <mergeCell ref="E35:F35"/>
    <mergeCell ref="E7:F7"/>
    <mergeCell ref="E9:F9"/>
    <mergeCell ref="E11:F11"/>
    <mergeCell ref="E13:F13"/>
    <mergeCell ref="D21:E21"/>
    <mergeCell ref="F21:G21"/>
    <mergeCell ref="B19:C19"/>
    <mergeCell ref="D19:E19"/>
    <mergeCell ref="F19:G19"/>
    <mergeCell ref="H19:I19"/>
    <mergeCell ref="E34:F34"/>
    <mergeCell ref="B22:C22"/>
    <mergeCell ref="B21:C21"/>
    <mergeCell ref="H21:I21"/>
    <mergeCell ref="B20:C20"/>
    <mergeCell ref="D20:E20"/>
    <mergeCell ref="F20:G20"/>
    <mergeCell ref="H20:I20"/>
    <mergeCell ref="A1:F1"/>
    <mergeCell ref="A4:C4"/>
    <mergeCell ref="B18:C18"/>
    <mergeCell ref="D18:E18"/>
    <mergeCell ref="F18:G18"/>
    <mergeCell ref="G7:H7"/>
    <mergeCell ref="G9:H9"/>
    <mergeCell ref="G11:H11"/>
    <mergeCell ref="G13:H13"/>
    <mergeCell ref="H18:I18"/>
  </mergeCells>
  <phoneticPr fontId="35" type="noConversion"/>
  <conditionalFormatting sqref="E7 E9 E11 E13">
    <cfRule type="cellIs" dxfId="61" priority="1" stopIfTrue="1" operator="equal">
      <formula>"Bye"</formula>
    </cfRule>
  </conditionalFormatting>
  <conditionalFormatting sqref="R41">
    <cfRule type="expression" dxfId="60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4">
    <tabColor indexed="11"/>
  </sheetPr>
  <dimension ref="A1:AK47"/>
  <sheetViews>
    <sheetView workbookViewId="0">
      <selection activeCell="I6" sqref="I6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 x14ac:dyDescent="0.25">
      <c r="A1" s="414" t="str">
        <f>Altalanos!$A$6</f>
        <v>Tenisz Diákolimpia B-A-Z. Vármegyei Döntő</v>
      </c>
      <c r="B1" s="414"/>
      <c r="C1" s="414"/>
      <c r="D1" s="414"/>
      <c r="E1" s="414"/>
      <c r="F1" s="414"/>
      <c r="G1" s="79"/>
      <c r="H1" s="82" t="s">
        <v>29</v>
      </c>
      <c r="I1" s="80"/>
      <c r="J1" s="81"/>
      <c r="L1" s="83"/>
      <c r="M1" s="84"/>
      <c r="N1" s="41"/>
      <c r="O1" s="41" t="s">
        <v>9</v>
      </c>
      <c r="P1" s="41"/>
      <c r="Q1" s="40"/>
      <c r="R1" s="41"/>
      <c r="AB1" s="169" t="str">
        <f>IF(Y5=1,CONCATENATE(VLOOKUP(Y3,AA16:AH27,2)),CONCATENATE(VLOOKUP(Y3,AA2:AK13,2)))</f>
        <v>150</v>
      </c>
      <c r="AC1" s="169" t="str">
        <f>IF(Y5=1,CONCATENATE(VLOOKUP(Y3,AA16:AK27,3)),CONCATENATE(VLOOKUP(Y3,AA2:AK13,3)))</f>
        <v>120</v>
      </c>
      <c r="AD1" s="169" t="str">
        <f>IF(Y5=1,CONCATENATE(VLOOKUP(Y3,AA16:AK27,4)),CONCATENATE(VLOOKUP(Y3,AA2:AK13,4)))</f>
        <v>100</v>
      </c>
      <c r="AE1" s="169" t="str">
        <f>IF(Y5=1,CONCATENATE(VLOOKUP(Y3,AA16:AK27,5)),CONCATENATE(VLOOKUP(Y3,AA2:AK13,5)))</f>
        <v>80</v>
      </c>
      <c r="AF1" s="169" t="str">
        <f>IF(Y5=1,CONCATENATE(VLOOKUP(Y3,AA16:AK27,6)),CONCATENATE(VLOOKUP(Y3,AA2:AK13,6)))</f>
        <v>70</v>
      </c>
      <c r="AG1" s="169" t="str">
        <f>IF(Y5=1,CONCATENATE(VLOOKUP(Y3,AA16:AK27,7)),CONCATENATE(VLOOKUP(Y3,AA2:AK13,7)))</f>
        <v>60</v>
      </c>
      <c r="AH1" s="169" t="str">
        <f>IF(Y5=1,CONCATENATE(VLOOKUP(Y3,AA16:AK27,8)),CONCATENATE(VLOOKUP(Y3,AA2:AK13,8)))</f>
        <v>55</v>
      </c>
      <c r="AI1" s="169" t="str">
        <f>IF(Y5=1,CONCATENATE(VLOOKUP(Y3,AA16:AK27,9)),CONCATENATE(VLOOKUP(Y3,AA2:AK13,9)))</f>
        <v>50</v>
      </c>
      <c r="AJ1" s="169" t="str">
        <f>IF(Y5=1,CONCATENATE(VLOOKUP(Y3,AA16:AK27,10)),CONCATENATE(VLOOKUP(Y3,AA2:AK13,10)))</f>
        <v>45</v>
      </c>
      <c r="AK1" s="169" t="str">
        <f>IF(Y5=1,CONCATENATE(VLOOKUP(Y3,AA16:AK27,11)),CONCATENATE(VLOOKUP(Y3,AA2:AK13,11)))</f>
        <v>40</v>
      </c>
    </row>
    <row r="2" spans="1:37" x14ac:dyDescent="0.25">
      <c r="A2" s="85" t="s">
        <v>28</v>
      </c>
      <c r="B2" s="86"/>
      <c r="C2" s="86"/>
      <c r="D2" s="86"/>
      <c r="E2" s="86" t="s">
        <v>501</v>
      </c>
      <c r="F2" s="86"/>
      <c r="G2" s="87"/>
      <c r="H2" s="88"/>
      <c r="I2" s="88"/>
      <c r="J2" s="89"/>
      <c r="K2" s="83"/>
      <c r="L2" s="83"/>
      <c r="M2" s="83"/>
      <c r="N2" s="42"/>
      <c r="O2" s="39"/>
      <c r="P2" s="42"/>
      <c r="Q2" s="39"/>
      <c r="R2" s="42"/>
      <c r="Y2" s="164"/>
      <c r="Z2" s="163"/>
      <c r="AA2" s="163" t="s">
        <v>38</v>
      </c>
      <c r="AB2" s="154">
        <v>150</v>
      </c>
      <c r="AC2" s="154">
        <v>120</v>
      </c>
      <c r="AD2" s="154">
        <v>100</v>
      </c>
      <c r="AE2" s="154">
        <v>80</v>
      </c>
      <c r="AF2" s="154">
        <v>70</v>
      </c>
      <c r="AG2" s="154">
        <v>60</v>
      </c>
      <c r="AH2" s="154">
        <v>55</v>
      </c>
      <c r="AI2" s="154">
        <v>50</v>
      </c>
      <c r="AJ2" s="154">
        <v>45</v>
      </c>
      <c r="AK2" s="154">
        <v>40</v>
      </c>
    </row>
    <row r="3" spans="1:37" x14ac:dyDescent="0.25">
      <c r="A3" s="34" t="s">
        <v>16</v>
      </c>
      <c r="B3" s="34"/>
      <c r="C3" s="34"/>
      <c r="D3" s="34"/>
      <c r="E3" s="34" t="s">
        <v>14</v>
      </c>
      <c r="F3" s="34"/>
      <c r="G3" s="34"/>
      <c r="H3" s="34" t="s">
        <v>18</v>
      </c>
      <c r="I3" s="34"/>
      <c r="J3" s="43"/>
      <c r="K3" s="34"/>
      <c r="L3" s="35" t="s">
        <v>19</v>
      </c>
      <c r="M3" s="34"/>
      <c r="N3" s="112"/>
      <c r="O3" s="111"/>
      <c r="P3" s="112"/>
      <c r="Y3" s="163" t="str">
        <f>IF(H4="OB","A",IF(H4="IX","W",H4))</f>
        <v>B</v>
      </c>
      <c r="Z3" s="163"/>
      <c r="AA3" s="163" t="s">
        <v>68</v>
      </c>
      <c r="AB3" s="154">
        <v>120</v>
      </c>
      <c r="AC3" s="154">
        <v>90</v>
      </c>
      <c r="AD3" s="154">
        <v>65</v>
      </c>
      <c r="AE3" s="154">
        <v>55</v>
      </c>
      <c r="AF3" s="154">
        <v>50</v>
      </c>
      <c r="AG3" s="154">
        <v>45</v>
      </c>
      <c r="AH3" s="154">
        <v>40</v>
      </c>
      <c r="AI3" s="154">
        <v>35</v>
      </c>
      <c r="AJ3" s="154">
        <v>25</v>
      </c>
      <c r="AK3" s="154">
        <v>20</v>
      </c>
    </row>
    <row r="4" spans="1:37" ht="13.8" thickBot="1" x14ac:dyDescent="0.3">
      <c r="A4" s="417" t="str">
        <f>Altalanos!$A$10</f>
        <v>2024.05.02-03.</v>
      </c>
      <c r="B4" s="417"/>
      <c r="C4" s="417"/>
      <c r="D4" s="90"/>
      <c r="E4" s="91" t="str">
        <f>Altalanos!$C$10</f>
        <v>Kazincbarcika</v>
      </c>
      <c r="F4" s="91"/>
      <c r="G4" s="91"/>
      <c r="H4" s="93" t="s">
        <v>39</v>
      </c>
      <c r="I4" s="91"/>
      <c r="J4" s="92"/>
      <c r="K4" s="93"/>
      <c r="L4" s="94">
        <f>Altalanos!$E$10</f>
        <v>0</v>
      </c>
      <c r="M4" s="93"/>
      <c r="N4" s="114"/>
      <c r="O4" s="115"/>
      <c r="P4" s="114"/>
      <c r="Y4" s="163"/>
      <c r="Z4" s="163"/>
      <c r="AA4" s="163" t="s">
        <v>69</v>
      </c>
      <c r="AB4" s="154">
        <v>90</v>
      </c>
      <c r="AC4" s="154">
        <v>60</v>
      </c>
      <c r="AD4" s="154">
        <v>45</v>
      </c>
      <c r="AE4" s="154">
        <v>34</v>
      </c>
      <c r="AF4" s="154">
        <v>27</v>
      </c>
      <c r="AG4" s="154">
        <v>22</v>
      </c>
      <c r="AH4" s="154">
        <v>18</v>
      </c>
      <c r="AI4" s="154">
        <v>15</v>
      </c>
      <c r="AJ4" s="154">
        <v>12</v>
      </c>
      <c r="AK4" s="154">
        <v>9</v>
      </c>
    </row>
    <row r="5" spans="1:37" x14ac:dyDescent="0.25">
      <c r="A5" s="29"/>
      <c r="B5" s="29" t="s">
        <v>27</v>
      </c>
      <c r="C5" s="107" t="s">
        <v>36</v>
      </c>
      <c r="D5" s="29" t="s">
        <v>22</v>
      </c>
      <c r="E5" s="29" t="s">
        <v>41</v>
      </c>
      <c r="F5" s="29"/>
      <c r="G5" s="29" t="s">
        <v>17</v>
      </c>
      <c r="H5" s="29"/>
      <c r="I5" s="29" t="s">
        <v>20</v>
      </c>
      <c r="J5" s="29"/>
      <c r="K5" s="140" t="s">
        <v>42</v>
      </c>
      <c r="L5" s="140" t="s">
        <v>43</v>
      </c>
      <c r="M5" s="140" t="s">
        <v>44</v>
      </c>
      <c r="O5" s="153" t="s">
        <v>52</v>
      </c>
      <c r="P5" s="154" t="s">
        <v>58</v>
      </c>
      <c r="R5" s="153" t="s">
        <v>52</v>
      </c>
      <c r="S5" s="182" t="s">
        <v>89</v>
      </c>
      <c r="Y5" s="163">
        <f>IF(OR(Altalanos!$A$8="F1",Altalanos!$A$8="F2",Altalanos!$A$8="N1",Altalanos!$A$8="N2"),1,2)</f>
        <v>2</v>
      </c>
      <c r="Z5" s="163"/>
      <c r="AA5" s="163" t="s">
        <v>70</v>
      </c>
      <c r="AB5" s="154">
        <v>60</v>
      </c>
      <c r="AC5" s="154">
        <v>40</v>
      </c>
      <c r="AD5" s="154">
        <v>30</v>
      </c>
      <c r="AE5" s="154">
        <v>20</v>
      </c>
      <c r="AF5" s="154">
        <v>18</v>
      </c>
      <c r="AG5" s="154">
        <v>15</v>
      </c>
      <c r="AH5" s="154">
        <v>12</v>
      </c>
      <c r="AI5" s="154">
        <v>10</v>
      </c>
      <c r="AJ5" s="154">
        <v>8</v>
      </c>
      <c r="AK5" s="154">
        <v>6</v>
      </c>
    </row>
    <row r="6" spans="1:37" x14ac:dyDescent="0.25">
      <c r="A6" s="96"/>
      <c r="B6" s="96"/>
      <c r="C6" s="139"/>
      <c r="D6" s="96"/>
      <c r="E6" s="96"/>
      <c r="F6" s="96"/>
      <c r="G6" s="96"/>
      <c r="H6" s="96"/>
      <c r="I6" s="96"/>
      <c r="J6" s="96"/>
      <c r="K6" s="96"/>
      <c r="L6" s="96"/>
      <c r="M6" s="96"/>
      <c r="O6" s="155" t="s">
        <v>59</v>
      </c>
      <c r="P6" s="156" t="s">
        <v>54</v>
      </c>
      <c r="R6" s="155" t="s">
        <v>59</v>
      </c>
      <c r="S6" s="183" t="s">
        <v>90</v>
      </c>
      <c r="Y6" s="163"/>
      <c r="Z6" s="163"/>
      <c r="AA6" s="163" t="s">
        <v>71</v>
      </c>
      <c r="AB6" s="154">
        <v>40</v>
      </c>
      <c r="AC6" s="154">
        <v>25</v>
      </c>
      <c r="AD6" s="154">
        <v>18</v>
      </c>
      <c r="AE6" s="154">
        <v>13</v>
      </c>
      <c r="AF6" s="154">
        <v>10</v>
      </c>
      <c r="AG6" s="154">
        <v>8</v>
      </c>
      <c r="AH6" s="154">
        <v>6</v>
      </c>
      <c r="AI6" s="154">
        <v>5</v>
      </c>
      <c r="AJ6" s="154">
        <v>4</v>
      </c>
      <c r="AK6" s="154">
        <v>3</v>
      </c>
    </row>
    <row r="7" spans="1:37" x14ac:dyDescent="0.25">
      <c r="A7" s="211" t="s">
        <v>38</v>
      </c>
      <c r="B7" s="159"/>
      <c r="C7" s="109" t="str">
        <f>IF($B7="","",VLOOKUP($B7,#REF!,5))</f>
        <v/>
      </c>
      <c r="D7" s="109" t="str">
        <f>IF($B7="","",VLOOKUP($B7,#REF!,15))</f>
        <v/>
      </c>
      <c r="E7" s="106" t="s">
        <v>282</v>
      </c>
      <c r="F7" s="108"/>
      <c r="G7" s="106" t="s">
        <v>283</v>
      </c>
      <c r="H7" s="108"/>
      <c r="I7" s="106" t="str">
        <f>IF($B7="","",VLOOKUP($B7,#REF!,4))</f>
        <v/>
      </c>
      <c r="J7" s="96"/>
      <c r="K7" s="170"/>
      <c r="L7" s="165" t="str">
        <f>IF(K7="","",CONCATENATE(VLOOKUP($Y$3,$AB$1:$AK$1,K7)," pont"))</f>
        <v/>
      </c>
      <c r="M7" s="171"/>
      <c r="O7" s="157" t="s">
        <v>60</v>
      </c>
      <c r="P7" s="158" t="s">
        <v>56</v>
      </c>
      <c r="R7" s="157" t="s">
        <v>60</v>
      </c>
      <c r="S7" s="184" t="s">
        <v>64</v>
      </c>
      <c r="Y7" s="163"/>
      <c r="Z7" s="163"/>
      <c r="AA7" s="163" t="s">
        <v>72</v>
      </c>
      <c r="AB7" s="154">
        <v>25</v>
      </c>
      <c r="AC7" s="154">
        <v>15</v>
      </c>
      <c r="AD7" s="154">
        <v>13</v>
      </c>
      <c r="AE7" s="154">
        <v>8</v>
      </c>
      <c r="AF7" s="154">
        <v>6</v>
      </c>
      <c r="AG7" s="154">
        <v>4</v>
      </c>
      <c r="AH7" s="154">
        <v>3</v>
      </c>
      <c r="AI7" s="154">
        <v>2</v>
      </c>
      <c r="AJ7" s="154">
        <v>1</v>
      </c>
      <c r="AK7" s="154">
        <v>0</v>
      </c>
    </row>
    <row r="8" spans="1:37" x14ac:dyDescent="0.25">
      <c r="A8" s="116"/>
      <c r="B8" s="160"/>
      <c r="C8" s="117"/>
      <c r="D8" s="117"/>
      <c r="E8" s="117"/>
      <c r="F8" s="117"/>
      <c r="G8" s="117"/>
      <c r="H8" s="117"/>
      <c r="I8" s="117"/>
      <c r="J8" s="96"/>
      <c r="K8" s="116"/>
      <c r="L8" s="116"/>
      <c r="M8" s="172"/>
      <c r="Y8" s="163"/>
      <c r="Z8" s="163"/>
      <c r="AA8" s="163" t="s">
        <v>73</v>
      </c>
      <c r="AB8" s="154">
        <v>15</v>
      </c>
      <c r="AC8" s="154">
        <v>10</v>
      </c>
      <c r="AD8" s="154">
        <v>7</v>
      </c>
      <c r="AE8" s="154">
        <v>5</v>
      </c>
      <c r="AF8" s="154">
        <v>4</v>
      </c>
      <c r="AG8" s="154">
        <v>3</v>
      </c>
      <c r="AH8" s="154">
        <v>2</v>
      </c>
      <c r="AI8" s="154">
        <v>1</v>
      </c>
      <c r="AJ8" s="154">
        <v>0</v>
      </c>
      <c r="AK8" s="154">
        <v>0</v>
      </c>
    </row>
    <row r="9" spans="1:37" x14ac:dyDescent="0.25">
      <c r="A9" s="116" t="s">
        <v>39</v>
      </c>
      <c r="B9" s="161"/>
      <c r="C9" s="109" t="str">
        <f>IF($B9="","",VLOOKUP($B9,#REF!,5))</f>
        <v/>
      </c>
      <c r="D9" s="109" t="str">
        <f>IF($B9="","",VLOOKUP($B9,#REF!,15))</f>
        <v/>
      </c>
      <c r="E9" s="105" t="s">
        <v>284</v>
      </c>
      <c r="F9" s="110"/>
      <c r="G9" s="105" t="s">
        <v>293</v>
      </c>
      <c r="H9" s="110"/>
      <c r="I9" s="105" t="str">
        <f>IF($B9="","",VLOOKUP($B9,#REF!,4))</f>
        <v/>
      </c>
      <c r="J9" s="96"/>
      <c r="K9" s="170"/>
      <c r="L9" s="165" t="str">
        <f>IF(K9="","",CONCATENATE(VLOOKUP($Y$3,$AB$1:$AK$1,K9)," pont"))</f>
        <v/>
      </c>
      <c r="M9" s="171"/>
      <c r="Y9" s="163"/>
      <c r="Z9" s="163"/>
      <c r="AA9" s="163" t="s">
        <v>74</v>
      </c>
      <c r="AB9" s="154">
        <v>10</v>
      </c>
      <c r="AC9" s="154">
        <v>6</v>
      </c>
      <c r="AD9" s="154">
        <v>4</v>
      </c>
      <c r="AE9" s="154">
        <v>2</v>
      </c>
      <c r="AF9" s="154">
        <v>1</v>
      </c>
      <c r="AG9" s="154">
        <v>0</v>
      </c>
      <c r="AH9" s="154">
        <v>0</v>
      </c>
      <c r="AI9" s="154">
        <v>0</v>
      </c>
      <c r="AJ9" s="154">
        <v>0</v>
      </c>
      <c r="AK9" s="154">
        <v>0</v>
      </c>
    </row>
    <row r="10" spans="1:37" x14ac:dyDescent="0.25">
      <c r="A10" s="116"/>
      <c r="B10" s="160"/>
      <c r="C10" s="117"/>
      <c r="D10" s="117"/>
      <c r="E10" s="139"/>
      <c r="F10" s="117"/>
      <c r="G10" s="117"/>
      <c r="H10" s="117"/>
      <c r="I10" s="117"/>
      <c r="J10" s="96"/>
      <c r="K10" s="116"/>
      <c r="L10" s="116"/>
      <c r="M10" s="172"/>
      <c r="Y10" s="163"/>
      <c r="Z10" s="163"/>
      <c r="AA10" s="163" t="s">
        <v>75</v>
      </c>
      <c r="AB10" s="154">
        <v>6</v>
      </c>
      <c r="AC10" s="154">
        <v>3</v>
      </c>
      <c r="AD10" s="154">
        <v>2</v>
      </c>
      <c r="AE10" s="154">
        <v>1</v>
      </c>
      <c r="AF10" s="154">
        <v>0</v>
      </c>
      <c r="AG10" s="154">
        <v>0</v>
      </c>
      <c r="AH10" s="154">
        <v>0</v>
      </c>
      <c r="AI10" s="154">
        <v>0</v>
      </c>
      <c r="AJ10" s="154">
        <v>0</v>
      </c>
      <c r="AK10" s="154">
        <v>0</v>
      </c>
    </row>
    <row r="11" spans="1:37" x14ac:dyDescent="0.25">
      <c r="A11" s="116" t="s">
        <v>40</v>
      </c>
      <c r="B11" s="161"/>
      <c r="C11" s="109" t="str">
        <f>IF($B11="","",VLOOKUP($B11,#REF!,5))</f>
        <v/>
      </c>
      <c r="D11" s="109" t="str">
        <f>IF($B11="","",VLOOKUP($B11,#REF!,15))</f>
        <v/>
      </c>
      <c r="E11" s="105" t="s">
        <v>285</v>
      </c>
      <c r="F11" s="110"/>
      <c r="G11" s="105" t="s">
        <v>292</v>
      </c>
      <c r="H11" s="110"/>
      <c r="I11" s="105" t="str">
        <f>IF($B11="","",VLOOKUP($B11,#REF!,4))</f>
        <v/>
      </c>
      <c r="J11" s="96"/>
      <c r="K11" s="170"/>
      <c r="L11" s="165" t="str">
        <f>IF(K11="","",CONCATENATE(VLOOKUP($Y$3,$AB$1:$AK$1,K11)," pont"))</f>
        <v/>
      </c>
      <c r="M11" s="171"/>
      <c r="Y11" s="163"/>
      <c r="Z11" s="163"/>
      <c r="AA11" s="163" t="s">
        <v>80</v>
      </c>
      <c r="AB11" s="154">
        <v>3</v>
      </c>
      <c r="AC11" s="154">
        <v>2</v>
      </c>
      <c r="AD11" s="154">
        <v>1</v>
      </c>
      <c r="AE11" s="154">
        <v>0</v>
      </c>
      <c r="AF11" s="154">
        <v>0</v>
      </c>
      <c r="AG11" s="154">
        <v>0</v>
      </c>
      <c r="AH11" s="154">
        <v>0</v>
      </c>
      <c r="AI11" s="154">
        <v>0</v>
      </c>
      <c r="AJ11" s="154">
        <v>0</v>
      </c>
      <c r="AK11" s="154">
        <v>0</v>
      </c>
    </row>
    <row r="12" spans="1:37" x14ac:dyDescent="0.25">
      <c r="A12" s="96"/>
      <c r="B12" s="147"/>
      <c r="C12" s="139"/>
      <c r="D12" s="96"/>
      <c r="E12" s="96"/>
      <c r="F12" s="96"/>
      <c r="G12" s="96"/>
      <c r="H12" s="96"/>
      <c r="I12" s="96"/>
      <c r="J12" s="96"/>
      <c r="K12" s="139"/>
      <c r="L12" s="139"/>
      <c r="M12" s="172"/>
      <c r="Y12" s="163"/>
      <c r="Z12" s="163"/>
      <c r="AA12" s="163" t="s">
        <v>76</v>
      </c>
      <c r="AB12" s="168">
        <v>0</v>
      </c>
      <c r="AC12" s="168">
        <v>0</v>
      </c>
      <c r="AD12" s="168">
        <v>0</v>
      </c>
      <c r="AE12" s="168">
        <v>0</v>
      </c>
      <c r="AF12" s="168">
        <v>0</v>
      </c>
      <c r="AG12" s="168">
        <v>0</v>
      </c>
      <c r="AH12" s="168">
        <v>0</v>
      </c>
      <c r="AI12" s="168">
        <v>0</v>
      </c>
      <c r="AJ12" s="168">
        <v>0</v>
      </c>
      <c r="AK12" s="168">
        <v>0</v>
      </c>
    </row>
    <row r="13" spans="1:37" x14ac:dyDescent="0.25">
      <c r="A13" s="211" t="s">
        <v>45</v>
      </c>
      <c r="B13" s="159"/>
      <c r="C13" s="109" t="str">
        <f>IF($B13="","",VLOOKUP($B13,#REF!,5))</f>
        <v/>
      </c>
      <c r="D13" s="109" t="str">
        <f>IF($B13="","",VLOOKUP($B13,#REF!,15))</f>
        <v/>
      </c>
      <c r="E13" s="106" t="s">
        <v>286</v>
      </c>
      <c r="F13" s="108"/>
      <c r="G13" s="106" t="s">
        <v>291</v>
      </c>
      <c r="H13" s="108"/>
      <c r="I13" s="106" t="str">
        <f>IF($B13="","",VLOOKUP($B13,#REF!,4))</f>
        <v/>
      </c>
      <c r="J13" s="96"/>
      <c r="K13" s="170"/>
      <c r="L13" s="165" t="str">
        <f>IF(K13="","",CONCATENATE(VLOOKUP($Y$3,$AB$1:$AK$1,K13)," pont"))</f>
        <v/>
      </c>
      <c r="M13" s="171"/>
      <c r="Y13" s="163"/>
      <c r="Z13" s="163"/>
      <c r="AA13" s="163" t="s">
        <v>77</v>
      </c>
      <c r="AB13" s="168">
        <v>0</v>
      </c>
      <c r="AC13" s="168">
        <v>0</v>
      </c>
      <c r="AD13" s="168">
        <v>0</v>
      </c>
      <c r="AE13" s="168">
        <v>0</v>
      </c>
      <c r="AF13" s="168">
        <v>0</v>
      </c>
      <c r="AG13" s="168">
        <v>0</v>
      </c>
      <c r="AH13" s="168">
        <v>0</v>
      </c>
      <c r="AI13" s="168">
        <v>0</v>
      </c>
      <c r="AJ13" s="168">
        <v>0</v>
      </c>
      <c r="AK13" s="168">
        <v>0</v>
      </c>
    </row>
    <row r="14" spans="1:37" x14ac:dyDescent="0.25">
      <c r="A14" s="116"/>
      <c r="B14" s="160"/>
      <c r="C14" s="117"/>
      <c r="D14" s="117"/>
      <c r="E14" s="117"/>
      <c r="F14" s="117"/>
      <c r="G14" s="117"/>
      <c r="H14" s="117"/>
      <c r="I14" s="117"/>
      <c r="J14" s="96"/>
      <c r="K14" s="116"/>
      <c r="L14" s="116"/>
      <c r="M14" s="172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</row>
    <row r="15" spans="1:37" x14ac:dyDescent="0.25">
      <c r="A15" s="116" t="s">
        <v>46</v>
      </c>
      <c r="B15" s="161"/>
      <c r="C15" s="109" t="str">
        <f>IF($B15="","",VLOOKUP($B15,#REF!,5))</f>
        <v/>
      </c>
      <c r="D15" s="109" t="str">
        <f>IF($B15="","",VLOOKUP($B15,#REF!,15))</f>
        <v/>
      </c>
      <c r="E15" s="105" t="s">
        <v>287</v>
      </c>
      <c r="F15" s="110"/>
      <c r="G15" s="105" t="s">
        <v>290</v>
      </c>
      <c r="H15" s="110"/>
      <c r="I15" s="105" t="str">
        <f>IF($B15="","",VLOOKUP($B15,#REF!,4))</f>
        <v/>
      </c>
      <c r="J15" s="96"/>
      <c r="K15" s="170"/>
      <c r="L15" s="165" t="str">
        <f>IF(K15="","",CONCATENATE(VLOOKUP($Y$3,$AB$1:$AK$1,K15)," pont"))</f>
        <v/>
      </c>
      <c r="M15" s="171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</row>
    <row r="16" spans="1:37" x14ac:dyDescent="0.25">
      <c r="A16" s="116"/>
      <c r="B16" s="160"/>
      <c r="C16" s="117"/>
      <c r="D16" s="117"/>
      <c r="E16" s="117"/>
      <c r="F16" s="117"/>
      <c r="G16" s="117"/>
      <c r="H16" s="117"/>
      <c r="I16" s="117"/>
      <c r="J16" s="96"/>
      <c r="K16" s="116"/>
      <c r="L16" s="116"/>
      <c r="M16" s="172"/>
      <c r="Y16" s="163"/>
      <c r="Z16" s="163"/>
      <c r="AA16" s="163" t="s">
        <v>38</v>
      </c>
      <c r="AB16" s="163">
        <v>300</v>
      </c>
      <c r="AC16" s="163">
        <v>250</v>
      </c>
      <c r="AD16" s="163">
        <v>220</v>
      </c>
      <c r="AE16" s="163">
        <v>180</v>
      </c>
      <c r="AF16" s="163">
        <v>160</v>
      </c>
      <c r="AG16" s="163">
        <v>150</v>
      </c>
      <c r="AH16" s="163">
        <v>140</v>
      </c>
      <c r="AI16" s="163">
        <v>130</v>
      </c>
      <c r="AJ16" s="163">
        <v>120</v>
      </c>
      <c r="AK16" s="163">
        <v>110</v>
      </c>
    </row>
    <row r="17" spans="1:37" x14ac:dyDescent="0.25">
      <c r="A17" s="116" t="s">
        <v>47</v>
      </c>
      <c r="B17" s="161"/>
      <c r="C17" s="109" t="str">
        <f>IF($B17="","",VLOOKUP($B17,#REF!,5))</f>
        <v/>
      </c>
      <c r="D17" s="109" t="str">
        <f>IF($B17="","",VLOOKUP($B17,#REF!,15))</f>
        <v/>
      </c>
      <c r="E17" s="105" t="s">
        <v>288</v>
      </c>
      <c r="F17" s="110"/>
      <c r="G17" s="105" t="s">
        <v>289</v>
      </c>
      <c r="H17" s="110"/>
      <c r="I17" s="105" t="str">
        <f>IF($B17="","",VLOOKUP($B17,#REF!,4))</f>
        <v/>
      </c>
      <c r="J17" s="96"/>
      <c r="K17" s="170"/>
      <c r="L17" s="165" t="str">
        <f>IF(K17="","",CONCATENATE(VLOOKUP($Y$3,$AB$1:$AK$1,K17)," pont"))</f>
        <v/>
      </c>
      <c r="M17" s="171"/>
      <c r="Y17" s="163"/>
      <c r="Z17" s="163"/>
      <c r="AA17" s="163" t="s">
        <v>68</v>
      </c>
      <c r="AB17" s="163">
        <v>250</v>
      </c>
      <c r="AC17" s="163">
        <v>200</v>
      </c>
      <c r="AD17" s="163">
        <v>160</v>
      </c>
      <c r="AE17" s="163">
        <v>140</v>
      </c>
      <c r="AF17" s="163">
        <v>120</v>
      </c>
      <c r="AG17" s="163">
        <v>110</v>
      </c>
      <c r="AH17" s="163">
        <v>100</v>
      </c>
      <c r="AI17" s="163">
        <v>90</v>
      </c>
      <c r="AJ17" s="163">
        <v>80</v>
      </c>
      <c r="AK17" s="163">
        <v>70</v>
      </c>
    </row>
    <row r="18" spans="1:37" x14ac:dyDescent="0.25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Y18" s="163"/>
      <c r="Z18" s="163"/>
      <c r="AA18" s="163" t="s">
        <v>69</v>
      </c>
      <c r="AB18" s="163">
        <v>200</v>
      </c>
      <c r="AC18" s="163">
        <v>150</v>
      </c>
      <c r="AD18" s="163">
        <v>130</v>
      </c>
      <c r="AE18" s="163">
        <v>110</v>
      </c>
      <c r="AF18" s="163">
        <v>95</v>
      </c>
      <c r="AG18" s="163">
        <v>80</v>
      </c>
      <c r="AH18" s="163">
        <v>70</v>
      </c>
      <c r="AI18" s="163">
        <v>60</v>
      </c>
      <c r="AJ18" s="163">
        <v>55</v>
      </c>
      <c r="AK18" s="163">
        <v>50</v>
      </c>
    </row>
    <row r="19" spans="1:37" x14ac:dyDescent="0.25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Y19" s="163"/>
      <c r="Z19" s="163"/>
      <c r="AA19" s="163" t="s">
        <v>70</v>
      </c>
      <c r="AB19" s="163">
        <v>150</v>
      </c>
      <c r="AC19" s="163">
        <v>120</v>
      </c>
      <c r="AD19" s="163">
        <v>100</v>
      </c>
      <c r="AE19" s="163">
        <v>80</v>
      </c>
      <c r="AF19" s="163">
        <v>70</v>
      </c>
      <c r="AG19" s="163">
        <v>60</v>
      </c>
      <c r="AH19" s="163">
        <v>55</v>
      </c>
      <c r="AI19" s="163">
        <v>50</v>
      </c>
      <c r="AJ19" s="163">
        <v>45</v>
      </c>
      <c r="AK19" s="163">
        <v>40</v>
      </c>
    </row>
    <row r="20" spans="1:37" x14ac:dyDescent="0.25">
      <c r="A20" s="96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Y20" s="163"/>
      <c r="Z20" s="163"/>
      <c r="AA20" s="163" t="s">
        <v>71</v>
      </c>
      <c r="AB20" s="163">
        <v>120</v>
      </c>
      <c r="AC20" s="163">
        <v>90</v>
      </c>
      <c r="AD20" s="163">
        <v>65</v>
      </c>
      <c r="AE20" s="163">
        <v>55</v>
      </c>
      <c r="AF20" s="163">
        <v>50</v>
      </c>
      <c r="AG20" s="163">
        <v>45</v>
      </c>
      <c r="AH20" s="163">
        <v>40</v>
      </c>
      <c r="AI20" s="163">
        <v>35</v>
      </c>
      <c r="AJ20" s="163">
        <v>25</v>
      </c>
      <c r="AK20" s="163">
        <v>20</v>
      </c>
    </row>
    <row r="21" spans="1:37" x14ac:dyDescent="0.25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Y21" s="163"/>
      <c r="Z21" s="163"/>
      <c r="AA21" s="163" t="s">
        <v>72</v>
      </c>
      <c r="AB21" s="163">
        <v>90</v>
      </c>
      <c r="AC21" s="163">
        <v>60</v>
      </c>
      <c r="AD21" s="163">
        <v>45</v>
      </c>
      <c r="AE21" s="163">
        <v>34</v>
      </c>
      <c r="AF21" s="163">
        <v>27</v>
      </c>
      <c r="AG21" s="163">
        <v>22</v>
      </c>
      <c r="AH21" s="163">
        <v>18</v>
      </c>
      <c r="AI21" s="163">
        <v>15</v>
      </c>
      <c r="AJ21" s="163">
        <v>12</v>
      </c>
      <c r="AK21" s="163">
        <v>9</v>
      </c>
    </row>
    <row r="22" spans="1:37" ht="18.75" customHeight="1" x14ac:dyDescent="0.25">
      <c r="A22" s="96"/>
      <c r="B22" s="413"/>
      <c r="C22" s="413"/>
      <c r="D22" s="412" t="str">
        <f>E7</f>
        <v>Bede</v>
      </c>
      <c r="E22" s="412"/>
      <c r="F22" s="412" t="str">
        <f>E9</f>
        <v>Domos</v>
      </c>
      <c r="G22" s="412"/>
      <c r="H22" s="412" t="str">
        <f>E11</f>
        <v>Csontos</v>
      </c>
      <c r="I22" s="412"/>
      <c r="J22" s="96"/>
      <c r="K22" s="96"/>
      <c r="L22" s="96"/>
      <c r="M22" s="148" t="s">
        <v>42</v>
      </c>
      <c r="Y22" s="163"/>
      <c r="Z22" s="163"/>
      <c r="AA22" s="163" t="s">
        <v>73</v>
      </c>
      <c r="AB22" s="163">
        <v>60</v>
      </c>
      <c r="AC22" s="163">
        <v>40</v>
      </c>
      <c r="AD22" s="163">
        <v>30</v>
      </c>
      <c r="AE22" s="163">
        <v>20</v>
      </c>
      <c r="AF22" s="163">
        <v>18</v>
      </c>
      <c r="AG22" s="163">
        <v>15</v>
      </c>
      <c r="AH22" s="163">
        <v>12</v>
      </c>
      <c r="AI22" s="163">
        <v>10</v>
      </c>
      <c r="AJ22" s="163">
        <v>8</v>
      </c>
      <c r="AK22" s="163">
        <v>6</v>
      </c>
    </row>
    <row r="23" spans="1:37" ht="18.75" customHeight="1" x14ac:dyDescent="0.25">
      <c r="A23" s="146" t="s">
        <v>38</v>
      </c>
      <c r="B23" s="416" t="str">
        <f>E7</f>
        <v>Bede</v>
      </c>
      <c r="C23" s="416"/>
      <c r="D23" s="411"/>
      <c r="E23" s="411"/>
      <c r="F23" s="409"/>
      <c r="G23" s="409"/>
      <c r="H23" s="409"/>
      <c r="I23" s="409"/>
      <c r="J23" s="96"/>
      <c r="K23" s="96"/>
      <c r="L23" s="96"/>
      <c r="M23" s="149"/>
      <c r="Y23" s="163"/>
      <c r="Z23" s="163"/>
      <c r="AA23" s="163" t="s">
        <v>74</v>
      </c>
      <c r="AB23" s="163">
        <v>40</v>
      </c>
      <c r="AC23" s="163">
        <v>25</v>
      </c>
      <c r="AD23" s="163">
        <v>18</v>
      </c>
      <c r="AE23" s="163">
        <v>13</v>
      </c>
      <c r="AF23" s="163">
        <v>8</v>
      </c>
      <c r="AG23" s="163">
        <v>7</v>
      </c>
      <c r="AH23" s="163">
        <v>6</v>
      </c>
      <c r="AI23" s="163">
        <v>5</v>
      </c>
      <c r="AJ23" s="163">
        <v>4</v>
      </c>
      <c r="AK23" s="163">
        <v>3</v>
      </c>
    </row>
    <row r="24" spans="1:37" ht="18.75" customHeight="1" x14ac:dyDescent="0.25">
      <c r="A24" s="146" t="s">
        <v>39</v>
      </c>
      <c r="B24" s="416" t="str">
        <f>E9</f>
        <v>Domos</v>
      </c>
      <c r="C24" s="416"/>
      <c r="D24" s="409"/>
      <c r="E24" s="409"/>
      <c r="F24" s="411"/>
      <c r="G24" s="411"/>
      <c r="H24" s="409"/>
      <c r="I24" s="409"/>
      <c r="J24" s="96"/>
      <c r="K24" s="96"/>
      <c r="L24" s="96"/>
      <c r="M24" s="149"/>
      <c r="Y24" s="163"/>
      <c r="Z24" s="163"/>
      <c r="AA24" s="163" t="s">
        <v>75</v>
      </c>
      <c r="AB24" s="163">
        <v>25</v>
      </c>
      <c r="AC24" s="163">
        <v>15</v>
      </c>
      <c r="AD24" s="163">
        <v>13</v>
      </c>
      <c r="AE24" s="163">
        <v>7</v>
      </c>
      <c r="AF24" s="163">
        <v>6</v>
      </c>
      <c r="AG24" s="163">
        <v>5</v>
      </c>
      <c r="AH24" s="163">
        <v>4</v>
      </c>
      <c r="AI24" s="163">
        <v>3</v>
      </c>
      <c r="AJ24" s="163">
        <v>2</v>
      </c>
      <c r="AK24" s="163">
        <v>1</v>
      </c>
    </row>
    <row r="25" spans="1:37" ht="18.75" customHeight="1" x14ac:dyDescent="0.25">
      <c r="A25" s="146" t="s">
        <v>40</v>
      </c>
      <c r="B25" s="416" t="str">
        <f>E11</f>
        <v>Csontos</v>
      </c>
      <c r="C25" s="416"/>
      <c r="D25" s="409"/>
      <c r="E25" s="409"/>
      <c r="F25" s="409"/>
      <c r="G25" s="409"/>
      <c r="H25" s="411"/>
      <c r="I25" s="411"/>
      <c r="J25" s="96"/>
      <c r="K25" s="96"/>
      <c r="L25" s="96"/>
      <c r="M25" s="149"/>
      <c r="Y25" s="163"/>
      <c r="Z25" s="163"/>
      <c r="AA25" s="163" t="s">
        <v>80</v>
      </c>
      <c r="AB25" s="163">
        <v>15</v>
      </c>
      <c r="AC25" s="163">
        <v>10</v>
      </c>
      <c r="AD25" s="163">
        <v>8</v>
      </c>
      <c r="AE25" s="163">
        <v>4</v>
      </c>
      <c r="AF25" s="163">
        <v>3</v>
      </c>
      <c r="AG25" s="163">
        <v>2</v>
      </c>
      <c r="AH25" s="163">
        <v>1</v>
      </c>
      <c r="AI25" s="163">
        <v>0</v>
      </c>
      <c r="AJ25" s="163">
        <v>0</v>
      </c>
      <c r="AK25" s="163">
        <v>0</v>
      </c>
    </row>
    <row r="26" spans="1:37" x14ac:dyDescent="0.25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150"/>
      <c r="Y26" s="163"/>
      <c r="Z26" s="163"/>
      <c r="AA26" s="163" t="s">
        <v>76</v>
      </c>
      <c r="AB26" s="163">
        <v>10</v>
      </c>
      <c r="AC26" s="163">
        <v>6</v>
      </c>
      <c r="AD26" s="163">
        <v>4</v>
      </c>
      <c r="AE26" s="163">
        <v>2</v>
      </c>
      <c r="AF26" s="163">
        <v>1</v>
      </c>
      <c r="AG26" s="163">
        <v>0</v>
      </c>
      <c r="AH26" s="163">
        <v>0</v>
      </c>
      <c r="AI26" s="163">
        <v>0</v>
      </c>
      <c r="AJ26" s="163">
        <v>0</v>
      </c>
      <c r="AK26" s="163">
        <v>0</v>
      </c>
    </row>
    <row r="27" spans="1:37" ht="18.75" customHeight="1" x14ac:dyDescent="0.25">
      <c r="A27" s="96"/>
      <c r="B27" s="413"/>
      <c r="C27" s="413"/>
      <c r="D27" s="412" t="str">
        <f>E13</f>
        <v>Nagy</v>
      </c>
      <c r="E27" s="412"/>
      <c r="F27" s="412" t="str">
        <f>E15</f>
        <v>Váradi</v>
      </c>
      <c r="G27" s="412"/>
      <c r="H27" s="412" t="str">
        <f>E17</f>
        <v>Csáti</v>
      </c>
      <c r="I27" s="412"/>
      <c r="J27" s="96"/>
      <c r="K27" s="96"/>
      <c r="L27" s="96"/>
      <c r="M27" s="150"/>
      <c r="Y27" s="163"/>
      <c r="Z27" s="163"/>
      <c r="AA27" s="163" t="s">
        <v>77</v>
      </c>
      <c r="AB27" s="163">
        <v>3</v>
      </c>
      <c r="AC27" s="163">
        <v>2</v>
      </c>
      <c r="AD27" s="163">
        <v>1</v>
      </c>
      <c r="AE27" s="163">
        <v>0</v>
      </c>
      <c r="AF27" s="163">
        <v>0</v>
      </c>
      <c r="AG27" s="163">
        <v>0</v>
      </c>
      <c r="AH27" s="163">
        <v>0</v>
      </c>
      <c r="AI27" s="163">
        <v>0</v>
      </c>
      <c r="AJ27" s="163">
        <v>0</v>
      </c>
      <c r="AK27" s="163">
        <v>0</v>
      </c>
    </row>
    <row r="28" spans="1:37" ht="18.75" customHeight="1" x14ac:dyDescent="0.25">
      <c r="A28" s="146" t="s">
        <v>45</v>
      </c>
      <c r="B28" s="416" t="str">
        <f>E13</f>
        <v>Nagy</v>
      </c>
      <c r="C28" s="416"/>
      <c r="D28" s="411"/>
      <c r="E28" s="411"/>
      <c r="F28" s="409"/>
      <c r="G28" s="409"/>
      <c r="H28" s="409"/>
      <c r="I28" s="409"/>
      <c r="J28" s="96"/>
      <c r="K28" s="96"/>
      <c r="L28" s="96"/>
      <c r="M28" s="149"/>
    </row>
    <row r="29" spans="1:37" ht="18.75" customHeight="1" x14ac:dyDescent="0.25">
      <c r="A29" s="146" t="s">
        <v>46</v>
      </c>
      <c r="B29" s="416" t="str">
        <f>E15</f>
        <v>Váradi</v>
      </c>
      <c r="C29" s="416"/>
      <c r="D29" s="409"/>
      <c r="E29" s="409"/>
      <c r="F29" s="411"/>
      <c r="G29" s="411"/>
      <c r="H29" s="409"/>
      <c r="I29" s="409"/>
      <c r="J29" s="96"/>
      <c r="K29" s="96"/>
      <c r="L29" s="96"/>
      <c r="M29" s="149"/>
    </row>
    <row r="30" spans="1:37" ht="18.75" customHeight="1" x14ac:dyDescent="0.25">
      <c r="A30" s="146" t="s">
        <v>47</v>
      </c>
      <c r="B30" s="416" t="str">
        <f>E17</f>
        <v>Csáti</v>
      </c>
      <c r="C30" s="416"/>
      <c r="D30" s="409"/>
      <c r="E30" s="409"/>
      <c r="F30" s="409"/>
      <c r="G30" s="409"/>
      <c r="H30" s="411"/>
      <c r="I30" s="411"/>
      <c r="J30" s="96"/>
      <c r="K30" s="96"/>
      <c r="L30" s="96"/>
      <c r="M30" s="149"/>
    </row>
    <row r="31" spans="1:37" x14ac:dyDescent="0.25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</row>
    <row r="32" spans="1:37" x14ac:dyDescent="0.25">
      <c r="A32" s="96" t="s">
        <v>34</v>
      </c>
      <c r="B32" s="96"/>
      <c r="C32" s="420" t="str">
        <f>IF(M23=1,B23,IF(M24=1,B24,IF(M25=1,B25,"")))</f>
        <v/>
      </c>
      <c r="D32" s="420"/>
      <c r="E32" s="116" t="s">
        <v>49</v>
      </c>
      <c r="F32" s="420" t="str">
        <f>IF(M28=1,B28,IF(M29=1,B29,IF(M30=1,B30,"")))</f>
        <v/>
      </c>
      <c r="G32" s="420"/>
      <c r="H32" s="96"/>
      <c r="I32" s="95"/>
      <c r="J32" s="96"/>
      <c r="K32" s="96"/>
      <c r="L32" s="96"/>
      <c r="M32" s="96"/>
    </row>
    <row r="33" spans="1:18" x14ac:dyDescent="0.25">
      <c r="A33" s="96"/>
      <c r="B33" s="96"/>
      <c r="C33" s="96"/>
      <c r="D33" s="96"/>
      <c r="E33" s="96"/>
      <c r="F33" s="116"/>
      <c r="G33" s="116"/>
      <c r="H33" s="96"/>
      <c r="I33" s="96"/>
      <c r="J33" s="96"/>
      <c r="K33" s="96"/>
      <c r="L33" s="96"/>
      <c r="M33" s="96"/>
    </row>
    <row r="34" spans="1:18" x14ac:dyDescent="0.25">
      <c r="A34" s="96" t="s">
        <v>48</v>
      </c>
      <c r="B34" s="96"/>
      <c r="C34" s="420" t="str">
        <f>IF(M23=2,B23,IF(M24=2,B24,IF(M25=2,B25,"")))</f>
        <v/>
      </c>
      <c r="D34" s="420"/>
      <c r="E34" s="116" t="s">
        <v>49</v>
      </c>
      <c r="F34" s="420" t="str">
        <f>IF(M28=2,B28,IF(M29=2,B29,IF(M30=2,B30,"")))</f>
        <v/>
      </c>
      <c r="G34" s="420"/>
      <c r="H34" s="96"/>
      <c r="I34" s="95"/>
      <c r="J34" s="96"/>
      <c r="K34" s="96"/>
      <c r="L34" s="96"/>
      <c r="M34" s="96"/>
    </row>
    <row r="35" spans="1:18" x14ac:dyDescent="0.25">
      <c r="A35" s="96"/>
      <c r="B35" s="96"/>
      <c r="C35" s="116"/>
      <c r="D35" s="116"/>
      <c r="E35" s="116"/>
      <c r="F35" s="116"/>
      <c r="G35" s="116"/>
      <c r="H35" s="96"/>
      <c r="I35" s="96"/>
      <c r="J35" s="96"/>
      <c r="K35" s="96"/>
      <c r="L35" s="96"/>
      <c r="M35" s="96"/>
    </row>
    <row r="36" spans="1:18" x14ac:dyDescent="0.25">
      <c r="A36" s="96" t="s">
        <v>50</v>
      </c>
      <c r="B36" s="96"/>
      <c r="C36" s="420" t="str">
        <f>IF(M23=3,B23,IF(M24=3,B24,IF(M25=3,B25,"")))</f>
        <v/>
      </c>
      <c r="D36" s="420"/>
      <c r="E36" s="116" t="s">
        <v>49</v>
      </c>
      <c r="F36" s="420" t="str">
        <f>IF(M28=3,B28,IF(M29=3,B29,IF(M30=3,B30,"")))</f>
        <v/>
      </c>
      <c r="G36" s="420"/>
      <c r="H36" s="96"/>
      <c r="I36" s="95"/>
      <c r="J36" s="96"/>
      <c r="K36" s="96"/>
      <c r="L36" s="96"/>
      <c r="M36" s="96"/>
    </row>
    <row r="37" spans="1:18" x14ac:dyDescent="0.25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</row>
    <row r="38" spans="1:18" x14ac:dyDescent="0.25">
      <c r="A38" s="96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5"/>
      <c r="M38" s="96"/>
    </row>
    <row r="39" spans="1:18" x14ac:dyDescent="0.25">
      <c r="A39" s="45" t="s">
        <v>22</v>
      </c>
      <c r="B39" s="46"/>
      <c r="C39" s="75"/>
      <c r="D39" s="122" t="s">
        <v>0</v>
      </c>
      <c r="E39" s="123" t="s">
        <v>24</v>
      </c>
      <c r="F39" s="137"/>
      <c r="G39" s="122" t="s">
        <v>0</v>
      </c>
      <c r="H39" s="123" t="s">
        <v>31</v>
      </c>
      <c r="I39" s="56"/>
      <c r="J39" s="123" t="s">
        <v>32</v>
      </c>
      <c r="K39" s="55" t="s">
        <v>33</v>
      </c>
      <c r="L39" s="29"/>
      <c r="M39" s="137"/>
      <c r="P39" s="118"/>
      <c r="Q39" s="118"/>
      <c r="R39" s="119"/>
    </row>
    <row r="40" spans="1:18" x14ac:dyDescent="0.25">
      <c r="A40" s="100" t="s">
        <v>23</v>
      </c>
      <c r="B40" s="101"/>
      <c r="C40" s="102"/>
      <c r="D40" s="124">
        <v>1</v>
      </c>
      <c r="E40" s="415" t="e">
        <f>IF(D40&gt;$R$47,,UPPER(VLOOKUP(D40,#REF!,2)))</f>
        <v>#REF!</v>
      </c>
      <c r="F40" s="415"/>
      <c r="G40" s="131" t="s">
        <v>1</v>
      </c>
      <c r="H40" s="101"/>
      <c r="I40" s="125"/>
      <c r="J40" s="132"/>
      <c r="K40" s="98" t="s">
        <v>25</v>
      </c>
      <c r="L40" s="138"/>
      <c r="M40" s="126"/>
      <c r="P40" s="120"/>
      <c r="Q40" s="120"/>
      <c r="R40" s="48"/>
    </row>
    <row r="41" spans="1:18" x14ac:dyDescent="0.25">
      <c r="A41" s="103" t="s">
        <v>30</v>
      </c>
      <c r="B41" s="54"/>
      <c r="C41" s="104"/>
      <c r="D41" s="127">
        <v>2</v>
      </c>
      <c r="E41" s="410" t="e">
        <f>IF(D41&gt;$R$47,,UPPER(VLOOKUP(D41,#REF!,2)))</f>
        <v>#REF!</v>
      </c>
      <c r="F41" s="410"/>
      <c r="G41" s="133" t="s">
        <v>2</v>
      </c>
      <c r="H41" s="36"/>
      <c r="I41" s="97"/>
      <c r="J41" s="37"/>
      <c r="K41" s="135"/>
      <c r="L41" s="95"/>
      <c r="M41" s="130"/>
      <c r="P41" s="48"/>
      <c r="Q41" s="47"/>
      <c r="R41" s="48"/>
    </row>
    <row r="42" spans="1:18" x14ac:dyDescent="0.25">
      <c r="A42" s="67"/>
      <c r="B42" s="68"/>
      <c r="C42" s="69"/>
      <c r="D42" s="127"/>
      <c r="E42" s="38"/>
      <c r="F42" s="96"/>
      <c r="G42" s="133" t="s">
        <v>3</v>
      </c>
      <c r="H42" s="36"/>
      <c r="I42" s="97"/>
      <c r="J42" s="37"/>
      <c r="K42" s="98" t="s">
        <v>26</v>
      </c>
      <c r="L42" s="138"/>
      <c r="M42" s="126"/>
      <c r="P42" s="120"/>
      <c r="Q42" s="120"/>
      <c r="R42" s="48"/>
    </row>
    <row r="43" spans="1:18" x14ac:dyDescent="0.25">
      <c r="A43" s="49"/>
      <c r="B43" s="44"/>
      <c r="C43" s="50"/>
      <c r="D43" s="127"/>
      <c r="E43" s="38"/>
      <c r="F43" s="96"/>
      <c r="G43" s="133" t="s">
        <v>4</v>
      </c>
      <c r="H43" s="36"/>
      <c r="I43" s="97"/>
      <c r="J43" s="37"/>
      <c r="K43" s="136"/>
      <c r="L43" s="96"/>
      <c r="M43" s="128"/>
      <c r="P43" s="48"/>
      <c r="Q43" s="47"/>
      <c r="R43" s="48"/>
    </row>
    <row r="44" spans="1:18" x14ac:dyDescent="0.25">
      <c r="A44" s="58"/>
      <c r="B44" s="70"/>
      <c r="C44" s="74"/>
      <c r="D44" s="127"/>
      <c r="E44" s="38"/>
      <c r="F44" s="96"/>
      <c r="G44" s="133" t="s">
        <v>5</v>
      </c>
      <c r="H44" s="36"/>
      <c r="I44" s="97"/>
      <c r="J44" s="37"/>
      <c r="K44" s="103"/>
      <c r="L44" s="95"/>
      <c r="M44" s="130"/>
      <c r="P44" s="48"/>
      <c r="Q44" s="47"/>
      <c r="R44" s="48"/>
    </row>
    <row r="45" spans="1:18" x14ac:dyDescent="0.25">
      <c r="A45" s="59"/>
      <c r="B45" s="20"/>
      <c r="C45" s="50"/>
      <c r="D45" s="127"/>
      <c r="E45" s="38"/>
      <c r="F45" s="96"/>
      <c r="G45" s="133" t="s">
        <v>6</v>
      </c>
      <c r="H45" s="36"/>
      <c r="I45" s="97"/>
      <c r="J45" s="37"/>
      <c r="K45" s="98" t="s">
        <v>21</v>
      </c>
      <c r="L45" s="138"/>
      <c r="M45" s="126"/>
      <c r="P45" s="120"/>
      <c r="Q45" s="120"/>
      <c r="R45" s="48"/>
    </row>
    <row r="46" spans="1:18" x14ac:dyDescent="0.25">
      <c r="A46" s="59"/>
      <c r="B46" s="20"/>
      <c r="C46" s="65"/>
      <c r="D46" s="127"/>
      <c r="E46" s="38"/>
      <c r="F46" s="96"/>
      <c r="G46" s="133" t="s">
        <v>7</v>
      </c>
      <c r="H46" s="36"/>
      <c r="I46" s="97"/>
      <c r="J46" s="37"/>
      <c r="K46" s="136"/>
      <c r="L46" s="96"/>
      <c r="M46" s="128"/>
      <c r="P46" s="48"/>
      <c r="Q46" s="47"/>
      <c r="R46" s="48"/>
    </row>
    <row r="47" spans="1:18" x14ac:dyDescent="0.25">
      <c r="A47" s="60"/>
      <c r="B47" s="57"/>
      <c r="C47" s="66"/>
      <c r="D47" s="129"/>
      <c r="E47" s="51"/>
      <c r="F47" s="95"/>
      <c r="G47" s="134" t="s">
        <v>8</v>
      </c>
      <c r="H47" s="54"/>
      <c r="I47" s="99"/>
      <c r="J47" s="52"/>
      <c r="K47" s="103">
        <f>L4</f>
        <v>0</v>
      </c>
      <c r="L47" s="95"/>
      <c r="M47" s="130"/>
      <c r="P47" s="48"/>
      <c r="Q47" s="47"/>
      <c r="R47" s="121" t="e">
        <f>MIN(4,#REF!)</f>
        <v>#REF!</v>
      </c>
    </row>
  </sheetData>
  <mergeCells count="42">
    <mergeCell ref="E41:F41"/>
    <mergeCell ref="H29:I29"/>
    <mergeCell ref="B30:C30"/>
    <mergeCell ref="D30:E30"/>
    <mergeCell ref="F30:G30"/>
    <mergeCell ref="E40:F40"/>
    <mergeCell ref="F34:G34"/>
    <mergeCell ref="C34:D34"/>
    <mergeCell ref="C36:D36"/>
    <mergeCell ref="F36:G36"/>
    <mergeCell ref="B29:C29"/>
    <mergeCell ref="H24:I24"/>
    <mergeCell ref="F28:G28"/>
    <mergeCell ref="H28:I28"/>
    <mergeCell ref="C32:D32"/>
    <mergeCell ref="F32:G32"/>
    <mergeCell ref="H25:I25"/>
    <mergeCell ref="B27:C27"/>
    <mergeCell ref="D27:E27"/>
    <mergeCell ref="F27:G27"/>
    <mergeCell ref="H30:I30"/>
    <mergeCell ref="D29:E29"/>
    <mergeCell ref="F29:G29"/>
    <mergeCell ref="H27:I27"/>
    <mergeCell ref="B25:C25"/>
    <mergeCell ref="D25:E25"/>
    <mergeCell ref="F25:G25"/>
    <mergeCell ref="B28:C28"/>
    <mergeCell ref="D28:E28"/>
    <mergeCell ref="B24:C24"/>
    <mergeCell ref="D24:E24"/>
    <mergeCell ref="F24:G24"/>
    <mergeCell ref="H22:I22"/>
    <mergeCell ref="B23:C23"/>
    <mergeCell ref="D23:E23"/>
    <mergeCell ref="F23:G23"/>
    <mergeCell ref="H23:I23"/>
    <mergeCell ref="A1:F1"/>
    <mergeCell ref="A4:C4"/>
    <mergeCell ref="B22:C22"/>
    <mergeCell ref="D22:E22"/>
    <mergeCell ref="F22:G22"/>
  </mergeCells>
  <phoneticPr fontId="35" type="noConversion"/>
  <conditionalFormatting sqref="E7 E9 E11 E13 E15 E17">
    <cfRule type="cellIs" dxfId="59" priority="2" stopIfTrue="1" operator="equal">
      <formula>"Bye"</formula>
    </cfRule>
  </conditionalFormatting>
  <conditionalFormatting sqref="R47">
    <cfRule type="expression" dxfId="58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56">
    <tabColor indexed="11"/>
  </sheetPr>
  <dimension ref="A1:AK54"/>
  <sheetViews>
    <sheetView workbookViewId="0">
      <selection activeCell="H8" sqref="H8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1" width="8.5546875" customWidth="1"/>
    <col min="12" max="12" width="15.21875" customWidth="1"/>
    <col min="13" max="13" width="8.5546875" customWidth="1"/>
    <col min="15" max="15" width="12" customWidth="1"/>
    <col min="16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414" t="str">
        <f>Altalanos!$A$6</f>
        <v>Tenisz Diákolimpia B-A-Z. Vármegyei Döntő</v>
      </c>
      <c r="B1" s="414"/>
      <c r="C1" s="414"/>
      <c r="D1" s="414"/>
      <c r="E1" s="414"/>
      <c r="F1" s="414"/>
      <c r="G1" s="79"/>
      <c r="H1" s="82" t="s">
        <v>29</v>
      </c>
      <c r="I1" s="80"/>
      <c r="J1" s="81"/>
      <c r="L1" s="83"/>
      <c r="M1" s="84"/>
      <c r="N1" s="227"/>
      <c r="O1" s="227" t="s">
        <v>9</v>
      </c>
      <c r="P1" s="227"/>
      <c r="Q1" s="40"/>
      <c r="R1" s="41"/>
      <c r="AB1" s="169" t="str">
        <f>IF(Y5=1,CONCATENATE(VLOOKUP(Y3,AA16:AH31,2)),CONCATENATE(VLOOKUP(Y3,AA2:AK13,2)))</f>
        <v>150</v>
      </c>
      <c r="AC1" s="169" t="str">
        <f>IF(Y5=1,CONCATENATE(VLOOKUP(Y3,AA16:AK31,3)),CONCATENATE(VLOOKUP(Y3,AA2:AK13,3)))</f>
        <v>120</v>
      </c>
      <c r="AD1" s="169" t="str">
        <f>IF(Y5=1,CONCATENATE(VLOOKUP(Y3,AA16:AK31,4)),CONCATENATE(VLOOKUP(Y3,AA2:AK13,4)))</f>
        <v>100</v>
      </c>
      <c r="AE1" s="169" t="str">
        <f>IF(Y5=1,CONCATENATE(VLOOKUP(Y3,AA16:AK31,5)),CONCATENATE(VLOOKUP(Y3,AA2:AK13,5)))</f>
        <v>80</v>
      </c>
      <c r="AF1" s="169" t="str">
        <f>IF(Y5=1,CONCATENATE(VLOOKUP(Y3,AA16:AK31,6)),CONCATENATE(VLOOKUP(Y3,AA2:AK13,6)))</f>
        <v>70</v>
      </c>
      <c r="AG1" s="169" t="str">
        <f>IF(Y5=1,CONCATENATE(VLOOKUP(Y3,AA16:AK31,7)),CONCATENATE(VLOOKUP(Y3,AA2:AK13,7)))</f>
        <v>60</v>
      </c>
      <c r="AH1" s="169" t="str">
        <f>IF(Y5=1,CONCATENATE(VLOOKUP(Y3,AA16:AK31,8)),CONCATENATE(VLOOKUP(Y3,AA2:AK13,8)))</f>
        <v>55</v>
      </c>
      <c r="AI1" s="169" t="str">
        <f>IF(Y5=1,CONCATENATE(VLOOKUP(Y3,AA16:AK31,9)),CONCATENATE(VLOOKUP(Y3,AA2:AK13,9)))</f>
        <v>50</v>
      </c>
      <c r="AJ1" s="169" t="str">
        <f>IF(Y5=1,CONCATENATE(VLOOKUP(Y3,AA16:AK31,10)),CONCATENATE(VLOOKUP(Y3,AA2:AK13,10)))</f>
        <v>45</v>
      </c>
      <c r="AK1" s="169" t="str">
        <f>IF(Y5=1,CONCATENATE(VLOOKUP(Y3,AA16:AK31,11)),CONCATENATE(VLOOKUP(Y3,AA2:AK13,11)))</f>
        <v>40</v>
      </c>
    </row>
    <row r="2" spans="1:37" x14ac:dyDescent="0.25">
      <c r="A2" s="85" t="s">
        <v>28</v>
      </c>
      <c r="B2" s="86"/>
      <c r="C2" s="86"/>
      <c r="D2" s="86"/>
      <c r="E2" s="86" t="s">
        <v>501</v>
      </c>
      <c r="F2" s="86"/>
      <c r="G2" s="87"/>
      <c r="H2" s="88"/>
      <c r="I2" s="88"/>
      <c r="J2" s="89"/>
      <c r="K2" s="83"/>
      <c r="L2" s="83"/>
      <c r="M2" s="83"/>
      <c r="N2" s="234"/>
      <c r="O2" s="233"/>
      <c r="P2" s="234"/>
      <c r="Q2" s="39"/>
      <c r="R2" s="42"/>
      <c r="Y2" s="164"/>
      <c r="Z2" s="163"/>
      <c r="AA2" s="163" t="s">
        <v>38</v>
      </c>
      <c r="AB2" s="154">
        <v>150</v>
      </c>
      <c r="AC2" s="154">
        <v>120</v>
      </c>
      <c r="AD2" s="154">
        <v>100</v>
      </c>
      <c r="AE2" s="154">
        <v>80</v>
      </c>
      <c r="AF2" s="154">
        <v>70</v>
      </c>
      <c r="AG2" s="154">
        <v>60</v>
      </c>
      <c r="AH2" s="154">
        <v>55</v>
      </c>
      <c r="AI2" s="154">
        <v>50</v>
      </c>
      <c r="AJ2" s="154">
        <v>45</v>
      </c>
      <c r="AK2" s="154">
        <v>40</v>
      </c>
    </row>
    <row r="3" spans="1:37" x14ac:dyDescent="0.25">
      <c r="A3" s="34" t="s">
        <v>16</v>
      </c>
      <c r="B3" s="34"/>
      <c r="C3" s="34"/>
      <c r="D3" s="34"/>
      <c r="E3" s="34" t="s">
        <v>14</v>
      </c>
      <c r="F3" s="34"/>
      <c r="G3" s="34"/>
      <c r="H3" s="34" t="s">
        <v>18</v>
      </c>
      <c r="I3" s="34"/>
      <c r="J3" s="43"/>
      <c r="K3" s="34"/>
      <c r="L3" s="35" t="s">
        <v>19</v>
      </c>
      <c r="M3" s="34"/>
      <c r="N3" s="236"/>
      <c r="O3" s="235"/>
      <c r="P3" s="236"/>
      <c r="Q3" s="153" t="s">
        <v>52</v>
      </c>
      <c r="R3" s="154" t="s">
        <v>58</v>
      </c>
      <c r="S3" s="154" t="s">
        <v>53</v>
      </c>
      <c r="Y3" s="163" t="str">
        <f>IF(H4="OB","A",IF(H4="IX","W",H4))</f>
        <v>B</v>
      </c>
      <c r="Z3" s="163"/>
      <c r="AA3" s="163" t="s">
        <v>68</v>
      </c>
      <c r="AB3" s="154">
        <v>120</v>
      </c>
      <c r="AC3" s="154">
        <v>90</v>
      </c>
      <c r="AD3" s="154">
        <v>65</v>
      </c>
      <c r="AE3" s="154">
        <v>55</v>
      </c>
      <c r="AF3" s="154">
        <v>50</v>
      </c>
      <c r="AG3" s="154">
        <v>45</v>
      </c>
      <c r="AH3" s="154">
        <v>40</v>
      </c>
      <c r="AI3" s="154">
        <v>35</v>
      </c>
      <c r="AJ3" s="154">
        <v>25</v>
      </c>
      <c r="AK3" s="154">
        <v>20</v>
      </c>
    </row>
    <row r="4" spans="1:37" ht="13.8" thickBot="1" x14ac:dyDescent="0.3">
      <c r="A4" s="417" t="str">
        <f>Altalanos!$A$10</f>
        <v>2024.05.02-03.</v>
      </c>
      <c r="B4" s="417"/>
      <c r="C4" s="417"/>
      <c r="D4" s="90"/>
      <c r="E4" s="91" t="str">
        <f>Altalanos!$C$10</f>
        <v>Kazincbarcika</v>
      </c>
      <c r="F4" s="91"/>
      <c r="G4" s="91"/>
      <c r="H4" s="93" t="s">
        <v>39</v>
      </c>
      <c r="I4" s="91"/>
      <c r="J4" s="92"/>
      <c r="K4" s="93"/>
      <c r="L4" s="94">
        <f>Altalanos!$E$10</f>
        <v>0</v>
      </c>
      <c r="M4" s="93"/>
      <c r="N4" s="242"/>
      <c r="O4" s="243"/>
      <c r="P4" s="242"/>
      <c r="Q4" s="155" t="s">
        <v>59</v>
      </c>
      <c r="R4" s="156" t="s">
        <v>54</v>
      </c>
      <c r="S4" s="156" t="s">
        <v>55</v>
      </c>
      <c r="Y4" s="163"/>
      <c r="Z4" s="163"/>
      <c r="AA4" s="163" t="s">
        <v>69</v>
      </c>
      <c r="AB4" s="154">
        <v>90</v>
      </c>
      <c r="AC4" s="154">
        <v>60</v>
      </c>
      <c r="AD4" s="154">
        <v>45</v>
      </c>
      <c r="AE4" s="154">
        <v>34</v>
      </c>
      <c r="AF4" s="154">
        <v>27</v>
      </c>
      <c r="AG4" s="154">
        <v>22</v>
      </c>
      <c r="AH4" s="154">
        <v>18</v>
      </c>
      <c r="AI4" s="154">
        <v>15</v>
      </c>
      <c r="AJ4" s="154">
        <v>12</v>
      </c>
      <c r="AK4" s="154">
        <v>9</v>
      </c>
    </row>
    <row r="5" spans="1:37" x14ac:dyDescent="0.25">
      <c r="A5" s="29"/>
      <c r="B5" s="29" t="s">
        <v>27</v>
      </c>
      <c r="C5" s="107" t="s">
        <v>36</v>
      </c>
      <c r="D5" s="29" t="s">
        <v>22</v>
      </c>
      <c r="E5" s="29" t="s">
        <v>41</v>
      </c>
      <c r="F5" s="29"/>
      <c r="G5" s="29" t="s">
        <v>17</v>
      </c>
      <c r="H5" s="29"/>
      <c r="I5" s="29" t="s">
        <v>20</v>
      </c>
      <c r="J5" s="29"/>
      <c r="K5" s="140" t="s">
        <v>42</v>
      </c>
      <c r="L5" s="140" t="s">
        <v>43</v>
      </c>
      <c r="M5" s="140" t="s">
        <v>44</v>
      </c>
      <c r="N5" s="228"/>
      <c r="O5" s="228"/>
      <c r="P5" s="228"/>
      <c r="Q5" s="157" t="s">
        <v>60</v>
      </c>
      <c r="R5" s="158" t="s">
        <v>56</v>
      </c>
      <c r="S5" s="158" t="s">
        <v>57</v>
      </c>
      <c r="Y5" s="163">
        <f>IF(OR(Altalanos!$A$8="F1",Altalanos!$A$8="F2",Altalanos!$A$8="N1",Altalanos!$A$8="N2"),1,2)</f>
        <v>2</v>
      </c>
      <c r="Z5" s="163"/>
      <c r="AA5" s="163" t="s">
        <v>70</v>
      </c>
      <c r="AB5" s="154">
        <v>60</v>
      </c>
      <c r="AC5" s="154">
        <v>40</v>
      </c>
      <c r="AD5" s="154">
        <v>30</v>
      </c>
      <c r="AE5" s="154">
        <v>20</v>
      </c>
      <c r="AF5" s="154">
        <v>18</v>
      </c>
      <c r="AG5" s="154">
        <v>15</v>
      </c>
      <c r="AH5" s="154">
        <v>12</v>
      </c>
      <c r="AI5" s="154">
        <v>10</v>
      </c>
      <c r="AJ5" s="154">
        <v>8</v>
      </c>
      <c r="AK5" s="154">
        <v>6</v>
      </c>
    </row>
    <row r="6" spans="1:37" x14ac:dyDescent="0.25">
      <c r="A6" s="96"/>
      <c r="B6" s="96"/>
      <c r="C6" s="139"/>
      <c r="D6" s="96"/>
      <c r="E6" s="96"/>
      <c r="F6" s="96"/>
      <c r="G6" s="96"/>
      <c r="H6" s="96"/>
      <c r="I6" s="96"/>
      <c r="J6" s="96"/>
      <c r="K6" s="96"/>
      <c r="L6" s="96"/>
      <c r="M6" s="96"/>
      <c r="N6" s="228"/>
      <c r="O6" s="228"/>
      <c r="P6" s="228"/>
      <c r="Y6" s="163"/>
      <c r="Z6" s="163"/>
      <c r="AA6" s="163" t="s">
        <v>71</v>
      </c>
      <c r="AB6" s="154">
        <v>40</v>
      </c>
      <c r="AC6" s="154">
        <v>25</v>
      </c>
      <c r="AD6" s="154">
        <v>18</v>
      </c>
      <c r="AE6" s="154">
        <v>13</v>
      </c>
      <c r="AF6" s="154">
        <v>10</v>
      </c>
      <c r="AG6" s="154">
        <v>8</v>
      </c>
      <c r="AH6" s="154">
        <v>6</v>
      </c>
      <c r="AI6" s="154">
        <v>5</v>
      </c>
      <c r="AJ6" s="154">
        <v>4</v>
      </c>
      <c r="AK6" s="154">
        <v>3</v>
      </c>
    </row>
    <row r="7" spans="1:37" x14ac:dyDescent="0.25">
      <c r="A7" s="211" t="s">
        <v>38</v>
      </c>
      <c r="B7" s="159"/>
      <c r="C7" s="109" t="str">
        <f>IF($B7="","",VLOOKUP($B7,#REF!,5))</f>
        <v/>
      </c>
      <c r="D7" s="109" t="str">
        <f>IF($B7="","",VLOOKUP($B7,#REF!,15))</f>
        <v/>
      </c>
      <c r="E7" s="106" t="s">
        <v>294</v>
      </c>
      <c r="F7" s="108"/>
      <c r="G7" s="106" t="s">
        <v>295</v>
      </c>
      <c r="H7" s="108"/>
      <c r="I7" s="106" t="str">
        <f>IF($B7="","",VLOOKUP($B7,#REF!,4))</f>
        <v/>
      </c>
      <c r="J7" s="96"/>
      <c r="K7" s="170"/>
      <c r="L7" s="165" t="str">
        <f>IF(K7="","",CONCATENATE(VLOOKUP($Y$3,$AB$1:$AK$1,K7)," pont"))</f>
        <v/>
      </c>
      <c r="M7" s="171"/>
      <c r="N7" s="228"/>
      <c r="O7" s="228"/>
      <c r="P7" s="228"/>
      <c r="Q7" s="153" t="s">
        <v>52</v>
      </c>
      <c r="R7" s="371" t="s">
        <v>437</v>
      </c>
      <c r="S7" s="371" t="s">
        <v>97</v>
      </c>
      <c r="Y7" s="163"/>
      <c r="Z7" s="163"/>
      <c r="AA7" s="163" t="s">
        <v>72</v>
      </c>
      <c r="AB7" s="154">
        <v>25</v>
      </c>
      <c r="AC7" s="154">
        <v>15</v>
      </c>
      <c r="AD7" s="154">
        <v>13</v>
      </c>
      <c r="AE7" s="154">
        <v>8</v>
      </c>
      <c r="AF7" s="154">
        <v>6</v>
      </c>
      <c r="AG7" s="154">
        <v>4</v>
      </c>
      <c r="AH7" s="154">
        <v>3</v>
      </c>
      <c r="AI7" s="154">
        <v>2</v>
      </c>
      <c r="AJ7" s="154">
        <v>1</v>
      </c>
      <c r="AK7" s="154">
        <v>0</v>
      </c>
    </row>
    <row r="8" spans="1:37" x14ac:dyDescent="0.25">
      <c r="A8" s="116"/>
      <c r="B8" s="160"/>
      <c r="C8" s="117"/>
      <c r="D8" s="117"/>
      <c r="E8" s="117"/>
      <c r="F8" s="117"/>
      <c r="G8" s="117"/>
      <c r="H8" s="117"/>
      <c r="I8" s="117"/>
      <c r="J8" s="96"/>
      <c r="K8" s="116"/>
      <c r="L8" s="116"/>
      <c r="M8" s="172"/>
      <c r="N8" s="228"/>
      <c r="O8" s="228"/>
      <c r="P8" s="228"/>
      <c r="Q8" s="155" t="s">
        <v>59</v>
      </c>
      <c r="R8" s="372" t="s">
        <v>96</v>
      </c>
      <c r="S8" s="372" t="s">
        <v>438</v>
      </c>
      <c r="Y8" s="163"/>
      <c r="Z8" s="163"/>
      <c r="AA8" s="163" t="s">
        <v>73</v>
      </c>
      <c r="AB8" s="154">
        <v>15</v>
      </c>
      <c r="AC8" s="154">
        <v>10</v>
      </c>
      <c r="AD8" s="154">
        <v>7</v>
      </c>
      <c r="AE8" s="154">
        <v>5</v>
      </c>
      <c r="AF8" s="154">
        <v>4</v>
      </c>
      <c r="AG8" s="154">
        <v>3</v>
      </c>
      <c r="AH8" s="154">
        <v>2</v>
      </c>
      <c r="AI8" s="154">
        <v>1</v>
      </c>
      <c r="AJ8" s="154">
        <v>0</v>
      </c>
      <c r="AK8" s="154">
        <v>0</v>
      </c>
    </row>
    <row r="9" spans="1:37" x14ac:dyDescent="0.25">
      <c r="A9" s="116" t="s">
        <v>39</v>
      </c>
      <c r="B9" s="161"/>
      <c r="C9" s="109" t="str">
        <f>IF($B9="","",VLOOKUP($B9,#REF!,5))</f>
        <v/>
      </c>
      <c r="D9" s="109" t="str">
        <f>IF($B9="","",VLOOKUP($B9,#REF!,15))</f>
        <v/>
      </c>
      <c r="E9" s="105" t="s">
        <v>296</v>
      </c>
      <c r="F9" s="110"/>
      <c r="G9" s="105" t="s">
        <v>297</v>
      </c>
      <c r="H9" s="110"/>
      <c r="I9" s="105" t="str">
        <f>IF($B9="","",VLOOKUP($B9,#REF!,4))</f>
        <v/>
      </c>
      <c r="J9" s="96"/>
      <c r="K9" s="170"/>
      <c r="L9" s="165" t="str">
        <f>IF(K9="","",CONCATENATE(VLOOKUP($Y$3,$AB$1:$AK$1,K9)," pont"))</f>
        <v/>
      </c>
      <c r="M9" s="171"/>
      <c r="N9" s="228"/>
      <c r="O9" s="228"/>
      <c r="P9" s="228"/>
      <c r="Q9" s="157" t="s">
        <v>60</v>
      </c>
      <c r="R9" s="373" t="s">
        <v>95</v>
      </c>
      <c r="S9" s="373" t="s">
        <v>94</v>
      </c>
      <c r="Y9" s="163"/>
      <c r="Z9" s="163"/>
      <c r="AA9" s="163" t="s">
        <v>74</v>
      </c>
      <c r="AB9" s="154">
        <v>10</v>
      </c>
      <c r="AC9" s="154">
        <v>6</v>
      </c>
      <c r="AD9" s="154">
        <v>4</v>
      </c>
      <c r="AE9" s="154">
        <v>2</v>
      </c>
      <c r="AF9" s="154">
        <v>1</v>
      </c>
      <c r="AG9" s="154">
        <v>0</v>
      </c>
      <c r="AH9" s="154">
        <v>0</v>
      </c>
      <c r="AI9" s="154">
        <v>0</v>
      </c>
      <c r="AJ9" s="154">
        <v>0</v>
      </c>
      <c r="AK9" s="154">
        <v>0</v>
      </c>
    </row>
    <row r="10" spans="1:37" x14ac:dyDescent="0.25">
      <c r="A10" s="116"/>
      <c r="B10" s="160"/>
      <c r="C10" s="117"/>
      <c r="D10" s="117"/>
      <c r="E10" s="117"/>
      <c r="F10" s="117"/>
      <c r="G10" s="117"/>
      <c r="H10" s="117"/>
      <c r="I10" s="117"/>
      <c r="J10" s="96"/>
      <c r="K10" s="116"/>
      <c r="L10" s="116"/>
      <c r="M10" s="172"/>
      <c r="N10" s="228"/>
      <c r="O10" s="228"/>
      <c r="P10" s="228"/>
      <c r="Q10" s="374" t="s">
        <v>66</v>
      </c>
      <c r="R10" s="375" t="s">
        <v>92</v>
      </c>
      <c r="S10" s="375" t="s">
        <v>439</v>
      </c>
      <c r="Y10" s="163"/>
      <c r="Z10" s="163"/>
      <c r="AA10" s="163" t="s">
        <v>75</v>
      </c>
      <c r="AB10" s="154">
        <v>6</v>
      </c>
      <c r="AC10" s="154">
        <v>3</v>
      </c>
      <c r="AD10" s="154">
        <v>2</v>
      </c>
      <c r="AE10" s="154">
        <v>1</v>
      </c>
      <c r="AF10" s="154">
        <v>0</v>
      </c>
      <c r="AG10" s="154">
        <v>0</v>
      </c>
      <c r="AH10" s="154">
        <v>0</v>
      </c>
      <c r="AI10" s="154">
        <v>0</v>
      </c>
      <c r="AJ10" s="154">
        <v>0</v>
      </c>
      <c r="AK10" s="154">
        <v>0</v>
      </c>
    </row>
    <row r="11" spans="1:37" x14ac:dyDescent="0.25">
      <c r="A11" s="116" t="s">
        <v>40</v>
      </c>
      <c r="B11" s="161"/>
      <c r="C11" s="109" t="str">
        <f>IF($B11="","",VLOOKUP($B11,#REF!,5))</f>
        <v/>
      </c>
      <c r="D11" s="109" t="str">
        <f>IF($B11="","",VLOOKUP($B11,#REF!,15))</f>
        <v/>
      </c>
      <c r="E11" s="105" t="s">
        <v>298</v>
      </c>
      <c r="F11" s="110"/>
      <c r="G11" s="105" t="s">
        <v>299</v>
      </c>
      <c r="H11" s="110"/>
      <c r="I11" s="105" t="str">
        <f>IF($B11="","",VLOOKUP($B11,#REF!,4))</f>
        <v/>
      </c>
      <c r="J11" s="96"/>
      <c r="K11" s="170"/>
      <c r="L11" s="165" t="str">
        <f>IF(K11="","",CONCATENATE(VLOOKUP($Y$3,$AB$1:$AK$1,K11)," pont"))</f>
        <v/>
      </c>
      <c r="M11" s="171"/>
      <c r="N11" s="228"/>
      <c r="O11" s="228"/>
      <c r="P11" s="228"/>
      <c r="Q11" s="376" t="s">
        <v>67</v>
      </c>
      <c r="R11" s="377" t="s">
        <v>89</v>
      </c>
      <c r="S11" s="377" t="s">
        <v>440</v>
      </c>
      <c r="Y11" s="163"/>
      <c r="Z11" s="163"/>
      <c r="AA11" s="163" t="s">
        <v>80</v>
      </c>
      <c r="AB11" s="154">
        <v>3</v>
      </c>
      <c r="AC11" s="154">
        <v>2</v>
      </c>
      <c r="AD11" s="154">
        <v>1</v>
      </c>
      <c r="AE11" s="154">
        <v>0</v>
      </c>
      <c r="AF11" s="154">
        <v>0</v>
      </c>
      <c r="AG11" s="154">
        <v>0</v>
      </c>
      <c r="AH11" s="154">
        <v>0</v>
      </c>
      <c r="AI11" s="154">
        <v>0</v>
      </c>
      <c r="AJ11" s="154">
        <v>0</v>
      </c>
      <c r="AK11" s="154">
        <v>0</v>
      </c>
    </row>
    <row r="12" spans="1:37" x14ac:dyDescent="0.25">
      <c r="A12" s="96"/>
      <c r="B12" s="147"/>
      <c r="C12" s="139"/>
      <c r="D12" s="96"/>
      <c r="E12" s="96"/>
      <c r="F12" s="96"/>
      <c r="G12" s="96"/>
      <c r="H12" s="96"/>
      <c r="I12" s="96"/>
      <c r="J12" s="96"/>
      <c r="K12" s="139"/>
      <c r="L12" s="139"/>
      <c r="M12" s="172"/>
      <c r="N12" s="228"/>
      <c r="O12" s="228"/>
      <c r="P12" s="228"/>
      <c r="S12" s="219"/>
      <c r="Y12" s="163"/>
      <c r="Z12" s="163"/>
      <c r="AA12" s="163" t="s">
        <v>76</v>
      </c>
      <c r="AB12" s="168">
        <v>0</v>
      </c>
      <c r="AC12" s="168">
        <v>0</v>
      </c>
      <c r="AD12" s="168">
        <v>0</v>
      </c>
      <c r="AE12" s="168">
        <v>0</v>
      </c>
      <c r="AF12" s="168">
        <v>0</v>
      </c>
      <c r="AG12" s="168">
        <v>0</v>
      </c>
      <c r="AH12" s="168">
        <v>0</v>
      </c>
      <c r="AI12" s="168">
        <v>0</v>
      </c>
      <c r="AJ12" s="168">
        <v>0</v>
      </c>
      <c r="AK12" s="168">
        <v>0</v>
      </c>
    </row>
    <row r="13" spans="1:37" x14ac:dyDescent="0.25">
      <c r="A13" s="176" t="s">
        <v>45</v>
      </c>
      <c r="B13" s="179"/>
      <c r="C13" s="109" t="str">
        <f>IF($B13="","",VLOOKUP($B13,#REF!,5))</f>
        <v/>
      </c>
      <c r="D13" s="109" t="str">
        <f>IF($B13="","",VLOOKUP($B13,#REF!,15))</f>
        <v/>
      </c>
      <c r="E13" s="105" t="s">
        <v>300</v>
      </c>
      <c r="F13" s="110"/>
      <c r="G13" s="105" t="s">
        <v>301</v>
      </c>
      <c r="H13" s="110"/>
      <c r="I13" s="105" t="str">
        <f>IF($B13="","",VLOOKUP($B13,#REF!,4))</f>
        <v/>
      </c>
      <c r="J13" s="96"/>
      <c r="K13" s="170"/>
      <c r="L13" s="165" t="str">
        <f>IF(K13="","",CONCATENATE(VLOOKUP($Y$3,$AB$1:$AK$1,K13)," pont"))</f>
        <v/>
      </c>
      <c r="M13" s="171"/>
      <c r="N13" s="228"/>
      <c r="O13" s="228"/>
      <c r="P13" s="228"/>
      <c r="S13" s="219"/>
      <c r="Y13" s="163"/>
      <c r="Z13" s="163"/>
      <c r="AA13" s="163" t="s">
        <v>77</v>
      </c>
      <c r="AB13" s="168">
        <v>0</v>
      </c>
      <c r="AC13" s="168">
        <v>0</v>
      </c>
      <c r="AD13" s="168">
        <v>0</v>
      </c>
      <c r="AE13" s="168">
        <v>0</v>
      </c>
      <c r="AF13" s="168">
        <v>0</v>
      </c>
      <c r="AG13" s="168">
        <v>0</v>
      </c>
      <c r="AH13" s="168">
        <v>0</v>
      </c>
      <c r="AI13" s="168">
        <v>0</v>
      </c>
      <c r="AJ13" s="168">
        <v>0</v>
      </c>
      <c r="AK13" s="168">
        <v>0</v>
      </c>
    </row>
    <row r="14" spans="1:37" x14ac:dyDescent="0.25">
      <c r="A14" s="116"/>
      <c r="B14" s="160"/>
      <c r="C14" s="117"/>
      <c r="D14" s="117"/>
      <c r="E14" s="117"/>
      <c r="F14" s="117"/>
      <c r="G14" s="117"/>
      <c r="H14" s="117"/>
      <c r="I14" s="117"/>
      <c r="J14" s="96"/>
      <c r="K14" s="116"/>
      <c r="L14" s="116"/>
      <c r="M14" s="172"/>
      <c r="N14" s="228"/>
      <c r="O14" s="228"/>
      <c r="P14" s="228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</row>
    <row r="15" spans="1:37" x14ac:dyDescent="0.25">
      <c r="A15" s="211" t="s">
        <v>46</v>
      </c>
      <c r="B15" s="178"/>
      <c r="C15" s="109" t="str">
        <f>IF($B15="","",VLOOKUP($B15,#REF!,5))</f>
        <v/>
      </c>
      <c r="D15" s="177" t="str">
        <f>IF($B15="","",VLOOKUP($B15,#REF!,15))</f>
        <v/>
      </c>
      <c r="E15" s="106" t="s">
        <v>302</v>
      </c>
      <c r="F15" s="108"/>
      <c r="G15" s="106" t="s">
        <v>303</v>
      </c>
      <c r="H15" s="108"/>
      <c r="I15" s="106" t="str">
        <f>IF($B15="","",VLOOKUP($B15,#REF!,4))</f>
        <v/>
      </c>
      <c r="J15" s="96"/>
      <c r="K15" s="170"/>
      <c r="L15" s="165" t="str">
        <f>IF(K15="","",CONCATENATE(VLOOKUP($Y$3,$AB$1:$AK$1,K15)," pont"))</f>
        <v/>
      </c>
      <c r="M15" s="171"/>
      <c r="N15" s="228"/>
      <c r="O15" s="228"/>
      <c r="P15" s="228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</row>
    <row r="16" spans="1:37" x14ac:dyDescent="0.25">
      <c r="A16" s="116"/>
      <c r="B16" s="160"/>
      <c r="C16" s="117"/>
      <c r="D16" s="117"/>
      <c r="E16" s="117"/>
      <c r="F16" s="117"/>
      <c r="G16" s="117"/>
      <c r="H16" s="117"/>
      <c r="I16" s="117"/>
      <c r="J16" s="96"/>
      <c r="K16" s="116"/>
      <c r="L16" s="116"/>
      <c r="M16" s="172"/>
      <c r="N16" s="228"/>
      <c r="O16" s="228"/>
      <c r="P16" s="228"/>
      <c r="Y16" s="163"/>
      <c r="Z16" s="163"/>
      <c r="AA16" s="163" t="s">
        <v>38</v>
      </c>
      <c r="AB16" s="163">
        <v>300</v>
      </c>
      <c r="AC16" s="163">
        <v>250</v>
      </c>
      <c r="AD16" s="163">
        <v>220</v>
      </c>
      <c r="AE16" s="163">
        <v>180</v>
      </c>
      <c r="AF16" s="163">
        <v>160</v>
      </c>
      <c r="AG16" s="163">
        <v>150</v>
      </c>
      <c r="AH16" s="163">
        <v>140</v>
      </c>
      <c r="AI16" s="163">
        <v>130</v>
      </c>
      <c r="AJ16" s="163">
        <v>120</v>
      </c>
      <c r="AK16" s="163">
        <v>110</v>
      </c>
    </row>
    <row r="17" spans="1:37" x14ac:dyDescent="0.25">
      <c r="A17" s="116" t="s">
        <v>47</v>
      </c>
      <c r="B17" s="161"/>
      <c r="C17" s="109" t="str">
        <f>IF($B17="","",VLOOKUP($B17,#REF!,5))</f>
        <v/>
      </c>
      <c r="D17" s="109" t="str">
        <f>IF($B17="","",VLOOKUP($B17,#REF!,15))</f>
        <v/>
      </c>
      <c r="E17" s="105" t="s">
        <v>304</v>
      </c>
      <c r="F17" s="110"/>
      <c r="G17" s="105" t="s">
        <v>307</v>
      </c>
      <c r="H17" s="110"/>
      <c r="I17" s="105" t="str">
        <f>IF($B17="","",VLOOKUP($B17,#REF!,4))</f>
        <v/>
      </c>
      <c r="J17" s="96"/>
      <c r="K17" s="170"/>
      <c r="L17" s="165" t="str">
        <f>IF(K17="","",CONCATENATE(VLOOKUP($Y$3,$AB$1:$AK$1,K17)," pont"))</f>
        <v/>
      </c>
      <c r="M17" s="171"/>
      <c r="N17" s="228"/>
      <c r="O17" s="228"/>
      <c r="P17" s="228"/>
      <c r="Y17" s="163"/>
      <c r="Z17" s="163"/>
      <c r="AA17" s="163" t="s">
        <v>68</v>
      </c>
      <c r="AB17" s="163">
        <v>250</v>
      </c>
      <c r="AC17" s="163">
        <v>200</v>
      </c>
      <c r="AD17" s="163">
        <v>160</v>
      </c>
      <c r="AE17" s="163">
        <v>140</v>
      </c>
      <c r="AF17" s="163">
        <v>120</v>
      </c>
      <c r="AG17" s="163">
        <v>110</v>
      </c>
      <c r="AH17" s="163">
        <v>100</v>
      </c>
      <c r="AI17" s="163">
        <v>90</v>
      </c>
      <c r="AJ17" s="163">
        <v>80</v>
      </c>
      <c r="AK17" s="163">
        <v>70</v>
      </c>
    </row>
    <row r="18" spans="1:37" x14ac:dyDescent="0.25">
      <c r="A18" s="116"/>
      <c r="B18" s="160"/>
      <c r="C18" s="117"/>
      <c r="D18" s="117"/>
      <c r="E18" s="117"/>
      <c r="F18" s="117"/>
      <c r="G18" s="117"/>
      <c r="H18" s="117"/>
      <c r="I18" s="117"/>
      <c r="J18" s="96"/>
      <c r="K18" s="116"/>
      <c r="L18" s="116"/>
      <c r="M18" s="172"/>
      <c r="N18" s="228"/>
      <c r="O18" s="228"/>
      <c r="P18" s="228"/>
      <c r="Y18" s="163"/>
      <c r="Z18" s="163"/>
      <c r="AA18" s="163" t="s">
        <v>69</v>
      </c>
      <c r="AB18" s="163">
        <v>200</v>
      </c>
      <c r="AC18" s="163">
        <v>150</v>
      </c>
      <c r="AD18" s="163">
        <v>130</v>
      </c>
      <c r="AE18" s="163">
        <v>110</v>
      </c>
      <c r="AF18" s="163">
        <v>95</v>
      </c>
      <c r="AG18" s="163">
        <v>80</v>
      </c>
      <c r="AH18" s="163">
        <v>70</v>
      </c>
      <c r="AI18" s="163">
        <v>60</v>
      </c>
      <c r="AJ18" s="163">
        <v>55</v>
      </c>
      <c r="AK18" s="163">
        <v>50</v>
      </c>
    </row>
    <row r="19" spans="1:37" x14ac:dyDescent="0.25">
      <c r="A19" s="176" t="s">
        <v>51</v>
      </c>
      <c r="B19" s="161"/>
      <c r="C19" s="109" t="str">
        <f>IF($B19="","",VLOOKUP($B19,#REF!,5))</f>
        <v/>
      </c>
      <c r="D19" s="109" t="str">
        <f>IF($B19="","",VLOOKUP($B19,#REF!,15))</f>
        <v/>
      </c>
      <c r="E19" s="105" t="s">
        <v>305</v>
      </c>
      <c r="F19" s="110"/>
      <c r="G19" s="105" t="s">
        <v>306</v>
      </c>
      <c r="H19" s="110"/>
      <c r="I19" s="105" t="str">
        <f>IF($B19="","",VLOOKUP($B19,#REF!,4))</f>
        <v/>
      </c>
      <c r="J19" s="96"/>
      <c r="K19" s="170"/>
      <c r="L19" s="165" t="str">
        <f>IF(K19="","",CONCATENATE(VLOOKUP($Y$3,$AB$1:$AK$1,K19)," pont"))</f>
        <v/>
      </c>
      <c r="M19" s="171"/>
      <c r="N19" s="228"/>
      <c r="O19" s="228"/>
      <c r="P19" s="228"/>
      <c r="Y19" s="163"/>
      <c r="Z19" s="163"/>
      <c r="AA19" s="163" t="s">
        <v>70</v>
      </c>
      <c r="AB19" s="163">
        <v>150</v>
      </c>
      <c r="AC19" s="163">
        <v>120</v>
      </c>
      <c r="AD19" s="163">
        <v>100</v>
      </c>
      <c r="AE19" s="163">
        <v>80</v>
      </c>
      <c r="AF19" s="163">
        <v>70</v>
      </c>
      <c r="AG19" s="163">
        <v>60</v>
      </c>
      <c r="AH19" s="163">
        <v>55</v>
      </c>
      <c r="AI19" s="163">
        <v>50</v>
      </c>
      <c r="AJ19" s="163">
        <v>45</v>
      </c>
      <c r="AK19" s="163">
        <v>40</v>
      </c>
    </row>
    <row r="20" spans="1:37" x14ac:dyDescent="0.25">
      <c r="A20" s="116"/>
      <c r="B20" s="160"/>
      <c r="C20" s="117"/>
      <c r="D20" s="117"/>
      <c r="E20" s="117"/>
      <c r="F20" s="117"/>
      <c r="G20" s="117"/>
      <c r="H20" s="117"/>
      <c r="I20" s="117"/>
      <c r="J20" s="96"/>
      <c r="K20" s="116"/>
      <c r="L20" s="116"/>
      <c r="M20" s="172"/>
      <c r="N20" s="228"/>
      <c r="O20" s="228"/>
      <c r="P20" s="228"/>
      <c r="Y20" s="163"/>
      <c r="Z20" s="163"/>
      <c r="AA20" s="163" t="s">
        <v>69</v>
      </c>
      <c r="AB20" s="163">
        <v>200</v>
      </c>
      <c r="AC20" s="163">
        <v>150</v>
      </c>
      <c r="AD20" s="163">
        <v>130</v>
      </c>
      <c r="AE20" s="163">
        <v>110</v>
      </c>
      <c r="AF20" s="163">
        <v>95</v>
      </c>
      <c r="AG20" s="163">
        <v>80</v>
      </c>
      <c r="AH20" s="163">
        <v>70</v>
      </c>
      <c r="AI20" s="163">
        <v>60</v>
      </c>
      <c r="AJ20" s="163">
        <v>55</v>
      </c>
      <c r="AK20" s="163">
        <v>50</v>
      </c>
    </row>
    <row r="21" spans="1:37" x14ac:dyDescent="0.25">
      <c r="A21" s="176" t="s">
        <v>87</v>
      </c>
      <c r="B21" s="161"/>
      <c r="C21" s="109" t="str">
        <f>IF($B21="","",VLOOKUP($B21,#REF!,5))</f>
        <v/>
      </c>
      <c r="D21" s="109" t="str">
        <f>IF($B21="","",VLOOKUP($B21,#REF!,15))</f>
        <v/>
      </c>
      <c r="E21" s="105" t="s">
        <v>308</v>
      </c>
      <c r="F21" s="110"/>
      <c r="G21" s="105" t="s">
        <v>277</v>
      </c>
      <c r="H21" s="110"/>
      <c r="I21" s="105" t="str">
        <f>IF($B21="","",VLOOKUP($B21,#REF!,4))</f>
        <v/>
      </c>
      <c r="J21" s="96"/>
      <c r="K21" s="170"/>
      <c r="L21" s="165" t="str">
        <f>IF(K21="","",CONCATENATE(VLOOKUP($Y$3,$AB$1:$AK$1,K21)," pont"))</f>
        <v/>
      </c>
      <c r="M21" s="171"/>
      <c r="N21" s="228"/>
      <c r="O21" s="228"/>
      <c r="P21" s="228"/>
      <c r="Y21" s="163"/>
      <c r="Z21" s="163"/>
      <c r="AA21" s="163" t="s">
        <v>70</v>
      </c>
      <c r="AB21" s="163">
        <v>150</v>
      </c>
      <c r="AC21" s="163">
        <v>120</v>
      </c>
      <c r="AD21" s="163">
        <v>100</v>
      </c>
      <c r="AE21" s="163">
        <v>80</v>
      </c>
      <c r="AF21" s="163">
        <v>70</v>
      </c>
      <c r="AG21" s="163">
        <v>60</v>
      </c>
      <c r="AH21" s="163">
        <v>55</v>
      </c>
      <c r="AI21" s="163">
        <v>50</v>
      </c>
      <c r="AJ21" s="163">
        <v>45</v>
      </c>
      <c r="AK21" s="163">
        <v>40</v>
      </c>
    </row>
    <row r="22" spans="1:37" x14ac:dyDescent="0.25">
      <c r="A22" s="96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228"/>
      <c r="O22" s="228"/>
      <c r="P22" s="228"/>
      <c r="Y22" s="163"/>
      <c r="Z22" s="163"/>
      <c r="AA22" s="163" t="s">
        <v>71</v>
      </c>
      <c r="AB22" s="163">
        <v>120</v>
      </c>
      <c r="AC22" s="163">
        <v>90</v>
      </c>
      <c r="AD22" s="163">
        <v>65</v>
      </c>
      <c r="AE22" s="163">
        <v>55</v>
      </c>
      <c r="AF22" s="163">
        <v>50</v>
      </c>
      <c r="AG22" s="163">
        <v>45</v>
      </c>
      <c r="AH22" s="163">
        <v>40</v>
      </c>
      <c r="AI22" s="163">
        <v>35</v>
      </c>
      <c r="AJ22" s="163">
        <v>25</v>
      </c>
      <c r="AK22" s="163">
        <v>20</v>
      </c>
    </row>
    <row r="23" spans="1:37" x14ac:dyDescent="0.25">
      <c r="A23" s="211" t="s">
        <v>68</v>
      </c>
      <c r="B23" s="161"/>
      <c r="C23" s="109" t="str">
        <f>IF($B23="","",VLOOKUP($B23,#REF!,5))</f>
        <v/>
      </c>
      <c r="D23" s="109" t="str">
        <f>IF($B23="","",VLOOKUP($B23,#REF!,15))</f>
        <v/>
      </c>
      <c r="E23" s="105" t="s">
        <v>312</v>
      </c>
      <c r="F23" s="110"/>
      <c r="G23" s="105" t="s">
        <v>313</v>
      </c>
      <c r="H23" s="110"/>
      <c r="I23" s="105" t="str">
        <f>IF($B23="","",VLOOKUP($B23,#REF!,4))</f>
        <v/>
      </c>
      <c r="J23" s="96"/>
      <c r="K23" s="170"/>
      <c r="L23" s="165" t="str">
        <f>IF(K23="","",CONCATENATE(VLOOKUP($Y$3,$AB$1:$AK$1,K23)," pont"))</f>
        <v/>
      </c>
      <c r="M23" s="171"/>
      <c r="N23" s="228"/>
      <c r="O23" s="228"/>
      <c r="P23" s="228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</row>
    <row r="24" spans="1:37" x14ac:dyDescent="0.25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228"/>
      <c r="O24" s="228"/>
      <c r="P24" s="228"/>
      <c r="Y24" s="163"/>
      <c r="Z24" s="163"/>
      <c r="AA24" s="163" t="s">
        <v>72</v>
      </c>
      <c r="AB24" s="163">
        <v>90</v>
      </c>
      <c r="AC24" s="163">
        <v>60</v>
      </c>
      <c r="AD24" s="163">
        <v>45</v>
      </c>
      <c r="AE24" s="163">
        <v>34</v>
      </c>
      <c r="AF24" s="163">
        <v>27</v>
      </c>
      <c r="AG24" s="163">
        <v>22</v>
      </c>
      <c r="AH24" s="163">
        <v>18</v>
      </c>
      <c r="AI24" s="163">
        <v>15</v>
      </c>
      <c r="AJ24" s="163">
        <v>12</v>
      </c>
      <c r="AK24" s="163">
        <v>9</v>
      </c>
    </row>
    <row r="25" spans="1:37" ht="18.75" customHeight="1" x14ac:dyDescent="0.25">
      <c r="A25" s="96"/>
      <c r="B25" s="413"/>
      <c r="C25" s="413"/>
      <c r="D25" s="412" t="str">
        <f>E7</f>
        <v xml:space="preserve">Berki </v>
      </c>
      <c r="E25" s="412"/>
      <c r="F25" s="412" t="str">
        <f>E9</f>
        <v>Zelenák</v>
      </c>
      <c r="G25" s="412"/>
      <c r="H25" s="412" t="str">
        <f>E11</f>
        <v>Baumann</v>
      </c>
      <c r="I25" s="412"/>
      <c r="J25" s="412" t="str">
        <f>E13</f>
        <v>Jancsurák</v>
      </c>
      <c r="K25" s="412"/>
      <c r="L25" s="96"/>
      <c r="M25" s="228"/>
      <c r="N25" s="228"/>
      <c r="O25" s="148" t="s">
        <v>42</v>
      </c>
      <c r="P25" s="228"/>
      <c r="Y25" s="163"/>
      <c r="Z25" s="163"/>
      <c r="AA25" s="163" t="s">
        <v>73</v>
      </c>
      <c r="AB25" s="163">
        <v>60</v>
      </c>
      <c r="AC25" s="163">
        <v>40</v>
      </c>
      <c r="AD25" s="163">
        <v>30</v>
      </c>
      <c r="AE25" s="163">
        <v>20</v>
      </c>
      <c r="AF25" s="163">
        <v>18</v>
      </c>
      <c r="AG25" s="163">
        <v>15</v>
      </c>
      <c r="AH25" s="163">
        <v>12</v>
      </c>
      <c r="AI25" s="163">
        <v>10</v>
      </c>
      <c r="AJ25" s="163">
        <v>8</v>
      </c>
      <c r="AK25" s="163">
        <v>6</v>
      </c>
    </row>
    <row r="26" spans="1:37" ht="18.75" customHeight="1" x14ac:dyDescent="0.25">
      <c r="A26" s="146" t="s">
        <v>38</v>
      </c>
      <c r="B26" s="416" t="str">
        <f>E7</f>
        <v xml:space="preserve">Berki </v>
      </c>
      <c r="C26" s="416"/>
      <c r="D26" s="411"/>
      <c r="E26" s="411"/>
      <c r="F26" s="409"/>
      <c r="G26" s="409"/>
      <c r="H26" s="409"/>
      <c r="I26" s="409"/>
      <c r="J26" s="412"/>
      <c r="K26" s="412"/>
      <c r="L26" s="96"/>
      <c r="M26" s="228"/>
      <c r="N26" s="228"/>
      <c r="O26" s="279"/>
      <c r="P26" s="228"/>
      <c r="Y26" s="163"/>
      <c r="Z26" s="163"/>
      <c r="AA26" s="163" t="s">
        <v>74</v>
      </c>
      <c r="AB26" s="163">
        <v>40</v>
      </c>
      <c r="AC26" s="163">
        <v>25</v>
      </c>
      <c r="AD26" s="163">
        <v>18</v>
      </c>
      <c r="AE26" s="163">
        <v>13</v>
      </c>
      <c r="AF26" s="163">
        <v>8</v>
      </c>
      <c r="AG26" s="163">
        <v>7</v>
      </c>
      <c r="AH26" s="163">
        <v>6</v>
      </c>
      <c r="AI26" s="163">
        <v>5</v>
      </c>
      <c r="AJ26" s="163">
        <v>4</v>
      </c>
      <c r="AK26" s="163">
        <v>3</v>
      </c>
    </row>
    <row r="27" spans="1:37" ht="18.75" customHeight="1" x14ac:dyDescent="0.25">
      <c r="A27" s="146" t="s">
        <v>39</v>
      </c>
      <c r="B27" s="416" t="str">
        <f>E9</f>
        <v>Zelenák</v>
      </c>
      <c r="C27" s="416"/>
      <c r="D27" s="409"/>
      <c r="E27" s="409"/>
      <c r="F27" s="411"/>
      <c r="G27" s="411"/>
      <c r="H27" s="409"/>
      <c r="I27" s="409"/>
      <c r="J27" s="409"/>
      <c r="K27" s="409"/>
      <c r="L27" s="96"/>
      <c r="M27" s="228"/>
      <c r="N27" s="228"/>
      <c r="O27" s="279"/>
      <c r="P27" s="228"/>
      <c r="Y27" s="163"/>
      <c r="Z27" s="163"/>
      <c r="AA27" s="163" t="s">
        <v>75</v>
      </c>
      <c r="AB27" s="163">
        <v>25</v>
      </c>
      <c r="AC27" s="163">
        <v>15</v>
      </c>
      <c r="AD27" s="163">
        <v>13</v>
      </c>
      <c r="AE27" s="163">
        <v>7</v>
      </c>
      <c r="AF27" s="163">
        <v>6</v>
      </c>
      <c r="AG27" s="163">
        <v>5</v>
      </c>
      <c r="AH27" s="163">
        <v>4</v>
      </c>
      <c r="AI27" s="163">
        <v>3</v>
      </c>
      <c r="AJ27" s="163">
        <v>2</v>
      </c>
      <c r="AK27" s="163">
        <v>1</v>
      </c>
    </row>
    <row r="28" spans="1:37" ht="18.75" customHeight="1" x14ac:dyDescent="0.25">
      <c r="A28" s="146" t="s">
        <v>40</v>
      </c>
      <c r="B28" s="416" t="str">
        <f>E11</f>
        <v>Baumann</v>
      </c>
      <c r="C28" s="416"/>
      <c r="D28" s="409"/>
      <c r="E28" s="409"/>
      <c r="F28" s="409"/>
      <c r="G28" s="409"/>
      <c r="H28" s="411"/>
      <c r="I28" s="411"/>
      <c r="J28" s="409"/>
      <c r="K28" s="409"/>
      <c r="L28" s="96"/>
      <c r="M28" s="228"/>
      <c r="N28" s="228"/>
      <c r="O28" s="279"/>
      <c r="P28" s="228"/>
      <c r="Y28" s="163"/>
      <c r="Z28" s="163"/>
      <c r="AA28" s="163" t="s">
        <v>80</v>
      </c>
      <c r="AB28" s="163">
        <v>15</v>
      </c>
      <c r="AC28" s="163">
        <v>10</v>
      </c>
      <c r="AD28" s="163">
        <v>8</v>
      </c>
      <c r="AE28" s="163">
        <v>4</v>
      </c>
      <c r="AF28" s="163">
        <v>3</v>
      </c>
      <c r="AG28" s="163">
        <v>2</v>
      </c>
      <c r="AH28" s="163">
        <v>1</v>
      </c>
      <c r="AI28" s="163">
        <v>0</v>
      </c>
      <c r="AJ28" s="163">
        <v>0</v>
      </c>
      <c r="AK28" s="163">
        <v>0</v>
      </c>
    </row>
    <row r="29" spans="1:37" ht="18.75" customHeight="1" x14ac:dyDescent="0.25">
      <c r="A29" s="175" t="s">
        <v>45</v>
      </c>
      <c r="B29" s="416" t="str">
        <f>E13</f>
        <v>Jancsurák</v>
      </c>
      <c r="C29" s="416"/>
      <c r="D29" s="409"/>
      <c r="E29" s="409"/>
      <c r="F29" s="409"/>
      <c r="G29" s="409"/>
      <c r="H29" s="412"/>
      <c r="I29" s="412"/>
      <c r="J29" s="411"/>
      <c r="K29" s="411"/>
      <c r="L29" s="96"/>
      <c r="M29" s="228"/>
      <c r="N29" s="228"/>
      <c r="O29" s="279"/>
      <c r="P29" s="228"/>
      <c r="Y29" s="163"/>
      <c r="Z29" s="163"/>
      <c r="AA29" s="163" t="s">
        <v>80</v>
      </c>
      <c r="AB29" s="163">
        <v>15</v>
      </c>
      <c r="AC29" s="163">
        <v>10</v>
      </c>
      <c r="AD29" s="163">
        <v>8</v>
      </c>
      <c r="AE29" s="163">
        <v>4</v>
      </c>
      <c r="AF29" s="163">
        <v>3</v>
      </c>
      <c r="AG29" s="163">
        <v>2</v>
      </c>
      <c r="AH29" s="163">
        <v>1</v>
      </c>
      <c r="AI29" s="163">
        <v>0</v>
      </c>
      <c r="AJ29" s="163">
        <v>0</v>
      </c>
      <c r="AK29" s="163">
        <v>0</v>
      </c>
    </row>
    <row r="30" spans="1:37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249"/>
      <c r="N30" s="228"/>
      <c r="O30" s="228"/>
      <c r="P30" s="228"/>
      <c r="Y30" s="163"/>
      <c r="Z30" s="163"/>
      <c r="AA30" s="163" t="s">
        <v>76</v>
      </c>
      <c r="AB30" s="163">
        <v>10</v>
      </c>
      <c r="AC30" s="163">
        <v>6</v>
      </c>
      <c r="AD30" s="163">
        <v>4</v>
      </c>
      <c r="AE30" s="163">
        <v>2</v>
      </c>
      <c r="AF30" s="163">
        <v>1</v>
      </c>
      <c r="AG30" s="163">
        <v>0</v>
      </c>
      <c r="AH30" s="163">
        <v>0</v>
      </c>
      <c r="AI30" s="163">
        <v>0</v>
      </c>
      <c r="AJ30" s="163">
        <v>0</v>
      </c>
      <c r="AK30" s="163">
        <v>0</v>
      </c>
    </row>
    <row r="31" spans="1:37" ht="18.75" customHeight="1" x14ac:dyDescent="0.25">
      <c r="A31" s="96"/>
      <c r="B31" s="413"/>
      <c r="C31" s="413"/>
      <c r="D31" s="432" t="s">
        <v>302</v>
      </c>
      <c r="E31" s="412"/>
      <c r="F31" s="432" t="s">
        <v>304</v>
      </c>
      <c r="G31" s="412"/>
      <c r="H31" s="435" t="s">
        <v>305</v>
      </c>
      <c r="I31" s="436"/>
      <c r="J31" s="432" t="s">
        <v>310</v>
      </c>
      <c r="K31" s="412"/>
      <c r="L31" s="280" t="s">
        <v>311</v>
      </c>
      <c r="M31" s="249"/>
      <c r="N31" s="228"/>
      <c r="P31" s="228"/>
      <c r="Y31" s="163"/>
      <c r="Z31" s="163"/>
      <c r="AA31" s="163" t="s">
        <v>77</v>
      </c>
      <c r="AB31" s="163">
        <v>3</v>
      </c>
      <c r="AC31" s="163">
        <v>2</v>
      </c>
      <c r="AD31" s="163">
        <v>1</v>
      </c>
      <c r="AE31" s="163">
        <v>0</v>
      </c>
      <c r="AF31" s="163">
        <v>0</v>
      </c>
      <c r="AG31" s="163">
        <v>0</v>
      </c>
      <c r="AH31" s="163">
        <v>0</v>
      </c>
      <c r="AI31" s="163">
        <v>0</v>
      </c>
      <c r="AJ31" s="163">
        <v>0</v>
      </c>
      <c r="AK31" s="163">
        <v>0</v>
      </c>
    </row>
    <row r="32" spans="1:37" ht="18.75" customHeight="1" x14ac:dyDescent="0.25">
      <c r="A32" s="175" t="s">
        <v>46</v>
      </c>
      <c r="B32" s="433" t="s">
        <v>309</v>
      </c>
      <c r="C32" s="434"/>
      <c r="D32" s="411"/>
      <c r="E32" s="411"/>
      <c r="F32" s="409"/>
      <c r="G32" s="409"/>
      <c r="H32" s="409"/>
      <c r="I32" s="409"/>
      <c r="J32" s="412"/>
      <c r="K32" s="412"/>
      <c r="L32" s="148"/>
      <c r="M32" s="228"/>
      <c r="N32" s="228"/>
      <c r="O32" s="279"/>
      <c r="P32" s="228"/>
    </row>
    <row r="33" spans="1:18" ht="18.75" customHeight="1" x14ac:dyDescent="0.25">
      <c r="A33" s="175" t="s">
        <v>47</v>
      </c>
      <c r="B33" s="427" t="s">
        <v>304</v>
      </c>
      <c r="C33" s="416"/>
      <c r="D33" s="409"/>
      <c r="E33" s="409"/>
      <c r="F33" s="411"/>
      <c r="G33" s="411"/>
      <c r="H33" s="409"/>
      <c r="I33" s="409"/>
      <c r="J33" s="409"/>
      <c r="K33" s="409"/>
      <c r="L33" s="148"/>
      <c r="M33" s="228"/>
      <c r="N33" s="228"/>
      <c r="O33" s="279"/>
      <c r="P33" s="228"/>
    </row>
    <row r="34" spans="1:18" ht="18.75" customHeight="1" x14ac:dyDescent="0.25">
      <c r="A34" s="222" t="s">
        <v>51</v>
      </c>
      <c r="B34" s="428" t="s">
        <v>305</v>
      </c>
      <c r="C34" s="429"/>
      <c r="D34" s="430"/>
      <c r="E34" s="430"/>
      <c r="F34" s="430"/>
      <c r="G34" s="430"/>
      <c r="H34" s="431"/>
      <c r="I34" s="431"/>
      <c r="J34" s="430"/>
      <c r="K34" s="430"/>
      <c r="L34" s="148"/>
      <c r="M34" s="228"/>
      <c r="N34" s="228"/>
      <c r="O34" s="279"/>
      <c r="P34" s="228"/>
    </row>
    <row r="35" spans="1:18" ht="18.75" customHeight="1" x14ac:dyDescent="0.25">
      <c r="A35" s="175" t="s">
        <v>87</v>
      </c>
      <c r="B35" s="427" t="s">
        <v>310</v>
      </c>
      <c r="C35" s="416"/>
      <c r="D35" s="409"/>
      <c r="E35" s="409"/>
      <c r="F35" s="409"/>
      <c r="G35" s="409"/>
      <c r="H35" s="412"/>
      <c r="I35" s="412"/>
      <c r="J35" s="411"/>
      <c r="K35" s="411"/>
      <c r="L35" s="148"/>
      <c r="M35" s="228"/>
      <c r="O35" s="279"/>
      <c r="P35" s="228"/>
    </row>
    <row r="36" spans="1:18" ht="18.75" customHeight="1" x14ac:dyDescent="0.25">
      <c r="A36" s="280" t="s">
        <v>68</v>
      </c>
      <c r="B36" s="421" t="s">
        <v>311</v>
      </c>
      <c r="C36" s="422"/>
      <c r="D36" s="423"/>
      <c r="E36" s="424"/>
      <c r="F36" s="423"/>
      <c r="G36" s="424"/>
      <c r="H36" s="423"/>
      <c r="I36" s="424"/>
      <c r="J36" s="425"/>
      <c r="K36" s="426"/>
      <c r="L36" s="223"/>
      <c r="M36" s="228"/>
      <c r="N36" s="228"/>
      <c r="O36" s="278"/>
      <c r="P36" s="228"/>
    </row>
    <row r="37" spans="1:18" x14ac:dyDescent="0.25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228"/>
      <c r="O37" s="228"/>
      <c r="P37" s="228"/>
    </row>
    <row r="38" spans="1:18" x14ac:dyDescent="0.25">
      <c r="A38" s="96" t="s">
        <v>34</v>
      </c>
      <c r="B38" s="96"/>
      <c r="C38" s="420" t="str">
        <f>IF(O26=1,B26,IF(O27=1,B27,IF(O28=1,B28,IF(O29=1,B29,""))))</f>
        <v/>
      </c>
      <c r="D38" s="420"/>
      <c r="E38" s="116" t="s">
        <v>49</v>
      </c>
      <c r="F38" s="420" t="str">
        <f>IF(O32=1,B32,IF(O33=1,B33,IF(O34=1,B34,IF(O35=1,B35,""))))</f>
        <v/>
      </c>
      <c r="G38" s="420"/>
      <c r="H38" s="96"/>
      <c r="I38" s="95"/>
      <c r="J38" s="96"/>
      <c r="K38" s="96"/>
      <c r="L38" s="96"/>
      <c r="M38" s="96"/>
      <c r="N38" s="228"/>
      <c r="O38" s="228"/>
      <c r="P38" s="228"/>
    </row>
    <row r="39" spans="1:18" x14ac:dyDescent="0.25">
      <c r="A39" s="96"/>
      <c r="B39" s="96"/>
      <c r="C39" s="96"/>
      <c r="D39" s="96"/>
      <c r="E39" s="96"/>
      <c r="F39" s="116"/>
      <c r="G39" s="116"/>
      <c r="H39" s="96"/>
      <c r="I39" s="96"/>
      <c r="J39" s="96"/>
      <c r="K39" s="96"/>
      <c r="L39" s="96"/>
      <c r="M39" s="96"/>
      <c r="N39" s="228"/>
      <c r="O39" s="228"/>
      <c r="P39" s="228"/>
    </row>
    <row r="40" spans="1:18" x14ac:dyDescent="0.25">
      <c r="A40" s="96" t="s">
        <v>48</v>
      </c>
      <c r="B40" s="96"/>
      <c r="C40" s="420" t="str">
        <f>IF(O26=2,B26,IF(O27=2,B27,IF(O28=2,B28,IF(O29=2,B29,""))))</f>
        <v/>
      </c>
      <c r="D40" s="420"/>
      <c r="E40" s="116" t="s">
        <v>49</v>
      </c>
      <c r="F40" s="420" t="str">
        <f>IF(O32=2,B32,IF(O33=2,B33,IF(O34=2,B34,IF(O35=2,B35,""))))</f>
        <v/>
      </c>
      <c r="G40" s="420"/>
      <c r="H40" s="96"/>
      <c r="I40" s="95"/>
      <c r="J40" s="96"/>
      <c r="K40" s="96"/>
      <c r="L40" s="96"/>
      <c r="M40" s="96"/>
      <c r="N40" s="228"/>
      <c r="O40" s="228"/>
      <c r="P40" s="228"/>
    </row>
    <row r="41" spans="1:18" x14ac:dyDescent="0.25">
      <c r="A41" s="96"/>
      <c r="B41" s="96"/>
      <c r="C41" s="116"/>
      <c r="D41" s="116"/>
      <c r="E41" s="116"/>
      <c r="F41" s="116"/>
      <c r="G41" s="116"/>
      <c r="H41" s="96"/>
      <c r="I41" s="96"/>
      <c r="J41" s="96"/>
      <c r="K41" s="96"/>
      <c r="L41" s="96"/>
      <c r="M41" s="96"/>
      <c r="N41" s="228"/>
      <c r="O41" s="228"/>
      <c r="P41" s="228"/>
    </row>
    <row r="42" spans="1:18" x14ac:dyDescent="0.25">
      <c r="A42" s="96" t="s">
        <v>50</v>
      </c>
      <c r="B42" s="96"/>
      <c r="C42" s="420" t="str">
        <f>IF(O26=3,B26,IF(O27=3,B27,IF(O28=3,B28,IF(O29=3,B29,""))))</f>
        <v/>
      </c>
      <c r="D42" s="420"/>
      <c r="E42" s="116" t="s">
        <v>49</v>
      </c>
      <c r="F42" s="420" t="str">
        <f>IF(O32=3,B32,IF(O33=3,B33,IF(O34=3,B34,IF(O35=3,B35,""))))</f>
        <v/>
      </c>
      <c r="G42" s="420"/>
      <c r="H42" s="96"/>
      <c r="I42" s="95"/>
      <c r="J42" s="96"/>
      <c r="K42" s="96"/>
      <c r="L42" s="96"/>
      <c r="M42" s="96"/>
      <c r="N42" s="228"/>
      <c r="O42" s="228"/>
      <c r="P42" s="228"/>
    </row>
    <row r="43" spans="1:18" x14ac:dyDescent="0.25">
      <c r="A43" s="96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228"/>
      <c r="O43" s="228"/>
      <c r="P43" s="228"/>
    </row>
    <row r="44" spans="1:18" x14ac:dyDescent="0.25">
      <c r="A44" s="117" t="s">
        <v>88</v>
      </c>
      <c r="B44" s="96"/>
      <c r="C44" s="420">
        <f>IF(O26=4,B26,IF(O27=4,B27,IF(O28=4,B28,IF(O29=4,B29,))))</f>
        <v>0</v>
      </c>
      <c r="D44" s="420"/>
      <c r="E44" s="116" t="s">
        <v>49</v>
      </c>
      <c r="F44" s="420" t="str">
        <f>IF(O32=3,B32,IF(O33=3,B33,IF(O34=4,B34,IF(O35=4,B35,""))))</f>
        <v/>
      </c>
      <c r="G44" s="420"/>
      <c r="H44" s="96"/>
      <c r="I44" s="95"/>
      <c r="J44" s="96"/>
      <c r="K44" s="96"/>
      <c r="L44" s="96"/>
      <c r="M44" s="96"/>
      <c r="N44" s="228"/>
      <c r="O44" s="228"/>
      <c r="P44" s="228"/>
    </row>
    <row r="45" spans="1:18" x14ac:dyDescent="0.25">
      <c r="A45" s="96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5"/>
      <c r="M45" s="96"/>
      <c r="N45" s="228"/>
      <c r="O45" s="228"/>
      <c r="P45" s="250"/>
      <c r="Q45" s="118"/>
      <c r="R45" s="119"/>
    </row>
    <row r="46" spans="1:18" x14ac:dyDescent="0.25">
      <c r="A46" s="45" t="s">
        <v>22</v>
      </c>
      <c r="B46" s="46"/>
      <c r="C46" s="75"/>
      <c r="D46" s="122" t="s">
        <v>0</v>
      </c>
      <c r="E46" s="123" t="s">
        <v>24</v>
      </c>
      <c r="F46" s="137"/>
      <c r="G46" s="122" t="s">
        <v>0</v>
      </c>
      <c r="H46" s="123" t="s">
        <v>31</v>
      </c>
      <c r="I46" s="56"/>
      <c r="J46" s="123" t="s">
        <v>32</v>
      </c>
      <c r="K46" s="55" t="s">
        <v>33</v>
      </c>
      <c r="L46" s="29"/>
      <c r="M46" s="137"/>
      <c r="N46" s="228"/>
      <c r="O46" s="228"/>
      <c r="P46" s="254"/>
      <c r="Q46" s="120"/>
      <c r="R46" s="48"/>
    </row>
    <row r="47" spans="1:18" x14ac:dyDescent="0.25">
      <c r="A47" s="100" t="s">
        <v>23</v>
      </c>
      <c r="B47" s="101"/>
      <c r="C47" s="102"/>
      <c r="D47" s="124">
        <v>1</v>
      </c>
      <c r="E47" s="415" t="e">
        <f>IF(D47&gt;$R$48,,UPPER(VLOOKUP(D47,#REF!,2)))</f>
        <v>#REF!</v>
      </c>
      <c r="F47" s="415"/>
      <c r="G47" s="131" t="s">
        <v>1</v>
      </c>
      <c r="H47" s="101"/>
      <c r="I47" s="125"/>
      <c r="J47" s="132"/>
      <c r="K47" s="98" t="s">
        <v>25</v>
      </c>
      <c r="L47" s="138"/>
      <c r="M47" s="126"/>
      <c r="N47" s="228"/>
      <c r="O47" s="228"/>
      <c r="P47" s="259"/>
      <c r="Q47" s="47"/>
      <c r="R47" s="48"/>
    </row>
    <row r="48" spans="1:18" x14ac:dyDescent="0.25">
      <c r="A48" s="103" t="s">
        <v>30</v>
      </c>
      <c r="B48" s="54"/>
      <c r="C48" s="104"/>
      <c r="D48" s="127">
        <v>2</v>
      </c>
      <c r="E48" s="410" t="e">
        <f>IF(D48&gt;$R$48,,UPPER(VLOOKUP(D48,#REF!,2)))</f>
        <v>#REF!</v>
      </c>
      <c r="F48" s="410"/>
      <c r="G48" s="133" t="s">
        <v>2</v>
      </c>
      <c r="H48" s="36"/>
      <c r="I48" s="97"/>
      <c r="J48" s="37"/>
      <c r="K48" s="135"/>
      <c r="L48" s="95"/>
      <c r="M48" s="130"/>
      <c r="N48" s="228"/>
      <c r="O48" s="228"/>
      <c r="P48" s="254"/>
      <c r="Q48" s="120"/>
      <c r="R48" s="121" t="e">
        <f>MIN(4,#REF!)</f>
        <v>#REF!</v>
      </c>
    </row>
    <row r="49" spans="1:18" x14ac:dyDescent="0.25">
      <c r="A49" s="67"/>
      <c r="B49" s="68"/>
      <c r="C49" s="69"/>
      <c r="D49" s="127"/>
      <c r="E49" s="38"/>
      <c r="F49" s="96"/>
      <c r="G49" s="133" t="s">
        <v>3</v>
      </c>
      <c r="H49" s="36"/>
      <c r="I49" s="97"/>
      <c r="J49" s="37"/>
      <c r="K49" s="98" t="s">
        <v>26</v>
      </c>
      <c r="L49" s="138"/>
      <c r="M49" s="126"/>
      <c r="N49" s="228"/>
      <c r="O49" s="228"/>
      <c r="P49" s="259"/>
      <c r="Q49" s="47"/>
      <c r="R49" s="48"/>
    </row>
    <row r="50" spans="1:18" x14ac:dyDescent="0.25">
      <c r="A50" s="49"/>
      <c r="B50" s="44"/>
      <c r="C50" s="50"/>
      <c r="D50" s="127"/>
      <c r="E50" s="38"/>
      <c r="F50" s="96"/>
      <c r="G50" s="133" t="s">
        <v>4</v>
      </c>
      <c r="H50" s="36"/>
      <c r="I50" s="97"/>
      <c r="J50" s="37"/>
      <c r="K50" s="136"/>
      <c r="L50" s="96"/>
      <c r="M50" s="128"/>
      <c r="N50" s="228"/>
      <c r="O50" s="228"/>
      <c r="P50" s="259"/>
      <c r="Q50" s="47"/>
      <c r="R50" s="48"/>
    </row>
    <row r="51" spans="1:18" x14ac:dyDescent="0.25">
      <c r="A51" s="58"/>
      <c r="B51" s="70"/>
      <c r="C51" s="74"/>
      <c r="D51" s="127"/>
      <c r="E51" s="38"/>
      <c r="F51" s="96"/>
      <c r="G51" s="133" t="s">
        <v>5</v>
      </c>
      <c r="H51" s="36"/>
      <c r="I51" s="97"/>
      <c r="J51" s="37"/>
      <c r="K51" s="103"/>
      <c r="L51" s="95"/>
      <c r="M51" s="130"/>
      <c r="N51" s="228"/>
      <c r="O51" s="228"/>
      <c r="P51" s="254"/>
      <c r="Q51" s="120"/>
      <c r="R51" s="48"/>
    </row>
    <row r="52" spans="1:18" x14ac:dyDescent="0.25">
      <c r="A52" s="59"/>
      <c r="B52" s="20"/>
      <c r="C52" s="50"/>
      <c r="D52" s="127"/>
      <c r="E52" s="38"/>
      <c r="F52" s="96"/>
      <c r="G52" s="133" t="s">
        <v>6</v>
      </c>
      <c r="H52" s="36"/>
      <c r="I52" s="97"/>
      <c r="J52" s="37"/>
      <c r="K52" s="98" t="s">
        <v>21</v>
      </c>
      <c r="L52" s="138"/>
      <c r="M52" s="126"/>
      <c r="N52" s="228"/>
      <c r="O52" s="228"/>
      <c r="P52" s="259"/>
      <c r="Q52" s="47"/>
      <c r="R52" s="48"/>
    </row>
    <row r="53" spans="1:18" x14ac:dyDescent="0.25">
      <c r="A53" s="59"/>
      <c r="B53" s="20"/>
      <c r="C53" s="65"/>
      <c r="D53" s="127"/>
      <c r="E53" s="38"/>
      <c r="F53" s="96"/>
      <c r="G53" s="133" t="s">
        <v>7</v>
      </c>
      <c r="H53" s="36"/>
      <c r="I53" s="97"/>
      <c r="J53" s="37"/>
      <c r="K53" s="136"/>
      <c r="L53" s="96"/>
      <c r="M53" s="128"/>
      <c r="N53" s="228"/>
      <c r="O53" s="228"/>
      <c r="P53" s="259"/>
      <c r="Q53" s="47"/>
      <c r="R53" s="121"/>
    </row>
    <row r="54" spans="1:18" x14ac:dyDescent="0.25">
      <c r="A54" s="60"/>
      <c r="B54" s="57"/>
      <c r="C54" s="66"/>
      <c r="D54" s="129"/>
      <c r="E54" s="51"/>
      <c r="F54" s="95"/>
      <c r="G54" s="134" t="s">
        <v>8</v>
      </c>
      <c r="H54" s="54"/>
      <c r="I54" s="99"/>
      <c r="J54" s="52"/>
      <c r="K54" s="103">
        <f>L4</f>
        <v>0</v>
      </c>
      <c r="L54" s="95"/>
      <c r="M54" s="130"/>
      <c r="N54" s="228"/>
      <c r="O54" s="228"/>
      <c r="P54" s="228"/>
    </row>
  </sheetData>
  <mergeCells count="67">
    <mergeCell ref="A1:F1"/>
    <mergeCell ref="A4:C4"/>
    <mergeCell ref="B25:C25"/>
    <mergeCell ref="D25:E25"/>
    <mergeCell ref="F25:G25"/>
    <mergeCell ref="B26:C26"/>
    <mergeCell ref="D26:E26"/>
    <mergeCell ref="F26:G26"/>
    <mergeCell ref="H26:I26"/>
    <mergeCell ref="B27:C27"/>
    <mergeCell ref="D27:E27"/>
    <mergeCell ref="F27:G27"/>
    <mergeCell ref="H27:I27"/>
    <mergeCell ref="B28:C28"/>
    <mergeCell ref="D28:E28"/>
    <mergeCell ref="F28:G28"/>
    <mergeCell ref="H28:I28"/>
    <mergeCell ref="B31:C31"/>
    <mergeCell ref="D31:E31"/>
    <mergeCell ref="F31:G31"/>
    <mergeCell ref="H31:I31"/>
    <mergeCell ref="B29:C29"/>
    <mergeCell ref="D29:E29"/>
    <mergeCell ref="F29:G29"/>
    <mergeCell ref="H29:I29"/>
    <mergeCell ref="J31:K31"/>
    <mergeCell ref="B32:C32"/>
    <mergeCell ref="D32:E32"/>
    <mergeCell ref="F32:G32"/>
    <mergeCell ref="H32:I32"/>
    <mergeCell ref="J32:K32"/>
    <mergeCell ref="B34:C34"/>
    <mergeCell ref="D34:E34"/>
    <mergeCell ref="F34:G34"/>
    <mergeCell ref="H34:I34"/>
    <mergeCell ref="J34:K34"/>
    <mergeCell ref="B33:C33"/>
    <mergeCell ref="D33:E33"/>
    <mergeCell ref="F33:G33"/>
    <mergeCell ref="H33:I33"/>
    <mergeCell ref="J33:K33"/>
    <mergeCell ref="J29:K29"/>
    <mergeCell ref="E48:F48"/>
    <mergeCell ref="C44:D44"/>
    <mergeCell ref="F44:G44"/>
    <mergeCell ref="B35:C35"/>
    <mergeCell ref="D35:E35"/>
    <mergeCell ref="F35:G35"/>
    <mergeCell ref="C40:D40"/>
    <mergeCell ref="F40:G40"/>
    <mergeCell ref="C42:D42"/>
    <mergeCell ref="F42:G42"/>
    <mergeCell ref="E47:F47"/>
    <mergeCell ref="H35:I35"/>
    <mergeCell ref="J35:K35"/>
    <mergeCell ref="C38:D38"/>
    <mergeCell ref="F38:G38"/>
    <mergeCell ref="H25:I25"/>
    <mergeCell ref="J25:K25"/>
    <mergeCell ref="J26:K26"/>
    <mergeCell ref="J27:K27"/>
    <mergeCell ref="J28:K28"/>
    <mergeCell ref="B36:C36"/>
    <mergeCell ref="D36:E36"/>
    <mergeCell ref="F36:G36"/>
    <mergeCell ref="H36:I36"/>
    <mergeCell ref="J36:K36"/>
  </mergeCells>
  <conditionalFormatting sqref="E7 E9 E11 E13 E15 E17 E19:E21">
    <cfRule type="cellIs" dxfId="57" priority="2" stopIfTrue="1" operator="equal">
      <formula>"Bye"</formula>
    </cfRule>
  </conditionalFormatting>
  <conditionalFormatting sqref="E23">
    <cfRule type="cellIs" dxfId="56" priority="1" stopIfTrue="1" operator="equal">
      <formula>"Bye"</formula>
    </cfRule>
  </conditionalFormatting>
  <conditionalFormatting sqref="R48 R53">
    <cfRule type="expression" dxfId="55" priority="3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5A976-288F-4D2D-8CF4-A2760EACA206}">
  <sheetPr>
    <tabColor indexed="11"/>
  </sheetPr>
  <dimension ref="A1:S54"/>
  <sheetViews>
    <sheetView workbookViewId="0">
      <selection activeCell="L9" sqref="L9"/>
    </sheetView>
  </sheetViews>
  <sheetFormatPr defaultRowHeight="13.2" x14ac:dyDescent="0.25"/>
  <sheetData>
    <row r="1" spans="1:19" ht="24.6" x14ac:dyDescent="0.25">
      <c r="A1" s="414" t="str">
        <f>Altalanos!$A$6</f>
        <v>Tenisz Diákolimpia B-A-Z. Vármegyei Döntő</v>
      </c>
      <c r="B1" s="414"/>
      <c r="C1" s="414"/>
      <c r="D1" s="414"/>
      <c r="E1" s="414"/>
      <c r="F1" s="414"/>
      <c r="G1" s="79"/>
      <c r="H1" s="82" t="s">
        <v>29</v>
      </c>
      <c r="I1" s="80"/>
      <c r="J1" s="81"/>
      <c r="L1" s="83"/>
      <c r="M1" s="84"/>
      <c r="N1" s="41"/>
      <c r="O1" s="41" t="s">
        <v>9</v>
      </c>
      <c r="P1" s="41"/>
      <c r="Q1" s="40"/>
      <c r="R1" s="41"/>
    </row>
    <row r="2" spans="1:19" x14ac:dyDescent="0.25">
      <c r="A2" s="85" t="s">
        <v>28</v>
      </c>
      <c r="B2" s="86"/>
      <c r="C2" s="86"/>
      <c r="D2" s="86"/>
      <c r="E2" s="86" t="s">
        <v>502</v>
      </c>
      <c r="F2" s="86"/>
      <c r="G2" s="87"/>
      <c r="H2" s="88"/>
      <c r="I2" s="88"/>
      <c r="J2" s="89"/>
      <c r="K2" s="83"/>
      <c r="L2" s="83"/>
      <c r="M2" s="83"/>
      <c r="N2" s="42"/>
      <c r="O2" s="39"/>
      <c r="P2" s="42"/>
      <c r="Q2" s="39"/>
      <c r="R2" s="42"/>
    </row>
    <row r="3" spans="1:19" x14ac:dyDescent="0.25">
      <c r="A3" s="34" t="s">
        <v>16</v>
      </c>
      <c r="B3" s="34"/>
      <c r="C3" s="34"/>
      <c r="D3" s="34"/>
      <c r="E3" s="34" t="s">
        <v>14</v>
      </c>
      <c r="F3" s="34"/>
      <c r="G3" s="34"/>
      <c r="H3" s="34" t="s">
        <v>18</v>
      </c>
      <c r="I3" s="34"/>
      <c r="J3" s="43"/>
      <c r="K3" s="34"/>
      <c r="L3" s="35" t="s">
        <v>19</v>
      </c>
      <c r="M3" s="34"/>
      <c r="N3" s="112"/>
      <c r="O3" s="111"/>
      <c r="P3" s="112"/>
      <c r="Q3" s="153" t="s">
        <v>52</v>
      </c>
      <c r="R3" s="154" t="s">
        <v>58</v>
      </c>
      <c r="S3" s="154" t="s">
        <v>53</v>
      </c>
    </row>
    <row r="4" spans="1:19" ht="13.8" thickBot="1" x14ac:dyDescent="0.3">
      <c r="A4" s="417" t="str">
        <f>Altalanos!$A$10</f>
        <v>2024.05.02-03.</v>
      </c>
      <c r="B4" s="417"/>
      <c r="C4" s="417"/>
      <c r="D4" s="90"/>
      <c r="E4" s="91" t="str">
        <f>Altalanos!$C$10</f>
        <v>Kazincbarcika</v>
      </c>
      <c r="F4" s="91"/>
      <c r="G4" s="91"/>
      <c r="H4" s="93" t="s">
        <v>39</v>
      </c>
      <c r="I4" s="91"/>
      <c r="J4" s="92"/>
      <c r="K4" s="93"/>
      <c r="L4" s="94">
        <f>Altalanos!$E$10</f>
        <v>0</v>
      </c>
      <c r="M4" s="93"/>
      <c r="N4" s="114"/>
      <c r="O4" s="115"/>
      <c r="P4" s="114"/>
      <c r="Q4" s="155" t="s">
        <v>59</v>
      </c>
      <c r="R4" s="156" t="s">
        <v>54</v>
      </c>
      <c r="S4" s="156" t="s">
        <v>55</v>
      </c>
    </row>
    <row r="5" spans="1:19" x14ac:dyDescent="0.25">
      <c r="A5" s="29"/>
      <c r="B5" s="29" t="s">
        <v>27</v>
      </c>
      <c r="C5" s="107" t="s">
        <v>36</v>
      </c>
      <c r="D5" s="29" t="s">
        <v>22</v>
      </c>
      <c r="E5" s="29" t="s">
        <v>41</v>
      </c>
      <c r="F5" s="29"/>
      <c r="G5" s="29" t="s">
        <v>17</v>
      </c>
      <c r="H5" s="29"/>
      <c r="I5" s="29" t="s">
        <v>20</v>
      </c>
      <c r="J5" s="29"/>
      <c r="K5" s="140" t="s">
        <v>42</v>
      </c>
      <c r="L5" s="140" t="s">
        <v>43</v>
      </c>
      <c r="M5" s="140" t="s">
        <v>44</v>
      </c>
      <c r="Q5" s="157" t="s">
        <v>60</v>
      </c>
      <c r="R5" s="158" t="s">
        <v>56</v>
      </c>
      <c r="S5" s="158" t="s">
        <v>57</v>
      </c>
    </row>
    <row r="6" spans="1:19" x14ac:dyDescent="0.25">
      <c r="A6" s="96"/>
      <c r="B6" s="96"/>
      <c r="C6" s="139"/>
      <c r="D6" s="96"/>
      <c r="E6" s="96"/>
      <c r="F6" s="96"/>
      <c r="G6" s="96"/>
      <c r="H6" s="96"/>
      <c r="I6" s="96"/>
      <c r="J6" s="96"/>
      <c r="K6" s="96"/>
      <c r="L6" s="96"/>
      <c r="M6" s="96"/>
    </row>
    <row r="7" spans="1:19" x14ac:dyDescent="0.25">
      <c r="A7" s="211" t="s">
        <v>38</v>
      </c>
      <c r="B7" s="159"/>
      <c r="C7" s="109" t="str">
        <f>IF($B7="","",VLOOKUP($B7,#REF!,5))</f>
        <v/>
      </c>
      <c r="D7" s="109" t="str">
        <f>IF($B7="","",VLOOKUP($B7,#REF!,15))</f>
        <v/>
      </c>
      <c r="E7" s="106" t="s">
        <v>314</v>
      </c>
      <c r="F7" s="108"/>
      <c r="G7" s="106" t="s">
        <v>315</v>
      </c>
      <c r="H7" s="108"/>
      <c r="I7" s="106" t="str">
        <f>IF($B7="","",VLOOKUP($B7,#REF!,4))</f>
        <v/>
      </c>
      <c r="J7" s="96"/>
      <c r="K7" s="170"/>
      <c r="L7" s="165" t="str">
        <f>IF(K7="","",CONCATENATE(VLOOKUP($Y$3,$AB$1:$AK$1,K7)," pont"))</f>
        <v/>
      </c>
      <c r="M7" s="171"/>
      <c r="Q7" s="153" t="s">
        <v>52</v>
      </c>
      <c r="R7" s="182" t="s">
        <v>94</v>
      </c>
      <c r="S7" s="182" t="s">
        <v>95</v>
      </c>
    </row>
    <row r="8" spans="1:19" x14ac:dyDescent="0.25">
      <c r="A8" s="116"/>
      <c r="B8" s="160"/>
      <c r="C8" s="117"/>
      <c r="D8" s="117"/>
      <c r="E8" s="117"/>
      <c r="F8" s="117"/>
      <c r="G8" s="117"/>
      <c r="H8" s="117"/>
      <c r="I8" s="117"/>
      <c r="J8" s="96"/>
      <c r="K8" s="116"/>
      <c r="L8" s="116"/>
      <c r="M8" s="172"/>
      <c r="Q8" s="155" t="s">
        <v>59</v>
      </c>
      <c r="R8" s="183" t="s">
        <v>92</v>
      </c>
      <c r="S8" s="183" t="s">
        <v>96</v>
      </c>
    </row>
    <row r="9" spans="1:19" x14ac:dyDescent="0.25">
      <c r="A9" s="116" t="s">
        <v>39</v>
      </c>
      <c r="B9" s="161"/>
      <c r="C9" s="109" t="str">
        <f>IF($B9="","",VLOOKUP($B9,#REF!,5))</f>
        <v/>
      </c>
      <c r="D9" s="109" t="str">
        <f>IF($B9="","",VLOOKUP($B9,#REF!,15))</f>
        <v/>
      </c>
      <c r="E9" s="105" t="s">
        <v>316</v>
      </c>
      <c r="F9" s="110"/>
      <c r="G9" s="105" t="s">
        <v>317</v>
      </c>
      <c r="H9" s="110"/>
      <c r="I9" s="105" t="str">
        <f>IF($B9="","",VLOOKUP($B9,#REF!,4))</f>
        <v/>
      </c>
      <c r="J9" s="96"/>
      <c r="K9" s="170"/>
      <c r="L9" s="165" t="str">
        <f>IF(K9="","",CONCATENATE(VLOOKUP($Y$3,$AB$1:$AK$1,K9)," pont"))</f>
        <v/>
      </c>
      <c r="M9" s="171"/>
      <c r="Q9" s="157" t="s">
        <v>60</v>
      </c>
      <c r="R9" s="184" t="s">
        <v>89</v>
      </c>
      <c r="S9" s="184" t="s">
        <v>97</v>
      </c>
    </row>
    <row r="10" spans="1:19" x14ac:dyDescent="0.25">
      <c r="A10" s="116"/>
      <c r="B10" s="160"/>
      <c r="C10" s="117"/>
      <c r="D10" s="117"/>
      <c r="E10" s="117"/>
      <c r="F10" s="117"/>
      <c r="G10" s="117"/>
      <c r="H10" s="117"/>
      <c r="I10" s="117"/>
      <c r="J10" s="96"/>
      <c r="K10" s="116"/>
      <c r="L10" s="116"/>
      <c r="M10" s="172"/>
    </row>
    <row r="11" spans="1:19" x14ac:dyDescent="0.25">
      <c r="A11" s="116" t="s">
        <v>40</v>
      </c>
      <c r="B11" s="161"/>
      <c r="C11" s="109" t="str">
        <f>IF($B11="","",VLOOKUP($B11,#REF!,5))</f>
        <v/>
      </c>
      <c r="D11" s="109" t="str">
        <f>IF($B11="","",VLOOKUP($B11,#REF!,15))</f>
        <v/>
      </c>
      <c r="E11" s="105" t="s">
        <v>286</v>
      </c>
      <c r="F11" s="110"/>
      <c r="G11" s="105" t="s">
        <v>318</v>
      </c>
      <c r="H11" s="110"/>
      <c r="I11" s="105" t="str">
        <f>IF($B11="","",VLOOKUP($B11,#REF!,4))</f>
        <v/>
      </c>
      <c r="J11" s="96"/>
      <c r="K11" s="170"/>
      <c r="L11" s="165" t="str">
        <f>IF(K11="","",CONCATENATE(VLOOKUP($Y$3,$AB$1:$AK$1,K11)," pont"))</f>
        <v/>
      </c>
      <c r="M11" s="171"/>
    </row>
    <row r="12" spans="1:19" x14ac:dyDescent="0.25">
      <c r="A12" s="96"/>
      <c r="B12" s="147"/>
      <c r="C12" s="139"/>
      <c r="D12" s="96"/>
      <c r="E12" s="96"/>
      <c r="F12" s="96"/>
      <c r="G12" s="96"/>
      <c r="H12" s="96"/>
      <c r="I12" s="96"/>
      <c r="J12" s="96"/>
      <c r="K12" s="139"/>
      <c r="L12" s="139"/>
      <c r="M12" s="172"/>
    </row>
    <row r="13" spans="1:19" x14ac:dyDescent="0.25">
      <c r="A13" s="176" t="s">
        <v>45</v>
      </c>
      <c r="B13" s="179"/>
      <c r="C13" s="109" t="str">
        <f>IF($B13="","",VLOOKUP($B13,#REF!,5))</f>
        <v/>
      </c>
      <c r="D13" s="109" t="str">
        <f>IF($B13="","",VLOOKUP($B13,#REF!,15))</f>
        <v/>
      </c>
      <c r="E13" s="105" t="s">
        <v>319</v>
      </c>
      <c r="F13" s="110"/>
      <c r="G13" s="105" t="s">
        <v>320</v>
      </c>
      <c r="H13" s="110"/>
      <c r="I13" s="105" t="str">
        <f>IF($B13="","",VLOOKUP($B13,#REF!,4))</f>
        <v/>
      </c>
      <c r="J13" s="96"/>
      <c r="K13" s="170"/>
      <c r="L13" s="165" t="str">
        <f>IF(K13="","",CONCATENATE(VLOOKUP($Y$3,$AB$1:$AK$1,K13)," pont"))</f>
        <v/>
      </c>
      <c r="M13" s="171"/>
    </row>
    <row r="14" spans="1:19" x14ac:dyDescent="0.25">
      <c r="A14" s="116"/>
      <c r="B14" s="160"/>
      <c r="C14" s="117"/>
      <c r="D14" s="117"/>
      <c r="E14" s="117"/>
      <c r="F14" s="117"/>
      <c r="G14" s="117"/>
      <c r="H14" s="117"/>
      <c r="I14" s="117"/>
      <c r="J14" s="96"/>
      <c r="K14" s="116"/>
      <c r="L14" s="116"/>
      <c r="M14" s="172"/>
    </row>
    <row r="15" spans="1:19" x14ac:dyDescent="0.25">
      <c r="A15" s="211" t="s">
        <v>46</v>
      </c>
      <c r="B15" s="178"/>
      <c r="C15" s="109" t="str">
        <f>IF($B15="","",VLOOKUP($B15,#REF!,5))</f>
        <v/>
      </c>
      <c r="D15" s="177" t="str">
        <f>IF($B15="","",VLOOKUP($B15,#REF!,15))</f>
        <v/>
      </c>
      <c r="E15" s="106" t="s">
        <v>268</v>
      </c>
      <c r="F15" s="108"/>
      <c r="G15" s="106" t="s">
        <v>304</v>
      </c>
      <c r="H15" s="108"/>
      <c r="I15" s="106" t="str">
        <f>IF($B15="","",VLOOKUP($B15,#REF!,4))</f>
        <v/>
      </c>
      <c r="J15" s="96"/>
      <c r="K15" s="170"/>
      <c r="L15" s="165" t="str">
        <f>IF(K15="","",CONCATENATE(VLOOKUP($Y$3,$AB$1:$AK$1,K15)," pont"))</f>
        <v/>
      </c>
      <c r="M15" s="171"/>
    </row>
    <row r="16" spans="1:19" x14ac:dyDescent="0.25">
      <c r="A16" s="116"/>
      <c r="B16" s="160"/>
      <c r="C16" s="117"/>
      <c r="D16" s="117"/>
      <c r="E16" s="117"/>
      <c r="F16" s="117"/>
      <c r="G16" s="117"/>
      <c r="H16" s="117"/>
      <c r="I16" s="117"/>
      <c r="J16" s="96"/>
      <c r="K16" s="116"/>
      <c r="L16" s="116"/>
      <c r="M16" s="172"/>
    </row>
    <row r="17" spans="1:13" x14ac:dyDescent="0.25">
      <c r="A17" s="116" t="s">
        <v>47</v>
      </c>
      <c r="B17" s="161"/>
      <c r="C17" s="109" t="str">
        <f>IF($B17="","",VLOOKUP($B17,#REF!,5))</f>
        <v/>
      </c>
      <c r="D17" s="109" t="str">
        <f>IF($B17="","",VLOOKUP($B17,#REF!,15))</f>
        <v/>
      </c>
      <c r="E17" s="105" t="s">
        <v>321</v>
      </c>
      <c r="F17" s="110"/>
      <c r="G17" s="105" t="s">
        <v>315</v>
      </c>
      <c r="H17" s="110"/>
      <c r="I17" s="105" t="str">
        <f>IF($B17="","",VLOOKUP($B17,#REF!,4))</f>
        <v/>
      </c>
      <c r="J17" s="96"/>
      <c r="K17" s="170"/>
      <c r="L17" s="165" t="str">
        <f>IF(K17="","",CONCATENATE(VLOOKUP($Y$3,$AB$1:$AK$1,K17)," pont"))</f>
        <v/>
      </c>
      <c r="M17" s="171"/>
    </row>
    <row r="18" spans="1:13" x14ac:dyDescent="0.25">
      <c r="A18" s="116"/>
      <c r="B18" s="160"/>
      <c r="C18" s="117"/>
      <c r="D18" s="117"/>
      <c r="E18" s="117"/>
      <c r="F18" s="117"/>
      <c r="G18" s="117"/>
      <c r="H18" s="117"/>
      <c r="I18" s="117"/>
      <c r="J18" s="96"/>
      <c r="K18" s="116"/>
      <c r="L18" s="116"/>
      <c r="M18" s="172"/>
    </row>
    <row r="19" spans="1:13" x14ac:dyDescent="0.25">
      <c r="A19" s="176" t="s">
        <v>51</v>
      </c>
      <c r="B19" s="161"/>
      <c r="C19" s="109" t="str">
        <f>IF($B19="","",VLOOKUP($B19,#REF!,5))</f>
        <v/>
      </c>
      <c r="D19" s="109" t="str">
        <f>IF($B19="","",VLOOKUP($B19,#REF!,15))</f>
        <v/>
      </c>
      <c r="E19" s="105" t="s">
        <v>322</v>
      </c>
      <c r="F19" s="110"/>
      <c r="G19" s="105" t="s">
        <v>323</v>
      </c>
      <c r="H19" s="110"/>
      <c r="I19" s="105" t="str">
        <f>IF($B19="","",VLOOKUP($B19,#REF!,4))</f>
        <v/>
      </c>
      <c r="J19" s="96"/>
      <c r="K19" s="170"/>
      <c r="L19" s="165" t="str">
        <f>IF(K19="","",CONCATENATE(VLOOKUP($Y$3,$AB$1:$AK$1,K19)," pont"))</f>
        <v/>
      </c>
      <c r="M19" s="171"/>
    </row>
    <row r="20" spans="1:13" x14ac:dyDescent="0.25">
      <c r="A20" s="116"/>
      <c r="B20" s="160"/>
      <c r="C20" s="117"/>
      <c r="D20" s="117"/>
      <c r="E20" s="117"/>
      <c r="F20" s="117"/>
      <c r="G20" s="117"/>
      <c r="H20" s="117"/>
      <c r="I20" s="117"/>
      <c r="J20" s="96"/>
      <c r="K20" s="116"/>
      <c r="L20" s="116"/>
      <c r="M20" s="172"/>
    </row>
    <row r="21" spans="1:13" x14ac:dyDescent="0.25">
      <c r="A21" s="176" t="s">
        <v>87</v>
      </c>
      <c r="B21" s="161"/>
      <c r="C21" s="109" t="str">
        <f>IF($B21="","",VLOOKUP($B21,#REF!,5))</f>
        <v/>
      </c>
      <c r="D21" s="109" t="str">
        <f>IF($B21="","",VLOOKUP($B21,#REF!,15))</f>
        <v/>
      </c>
      <c r="E21" s="105" t="s">
        <v>324</v>
      </c>
      <c r="F21" s="110"/>
      <c r="G21" s="105" t="s">
        <v>325</v>
      </c>
      <c r="H21" s="110"/>
      <c r="I21" s="105" t="str">
        <f>IF($B21="","",VLOOKUP($B21,#REF!,4))</f>
        <v/>
      </c>
      <c r="J21" s="96"/>
      <c r="K21" s="170"/>
      <c r="L21" s="165" t="str">
        <f>IF(K21="","",CONCATENATE(VLOOKUP($Y$3,$AB$1:$AK$1,K21)," pont"))</f>
        <v/>
      </c>
      <c r="M21" s="171"/>
    </row>
    <row r="22" spans="1:13" x14ac:dyDescent="0.25">
      <c r="A22" s="96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</row>
    <row r="23" spans="1:13" x14ac:dyDescent="0.25">
      <c r="A23" s="244"/>
      <c r="B23" s="246"/>
      <c r="C23" s="245" t="str">
        <f>IF($B23="","",VLOOKUP($B23,#REF!,5))</f>
        <v/>
      </c>
      <c r="D23" s="245" t="str">
        <f>IF($B23="","",VLOOKUP($B23,#REF!,15))</f>
        <v/>
      </c>
      <c r="E23" s="247" t="str">
        <f>UPPER(IF($B23="","",VLOOKUP($B23,#REF!,2)))</f>
        <v/>
      </c>
      <c r="F23" s="248"/>
      <c r="G23" s="247" t="str">
        <f>IF($B23="","",VLOOKUP($B23,#REF!,3))</f>
        <v/>
      </c>
      <c r="H23" s="248"/>
      <c r="I23" s="247" t="str">
        <f>IF($B23="","",VLOOKUP($B23,#REF!,4))</f>
        <v/>
      </c>
      <c r="J23" s="228"/>
      <c r="K23" s="281"/>
      <c r="L23" s="281" t="str">
        <f>IF(K23="","",CONCATENATE(VLOOKUP($Y$3,$AB$1:$AK$1,K23)," pont"))</f>
        <v/>
      </c>
      <c r="M23" s="282"/>
    </row>
    <row r="24" spans="1:13" x14ac:dyDescent="0.25">
      <c r="A24" s="96"/>
      <c r="B24" s="228"/>
      <c r="C24" s="228"/>
      <c r="D24" s="228"/>
      <c r="E24" s="228"/>
      <c r="F24" s="228"/>
      <c r="G24" s="228"/>
      <c r="H24" s="228"/>
      <c r="I24" s="228"/>
      <c r="J24" s="228"/>
      <c r="K24" s="96"/>
      <c r="L24" s="96"/>
      <c r="M24" s="96"/>
    </row>
    <row r="25" spans="1:13" x14ac:dyDescent="0.25">
      <c r="A25" s="96"/>
      <c r="B25" s="413"/>
      <c r="C25" s="413"/>
      <c r="D25" s="412" t="str">
        <f>E7</f>
        <v>Bencs</v>
      </c>
      <c r="E25" s="412"/>
      <c r="F25" s="412" t="str">
        <f>E9</f>
        <v>Ábel</v>
      </c>
      <c r="G25" s="412"/>
      <c r="H25" s="412" t="str">
        <f>E11</f>
        <v>Nagy</v>
      </c>
      <c r="I25" s="412"/>
      <c r="J25" s="412" t="str">
        <f>E13</f>
        <v>Telegdi</v>
      </c>
      <c r="K25" s="412"/>
      <c r="L25" s="96"/>
      <c r="M25" s="148" t="s">
        <v>42</v>
      </c>
    </row>
    <row r="26" spans="1:13" x14ac:dyDescent="0.25">
      <c r="A26" s="146" t="s">
        <v>38</v>
      </c>
      <c r="B26" s="416" t="str">
        <f>E7</f>
        <v>Bencs</v>
      </c>
      <c r="C26" s="416"/>
      <c r="D26" s="411"/>
      <c r="E26" s="411"/>
      <c r="F26" s="409"/>
      <c r="G26" s="409"/>
      <c r="H26" s="409"/>
      <c r="I26" s="409"/>
      <c r="J26" s="412"/>
      <c r="K26" s="412"/>
      <c r="L26" s="96"/>
      <c r="M26" s="149"/>
    </row>
    <row r="27" spans="1:13" x14ac:dyDescent="0.25">
      <c r="A27" s="146" t="s">
        <v>39</v>
      </c>
      <c r="B27" s="416" t="str">
        <f>E9</f>
        <v>Ábel</v>
      </c>
      <c r="C27" s="416"/>
      <c r="D27" s="409"/>
      <c r="E27" s="409"/>
      <c r="F27" s="411"/>
      <c r="G27" s="411"/>
      <c r="H27" s="409"/>
      <c r="I27" s="409"/>
      <c r="J27" s="409"/>
      <c r="K27" s="409"/>
      <c r="L27" s="96"/>
      <c r="M27" s="149"/>
    </row>
    <row r="28" spans="1:13" x14ac:dyDescent="0.25">
      <c r="A28" s="146" t="s">
        <v>40</v>
      </c>
      <c r="B28" s="416" t="str">
        <f>E11</f>
        <v>Nagy</v>
      </c>
      <c r="C28" s="416"/>
      <c r="D28" s="409"/>
      <c r="E28" s="409"/>
      <c r="F28" s="409"/>
      <c r="G28" s="409"/>
      <c r="H28" s="411"/>
      <c r="I28" s="411"/>
      <c r="J28" s="409"/>
      <c r="K28" s="409"/>
      <c r="L28" s="96"/>
      <c r="M28" s="149"/>
    </row>
    <row r="29" spans="1:13" x14ac:dyDescent="0.25">
      <c r="A29" s="175" t="s">
        <v>45</v>
      </c>
      <c r="B29" s="416" t="str">
        <f>E13</f>
        <v>Telegdi</v>
      </c>
      <c r="C29" s="416"/>
      <c r="D29" s="409"/>
      <c r="E29" s="409"/>
      <c r="F29" s="409"/>
      <c r="G29" s="409"/>
      <c r="H29" s="412"/>
      <c r="I29" s="412"/>
      <c r="J29" s="411"/>
      <c r="K29" s="411"/>
      <c r="L29" s="96"/>
      <c r="M29" s="149"/>
    </row>
    <row r="30" spans="1:13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150"/>
    </row>
    <row r="31" spans="1:13" x14ac:dyDescent="0.25">
      <c r="A31" s="96"/>
      <c r="B31" s="413"/>
      <c r="C31" s="413"/>
      <c r="D31" s="412" t="str">
        <f>E15</f>
        <v>Babik</v>
      </c>
      <c r="E31" s="412"/>
      <c r="F31" s="412" t="str">
        <f>E17</f>
        <v>Csóra</v>
      </c>
      <c r="G31" s="412"/>
      <c r="H31" s="438" t="str">
        <f>E19</f>
        <v>Perge</v>
      </c>
      <c r="I31" s="436"/>
      <c r="J31" s="412" t="str">
        <f>E21</f>
        <v>Póth</v>
      </c>
      <c r="K31" s="412"/>
      <c r="L31" s="96"/>
      <c r="M31" s="150"/>
    </row>
    <row r="32" spans="1:13" x14ac:dyDescent="0.25">
      <c r="A32" s="175" t="s">
        <v>46</v>
      </c>
      <c r="B32" s="437" t="str">
        <f>E15</f>
        <v>Babik</v>
      </c>
      <c r="C32" s="434"/>
      <c r="D32" s="411"/>
      <c r="E32" s="411"/>
      <c r="F32" s="409"/>
      <c r="G32" s="409"/>
      <c r="H32" s="409"/>
      <c r="I32" s="409"/>
      <c r="J32" s="412"/>
      <c r="K32" s="412"/>
      <c r="L32" s="96"/>
      <c r="M32" s="149"/>
    </row>
    <row r="33" spans="1:18" x14ac:dyDescent="0.25">
      <c r="A33" s="175" t="s">
        <v>47</v>
      </c>
      <c r="B33" s="416" t="str">
        <f>E17</f>
        <v>Csóra</v>
      </c>
      <c r="C33" s="416"/>
      <c r="D33" s="409"/>
      <c r="E33" s="409"/>
      <c r="F33" s="411"/>
      <c r="G33" s="411"/>
      <c r="H33" s="409"/>
      <c r="I33" s="409"/>
      <c r="J33" s="409"/>
      <c r="K33" s="409"/>
      <c r="L33" s="96"/>
      <c r="M33" s="149"/>
    </row>
    <row r="34" spans="1:18" x14ac:dyDescent="0.25">
      <c r="A34" s="175" t="s">
        <v>51</v>
      </c>
      <c r="B34" s="416" t="str">
        <f>E19</f>
        <v>Perge</v>
      </c>
      <c r="C34" s="416"/>
      <c r="D34" s="409"/>
      <c r="E34" s="409"/>
      <c r="F34" s="409"/>
      <c r="G34" s="409"/>
      <c r="H34" s="411"/>
      <c r="I34" s="411"/>
      <c r="J34" s="409"/>
      <c r="K34" s="409"/>
      <c r="L34" s="96"/>
      <c r="M34" s="149"/>
    </row>
    <row r="35" spans="1:18" x14ac:dyDescent="0.25">
      <c r="A35" s="175" t="s">
        <v>87</v>
      </c>
      <c r="B35" s="416" t="str">
        <f>E21</f>
        <v>Póth</v>
      </c>
      <c r="C35" s="416"/>
      <c r="D35" s="409"/>
      <c r="E35" s="409"/>
      <c r="F35" s="409"/>
      <c r="G35" s="409"/>
      <c r="H35" s="412"/>
      <c r="I35" s="412"/>
      <c r="J35" s="411"/>
      <c r="K35" s="411"/>
      <c r="L35" s="96"/>
      <c r="M35" s="149"/>
    </row>
    <row r="36" spans="1:18" x14ac:dyDescent="0.25">
      <c r="A36" s="53"/>
      <c r="B36" s="151"/>
      <c r="C36" s="151"/>
      <c r="D36" s="53"/>
      <c r="E36" s="53"/>
      <c r="F36" s="53"/>
      <c r="G36" s="53"/>
      <c r="H36" s="53"/>
      <c r="I36" s="53"/>
      <c r="J36" s="96"/>
      <c r="K36" s="96"/>
      <c r="L36" s="96"/>
      <c r="M36" s="152"/>
    </row>
    <row r="37" spans="1:18" x14ac:dyDescent="0.25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</row>
    <row r="38" spans="1:18" x14ac:dyDescent="0.25">
      <c r="A38" s="96" t="s">
        <v>34</v>
      </c>
      <c r="B38" s="96"/>
      <c r="C38" s="420" t="str">
        <f>IF(M26=1,B26,IF(M27=1,B27,IF(M28=1,B28,IF(M29=1,B29,""))))</f>
        <v/>
      </c>
      <c r="D38" s="420"/>
      <c r="E38" s="116" t="s">
        <v>49</v>
      </c>
      <c r="F38" s="420" t="str">
        <f>IF(M32=1,B32,IF(M33=1,B33,IF(M34=1,B34,IF(M35=1,B35,""))))</f>
        <v/>
      </c>
      <c r="G38" s="420"/>
      <c r="H38" s="96"/>
      <c r="I38" s="95"/>
      <c r="J38" s="96"/>
      <c r="K38" s="96"/>
      <c r="L38" s="96"/>
      <c r="M38" s="96"/>
    </row>
    <row r="39" spans="1:18" x14ac:dyDescent="0.25">
      <c r="A39" s="96"/>
      <c r="B39" s="96"/>
      <c r="C39" s="96"/>
      <c r="D39" s="96"/>
      <c r="E39" s="96"/>
      <c r="F39" s="116"/>
      <c r="G39" s="116"/>
      <c r="H39" s="96"/>
      <c r="I39" s="96"/>
      <c r="J39" s="96"/>
      <c r="K39" s="96"/>
      <c r="L39" s="96"/>
      <c r="M39" s="96"/>
    </row>
    <row r="40" spans="1:18" x14ac:dyDescent="0.25">
      <c r="A40" s="96" t="s">
        <v>48</v>
      </c>
      <c r="B40" s="96"/>
      <c r="C40" s="420" t="str">
        <f>IF(M26=2,B26,IF(M27=2,B27,IF(M28=2,B28,IF(M29=2,B29,""))))</f>
        <v/>
      </c>
      <c r="D40" s="420"/>
      <c r="E40" s="116" t="s">
        <v>49</v>
      </c>
      <c r="F40" s="420" t="str">
        <f>IF(M32=2,B32,IF(M33=2,B33,IF(M34=2,B34,IF(M35=2,B35,""))))</f>
        <v/>
      </c>
      <c r="G40" s="420"/>
      <c r="H40" s="96"/>
      <c r="I40" s="95"/>
      <c r="J40" s="96"/>
      <c r="K40" s="96"/>
      <c r="L40" s="96"/>
      <c r="M40" s="96"/>
    </row>
    <row r="41" spans="1:18" x14ac:dyDescent="0.25">
      <c r="A41" s="96"/>
      <c r="B41" s="96"/>
      <c r="C41" s="116"/>
      <c r="D41" s="116"/>
      <c r="E41" s="116"/>
      <c r="F41" s="116"/>
      <c r="G41" s="116"/>
      <c r="H41" s="96"/>
      <c r="I41" s="96"/>
      <c r="J41" s="96"/>
      <c r="K41" s="96"/>
      <c r="L41" s="96"/>
      <c r="M41" s="96"/>
    </row>
    <row r="42" spans="1:18" x14ac:dyDescent="0.25">
      <c r="A42" s="96" t="s">
        <v>50</v>
      </c>
      <c r="B42" s="96"/>
      <c r="C42" s="420" t="str">
        <f>IF(M26=3,B26,IF(M27=3,B27,IF(M28=3,B28,IF(M29=3,B29,""))))</f>
        <v/>
      </c>
      <c r="D42" s="420"/>
      <c r="E42" s="116" t="s">
        <v>49</v>
      </c>
      <c r="F42" s="420" t="str">
        <f>IF(M32=3,B32,IF(M33=3,B33,IF(M34=3,B34,IF(M35=3,B35,""))))</f>
        <v/>
      </c>
      <c r="G42" s="420"/>
      <c r="H42" s="96"/>
      <c r="I42" s="95"/>
      <c r="J42" s="96"/>
      <c r="K42" s="96"/>
      <c r="L42" s="96"/>
      <c r="M42" s="96"/>
    </row>
    <row r="43" spans="1:18" x14ac:dyDescent="0.25">
      <c r="A43" s="96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</row>
    <row r="44" spans="1:18" x14ac:dyDescent="0.25">
      <c r="A44" s="117" t="s">
        <v>88</v>
      </c>
      <c r="B44" s="96"/>
      <c r="C44" s="420">
        <f>IF(M26=4,B26,IF(M27=4,B27,IF(M28=4,B28,IF(M29=4,B29,))))</f>
        <v>0</v>
      </c>
      <c r="D44" s="420"/>
      <c r="E44" s="116" t="s">
        <v>49</v>
      </c>
      <c r="F44" s="420" t="str">
        <f>IF(M32=3,B32,IF(M33=3,B33,IF(M34=4,B34,IF(M35=4,B35,""))))</f>
        <v/>
      </c>
      <c r="G44" s="420"/>
      <c r="H44" s="96"/>
      <c r="I44" s="95"/>
      <c r="J44" s="96"/>
      <c r="K44" s="96"/>
      <c r="L44" s="96"/>
      <c r="M44" s="96"/>
    </row>
    <row r="45" spans="1:18" x14ac:dyDescent="0.25">
      <c r="A45" s="96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5"/>
      <c r="M45" s="96"/>
      <c r="P45" s="118"/>
      <c r="Q45" s="118"/>
      <c r="R45" s="119"/>
    </row>
    <row r="46" spans="1:18" x14ac:dyDescent="0.25">
      <c r="A46" s="45" t="s">
        <v>22</v>
      </c>
      <c r="B46" s="46"/>
      <c r="C46" s="75"/>
      <c r="D46" s="122" t="s">
        <v>0</v>
      </c>
      <c r="E46" s="123" t="s">
        <v>24</v>
      </c>
      <c r="F46" s="137"/>
      <c r="G46" s="122" t="s">
        <v>0</v>
      </c>
      <c r="H46" s="123" t="s">
        <v>31</v>
      </c>
      <c r="I46" s="56"/>
      <c r="J46" s="123" t="s">
        <v>32</v>
      </c>
      <c r="K46" s="55" t="s">
        <v>33</v>
      </c>
      <c r="L46" s="29"/>
      <c r="M46" s="137"/>
      <c r="P46" s="120"/>
      <c r="Q46" s="120"/>
      <c r="R46" s="48"/>
    </row>
    <row r="47" spans="1:18" x14ac:dyDescent="0.25">
      <c r="A47" s="100" t="s">
        <v>23</v>
      </c>
      <c r="B47" s="101"/>
      <c r="C47" s="102"/>
      <c r="D47" s="124">
        <v>1</v>
      </c>
      <c r="E47" s="415" t="e">
        <f>IF(D47&gt;$R$48,,UPPER(VLOOKUP(D47,#REF!,2)))</f>
        <v>#REF!</v>
      </c>
      <c r="F47" s="415"/>
      <c r="G47" s="131" t="s">
        <v>1</v>
      </c>
      <c r="H47" s="101"/>
      <c r="I47" s="125"/>
      <c r="J47" s="132"/>
      <c r="K47" s="98" t="s">
        <v>25</v>
      </c>
      <c r="L47" s="138"/>
      <c r="M47" s="126"/>
      <c r="P47" s="48"/>
      <c r="Q47" s="47"/>
      <c r="R47" s="48"/>
    </row>
    <row r="48" spans="1:18" x14ac:dyDescent="0.25">
      <c r="A48" s="103" t="s">
        <v>30</v>
      </c>
      <c r="B48" s="54"/>
      <c r="C48" s="104"/>
      <c r="D48" s="127">
        <v>2</v>
      </c>
      <c r="E48" s="410" t="e">
        <f>IF(D48&gt;$R$48,,UPPER(VLOOKUP(D48,#REF!,2)))</f>
        <v>#REF!</v>
      </c>
      <c r="F48" s="410"/>
      <c r="G48" s="133" t="s">
        <v>2</v>
      </c>
      <c r="H48" s="36"/>
      <c r="I48" s="97"/>
      <c r="J48" s="37"/>
      <c r="K48" s="135"/>
      <c r="L48" s="95"/>
      <c r="M48" s="130"/>
      <c r="P48" s="120"/>
      <c r="Q48" s="120"/>
      <c r="R48" s="121" t="e">
        <f>MIN(4,#REF!)</f>
        <v>#REF!</v>
      </c>
    </row>
    <row r="49" spans="1:18" x14ac:dyDescent="0.25">
      <c r="A49" s="67"/>
      <c r="B49" s="68"/>
      <c r="C49" s="69"/>
      <c r="D49" s="127"/>
      <c r="E49" s="38"/>
      <c r="F49" s="96"/>
      <c r="G49" s="133" t="s">
        <v>3</v>
      </c>
      <c r="H49" s="36"/>
      <c r="I49" s="97"/>
      <c r="J49" s="37"/>
      <c r="K49" s="98" t="s">
        <v>26</v>
      </c>
      <c r="L49" s="138"/>
      <c r="M49" s="126"/>
      <c r="P49" s="48"/>
      <c r="Q49" s="47"/>
      <c r="R49" s="48"/>
    </row>
    <row r="50" spans="1:18" x14ac:dyDescent="0.25">
      <c r="A50" s="49"/>
      <c r="B50" s="44"/>
      <c r="C50" s="50"/>
      <c r="D50" s="127"/>
      <c r="E50" s="38"/>
      <c r="F50" s="96"/>
      <c r="G50" s="133" t="s">
        <v>4</v>
      </c>
      <c r="H50" s="36"/>
      <c r="I50" s="97"/>
      <c r="J50" s="37"/>
      <c r="K50" s="136"/>
      <c r="L50" s="96"/>
      <c r="M50" s="128"/>
      <c r="P50" s="48"/>
      <c r="Q50" s="47"/>
      <c r="R50" s="48"/>
    </row>
    <row r="51" spans="1:18" x14ac:dyDescent="0.25">
      <c r="A51" s="58"/>
      <c r="B51" s="70"/>
      <c r="C51" s="74"/>
      <c r="D51" s="127"/>
      <c r="E51" s="38"/>
      <c r="F51" s="96"/>
      <c r="G51" s="133" t="s">
        <v>5</v>
      </c>
      <c r="H51" s="36"/>
      <c r="I51" s="97"/>
      <c r="J51" s="37"/>
      <c r="K51" s="103"/>
      <c r="L51" s="95"/>
      <c r="M51" s="130"/>
      <c r="P51" s="120"/>
      <c r="Q51" s="120"/>
      <c r="R51" s="48"/>
    </row>
    <row r="52" spans="1:18" x14ac:dyDescent="0.25">
      <c r="A52" s="59"/>
      <c r="B52" s="20"/>
      <c r="C52" s="50"/>
      <c r="D52" s="127"/>
      <c r="E52" s="38"/>
      <c r="F52" s="96"/>
      <c r="G52" s="133" t="s">
        <v>6</v>
      </c>
      <c r="H52" s="36"/>
      <c r="I52" s="97"/>
      <c r="J52" s="37"/>
      <c r="K52" s="98" t="s">
        <v>21</v>
      </c>
      <c r="L52" s="138"/>
      <c r="M52" s="126"/>
      <c r="P52" s="48"/>
      <c r="Q52" s="47"/>
      <c r="R52" s="48"/>
    </row>
    <row r="53" spans="1:18" x14ac:dyDescent="0.25">
      <c r="A53" s="59"/>
      <c r="B53" s="20"/>
      <c r="C53" s="65"/>
      <c r="D53" s="127"/>
      <c r="E53" s="38"/>
      <c r="F53" s="96"/>
      <c r="G53" s="133" t="s">
        <v>7</v>
      </c>
      <c r="H53" s="36"/>
      <c r="I53" s="97"/>
      <c r="J53" s="37"/>
      <c r="K53" s="136"/>
      <c r="L53" s="96"/>
      <c r="M53" s="128"/>
      <c r="P53" s="48"/>
      <c r="Q53" s="47"/>
      <c r="R53" s="121"/>
    </row>
    <row r="54" spans="1:18" x14ac:dyDescent="0.25">
      <c r="A54" s="60"/>
      <c r="B54" s="57"/>
      <c r="C54" s="66"/>
      <c r="D54" s="129"/>
      <c r="E54" s="51"/>
      <c r="F54" s="95"/>
      <c r="G54" s="134" t="s">
        <v>8</v>
      </c>
      <c r="H54" s="54"/>
      <c r="I54" s="99"/>
      <c r="J54" s="52"/>
      <c r="K54" s="103">
        <f>L4</f>
        <v>0</v>
      </c>
      <c r="L54" s="95"/>
      <c r="M54" s="130"/>
    </row>
  </sheetData>
  <mergeCells count="62">
    <mergeCell ref="A1:F1"/>
    <mergeCell ref="A4:C4"/>
    <mergeCell ref="B25:C25"/>
    <mergeCell ref="D25:E25"/>
    <mergeCell ref="F25:G25"/>
    <mergeCell ref="J25:K25"/>
    <mergeCell ref="B26:C26"/>
    <mergeCell ref="D26:E26"/>
    <mergeCell ref="F26:G26"/>
    <mergeCell ref="H26:I26"/>
    <mergeCell ref="J26:K26"/>
    <mergeCell ref="H25:I25"/>
    <mergeCell ref="B28:C28"/>
    <mergeCell ref="D28:E28"/>
    <mergeCell ref="F28:G28"/>
    <mergeCell ref="H28:I28"/>
    <mergeCell ref="J28:K28"/>
    <mergeCell ref="B27:C27"/>
    <mergeCell ref="D27:E27"/>
    <mergeCell ref="F27:G27"/>
    <mergeCell ref="H27:I27"/>
    <mergeCell ref="J27:K27"/>
    <mergeCell ref="B31:C31"/>
    <mergeCell ref="D31:E31"/>
    <mergeCell ref="F31:G31"/>
    <mergeCell ref="H31:I31"/>
    <mergeCell ref="J31:K31"/>
    <mergeCell ref="B29:C29"/>
    <mergeCell ref="D29:E29"/>
    <mergeCell ref="F29:G29"/>
    <mergeCell ref="H29:I29"/>
    <mergeCell ref="J29:K29"/>
    <mergeCell ref="B33:C33"/>
    <mergeCell ref="D33:E33"/>
    <mergeCell ref="F33:G33"/>
    <mergeCell ref="H33:I33"/>
    <mergeCell ref="J33:K33"/>
    <mergeCell ref="B32:C32"/>
    <mergeCell ref="D32:E32"/>
    <mergeCell ref="F32:G32"/>
    <mergeCell ref="H32:I32"/>
    <mergeCell ref="J32:K32"/>
    <mergeCell ref="B35:C35"/>
    <mergeCell ref="D35:E35"/>
    <mergeCell ref="F35:G35"/>
    <mergeCell ref="H35:I35"/>
    <mergeCell ref="J35:K35"/>
    <mergeCell ref="B34:C34"/>
    <mergeCell ref="D34:E34"/>
    <mergeCell ref="F34:G34"/>
    <mergeCell ref="H34:I34"/>
    <mergeCell ref="J34:K34"/>
    <mergeCell ref="C44:D44"/>
    <mergeCell ref="F44:G44"/>
    <mergeCell ref="E47:F47"/>
    <mergeCell ref="E48:F48"/>
    <mergeCell ref="C38:D38"/>
    <mergeCell ref="F38:G38"/>
    <mergeCell ref="C40:D40"/>
    <mergeCell ref="F40:G40"/>
    <mergeCell ref="C42:D42"/>
    <mergeCell ref="F42:G42"/>
  </mergeCells>
  <conditionalFormatting sqref="E7 E9 E11 E13 E15 E17 E19:E21">
    <cfRule type="cellIs" dxfId="54" priority="2" stopIfTrue="1" operator="equal">
      <formula>"Bye"</formula>
    </cfRule>
  </conditionalFormatting>
  <conditionalFormatting sqref="E23">
    <cfRule type="cellIs" dxfId="53" priority="1" stopIfTrue="1" operator="equal">
      <formula>"Bye"</formula>
    </cfRule>
  </conditionalFormatting>
  <conditionalFormatting sqref="R48 R53">
    <cfRule type="expression" dxfId="52" priority="3" stopIfTrue="1">
      <formula>$O$1="CU"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23</vt:i4>
      </vt:variant>
      <vt:variant>
        <vt:lpstr>Névvel ellátott tartományok</vt:lpstr>
      </vt:variant>
      <vt:variant>
        <vt:i4>12</vt:i4>
      </vt:variant>
    </vt:vector>
  </HeadingPairs>
  <TitlesOfParts>
    <vt:vector size="35" baseType="lpstr">
      <vt:lpstr>Altalanos</vt:lpstr>
      <vt:lpstr>Nevezések</vt:lpstr>
      <vt:lpstr>Játékrend csütörtök</vt:lpstr>
      <vt:lpstr>Játékrend péntek</vt:lpstr>
      <vt:lpstr>I.kcs piros lány B</vt:lpstr>
      <vt:lpstr>I.kcs piros fiú B</vt:lpstr>
      <vt:lpstr>II.kcs narancs lány B</vt:lpstr>
      <vt:lpstr>II.kcs narancs fiú B</vt:lpstr>
      <vt:lpstr>III.kcs zöld fiú B</vt:lpstr>
      <vt:lpstr>III.kcs zöld lány B</vt:lpstr>
      <vt:lpstr>IV.kcs lány B</vt:lpstr>
      <vt:lpstr>IV.kcs lány A</vt:lpstr>
      <vt:lpstr>IV.kcs fiú B</vt:lpstr>
      <vt:lpstr>V.kcs lány A</vt:lpstr>
      <vt:lpstr>V.kcs lány B</vt:lpstr>
      <vt:lpstr>V.kcs fiú B</vt:lpstr>
      <vt:lpstr>VI.kcs lány B</vt:lpstr>
      <vt:lpstr>VI.kcs fiú A</vt:lpstr>
      <vt:lpstr>VI.kcs fiú B</vt:lpstr>
      <vt:lpstr>VII.kcs lány B</vt:lpstr>
      <vt:lpstr>VII.kcs fiú B</vt:lpstr>
      <vt:lpstr>VIII.kcs lány B</vt:lpstr>
      <vt:lpstr>VIII.kcs fiú B </vt:lpstr>
      <vt:lpstr>'I.kcs piros fiú B'!Nyomtatási_terület</vt:lpstr>
      <vt:lpstr>'I.kcs piros lány B'!Nyomtatási_terület</vt:lpstr>
      <vt:lpstr>'II.kcs narancs fiú B'!Nyomtatási_terület</vt:lpstr>
      <vt:lpstr>'II.kcs narancs lány B'!Nyomtatási_terület</vt:lpstr>
      <vt:lpstr>'IV.kcs fiú B'!Nyomtatási_terület</vt:lpstr>
      <vt:lpstr>'IV.kcs lány A'!Nyomtatási_terület</vt:lpstr>
      <vt:lpstr>'IV.kcs lány B'!Nyomtatási_terület</vt:lpstr>
      <vt:lpstr>'V.kcs lány A'!Nyomtatási_terület</vt:lpstr>
      <vt:lpstr>'V.kcs lány B'!Nyomtatási_terület</vt:lpstr>
      <vt:lpstr>'VII.kcs fiú B'!Nyomtatási_terület</vt:lpstr>
      <vt:lpstr>'VII.kcs lány B'!Nyomtatási_terület</vt:lpstr>
      <vt:lpstr>'VIII.kcs lány B'!Nyomtatási_terület</vt:lpstr>
    </vt:vector>
  </TitlesOfParts>
  <Company>Tennis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Guti János</cp:lastModifiedBy>
  <cp:lastPrinted>2016-03-12T10:05:59Z</cp:lastPrinted>
  <dcterms:created xsi:type="dcterms:W3CDTF">1998-01-18T23:10:02Z</dcterms:created>
  <dcterms:modified xsi:type="dcterms:W3CDTF">2024-04-23T06:43:31Z</dcterms:modified>
  <cp:category>Forms</cp:category>
</cp:coreProperties>
</file>